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6B32E271-BCD4-43EA-A715-D39FC9763C66}" xr6:coauthVersionLast="47" xr6:coauthVersionMax="47" xr10:uidLastSave="{00000000-0000-0000-0000-000000000000}"/>
  <bookViews>
    <workbookView xWindow="-120" yWindow="-120" windowWidth="29040" windowHeight="15720" tabRatio="945" firstSheet="11" activeTab="20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Produktion &amp; forbrug" sheetId="74" r:id="rId20"/>
    <sheet name="Kategorisering af kcal" sheetId="75" r:id="rId21"/>
    <sheet name="Landbrugsareal - resultat" sheetId="20" state="hidden" r:id="rId22"/>
    <sheet name="Pivot tabeller og data" sheetId="68" state="hidden" r:id="rId23"/>
    <sheet name="Resultat-Forbrug af biomasse" sheetId="56" state="hidden" r:id="rId24"/>
    <sheet name="Resultat-Import" sheetId="51" state="hidden" r:id="rId25"/>
    <sheet name="Resultat-Eksport" sheetId="71" state="hidden" r:id="rId26"/>
    <sheet name="Resultat-Potentiale til energi" sheetId="50" state="hidden" r:id="rId27"/>
    <sheet name="Resultat-Tørstof til energi" sheetId="67" state="hidden" r:id="rId28"/>
    <sheet name="CO2-pivot" sheetId="64" state="hidden" r:id="rId29"/>
    <sheet name="CO2-udledning" sheetId="63" state="hidden" r:id="rId30"/>
    <sheet name="Produktion afgrøder-pivot" sheetId="60" state="hidden" r:id="rId31"/>
    <sheet name="Produktion af afgrøder" sheetId="57" state="hidden" r:id="rId32"/>
    <sheet name="Produkt skovbrug" sheetId="62" state="hidden" r:id="rId33"/>
    <sheet name="Produkt havbrug" sheetId="61" state="hidden" r:id="rId34"/>
    <sheet name="Arealanvendelse - pivot" sheetId="23" state="hidden" r:id="rId35"/>
    <sheet name="Pivot chart - landbrug" sheetId="19" state="hidden" r:id="rId36"/>
    <sheet name="Arealanvendelsesresultater-big" sheetId="22" state="hidden" r:id="rId37"/>
    <sheet name="Landbrugsresultater - pivot" sheetId="18" state="hidden" r:id="rId38"/>
  </sheets>
  <externalReferences>
    <externalReference r:id="rId39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9" hidden="1">'Produktion &amp; forbrug'!$A$3:$AA$147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forbrug'!$A$3:$AA$291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60" r:id="rId40"/>
    <pivotCache cacheId="65" r:id="rId41"/>
    <pivotCache cacheId="70" r:id="rId42"/>
    <pivotCache cacheId="76" r:id="rId43"/>
    <pivotCache cacheId="81" r:id="rId44"/>
    <pivotCache cacheId="86" r:id="rId45"/>
    <pivotCache cacheId="90" r:id="rId46"/>
    <pivotCache cacheId="95" r:id="rId4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75" l="1"/>
  <c r="C15" i="75"/>
  <c r="B15" i="75"/>
  <c r="C30" i="75"/>
  <c r="D30" i="75"/>
  <c r="B30" i="75"/>
  <c r="E40" i="17"/>
  <c r="D19" i="75"/>
  <c r="D20" i="75"/>
  <c r="D21" i="75"/>
  <c r="D22" i="75"/>
  <c r="D23" i="75"/>
  <c r="D24" i="75"/>
  <c r="D25" i="75"/>
  <c r="D26" i="75"/>
  <c r="D27" i="75"/>
  <c r="D28" i="75"/>
  <c r="D29" i="75"/>
  <c r="D18" i="75"/>
  <c r="T3" i="75"/>
  <c r="T4" i="75"/>
  <c r="T5" i="75"/>
  <c r="T6" i="75"/>
  <c r="T7" i="75"/>
  <c r="T8" i="75"/>
  <c r="T9" i="75"/>
  <c r="T10" i="75"/>
  <c r="T11" i="75"/>
  <c r="T12" i="75"/>
  <c r="T13" i="75"/>
  <c r="T14" i="75"/>
  <c r="T15" i="75"/>
  <c r="T16" i="75"/>
  <c r="T17" i="75"/>
  <c r="T18" i="75"/>
  <c r="T19" i="75"/>
  <c r="T20" i="75"/>
  <c r="T21" i="75"/>
  <c r="T22" i="75"/>
  <c r="T2" i="75"/>
  <c r="D4" i="75"/>
  <c r="D5" i="75"/>
  <c r="D6" i="75"/>
  <c r="D7" i="75"/>
  <c r="D8" i="75"/>
  <c r="D9" i="75"/>
  <c r="D10" i="75"/>
  <c r="D11" i="75"/>
  <c r="D12" i="75"/>
  <c r="D13" i="75"/>
  <c r="D14" i="75"/>
  <c r="D3" i="75"/>
  <c r="C5" i="74"/>
  <c r="C6" i="74"/>
  <c r="C7" i="74"/>
  <c r="C8" i="74"/>
  <c r="C9" i="74"/>
  <c r="C10" i="74"/>
  <c r="C11" i="74"/>
  <c r="C12" i="74"/>
  <c r="C13" i="74"/>
  <c r="C14" i="74"/>
  <c r="C15" i="74"/>
  <c r="C16" i="74"/>
  <c r="C17" i="74"/>
  <c r="C18" i="74"/>
  <c r="C19" i="74"/>
  <c r="C20" i="74"/>
  <c r="C21" i="74"/>
  <c r="C22" i="74"/>
  <c r="C23" i="74"/>
  <c r="C24" i="74"/>
  <c r="C25" i="74"/>
  <c r="C26" i="74"/>
  <c r="C27" i="74"/>
  <c r="C28" i="74"/>
  <c r="C29" i="74"/>
  <c r="C30" i="74"/>
  <c r="C31" i="74"/>
  <c r="C32" i="74"/>
  <c r="C33" i="74"/>
  <c r="C34" i="74"/>
  <c r="C35" i="74"/>
  <c r="C36" i="74"/>
  <c r="C37" i="74"/>
  <c r="C38" i="74"/>
  <c r="C39" i="74"/>
  <c r="C40" i="74"/>
  <c r="C41" i="74"/>
  <c r="C42" i="74"/>
  <c r="C43" i="74"/>
  <c r="C44" i="74"/>
  <c r="C45" i="74"/>
  <c r="C46" i="74"/>
  <c r="C47" i="74"/>
  <c r="C48" i="74"/>
  <c r="C49" i="74"/>
  <c r="C50" i="74"/>
  <c r="C51" i="74"/>
  <c r="C52" i="74"/>
  <c r="C53" i="74"/>
  <c r="C54" i="74"/>
  <c r="C55" i="74"/>
  <c r="C56" i="74"/>
  <c r="C57" i="74"/>
  <c r="C58" i="74"/>
  <c r="C59" i="74"/>
  <c r="C60" i="74"/>
  <c r="C61" i="74"/>
  <c r="C62" i="74"/>
  <c r="C63" i="74"/>
  <c r="C64" i="74"/>
  <c r="C65" i="74"/>
  <c r="C66" i="74"/>
  <c r="C67" i="74"/>
  <c r="C68" i="74"/>
  <c r="C69" i="74"/>
  <c r="C70" i="74"/>
  <c r="C71" i="74"/>
  <c r="C72" i="74"/>
  <c r="C73" i="74"/>
  <c r="C74" i="74"/>
  <c r="C75" i="74"/>
  <c r="C76" i="74"/>
  <c r="C77" i="74"/>
  <c r="C78" i="74"/>
  <c r="C79" i="74"/>
  <c r="C80" i="74"/>
  <c r="C81" i="74"/>
  <c r="C82" i="74"/>
  <c r="C83" i="74"/>
  <c r="C84" i="74"/>
  <c r="C85" i="74"/>
  <c r="C86" i="74"/>
  <c r="C87" i="74"/>
  <c r="C88" i="74"/>
  <c r="C89" i="74"/>
  <c r="C90" i="74"/>
  <c r="C91" i="74"/>
  <c r="C92" i="74"/>
  <c r="C93" i="74"/>
  <c r="C94" i="74"/>
  <c r="C95" i="74"/>
  <c r="C96" i="74"/>
  <c r="C97" i="74"/>
  <c r="C98" i="74"/>
  <c r="C99" i="74"/>
  <c r="C100" i="74"/>
  <c r="C101" i="74"/>
  <c r="C102" i="74"/>
  <c r="C103" i="74"/>
  <c r="C104" i="74"/>
  <c r="C105" i="74"/>
  <c r="C106" i="74"/>
  <c r="C107" i="74"/>
  <c r="C108" i="74"/>
  <c r="C109" i="74"/>
  <c r="C110" i="74"/>
  <c r="C111" i="74"/>
  <c r="C112" i="74"/>
  <c r="C113" i="74"/>
  <c r="C114" i="74"/>
  <c r="C115" i="74"/>
  <c r="C116" i="74"/>
  <c r="C117" i="74"/>
  <c r="C118" i="74"/>
  <c r="C119" i="74"/>
  <c r="C120" i="74"/>
  <c r="C121" i="74"/>
  <c r="C122" i="74"/>
  <c r="C123" i="74"/>
  <c r="C124" i="74"/>
  <c r="C125" i="74"/>
  <c r="C126" i="74"/>
  <c r="C127" i="74"/>
  <c r="C128" i="74"/>
  <c r="C129" i="74"/>
  <c r="C130" i="74"/>
  <c r="C131" i="74"/>
  <c r="C132" i="74"/>
  <c r="C133" i="74"/>
  <c r="C134" i="74"/>
  <c r="C135" i="74"/>
  <c r="C136" i="74"/>
  <c r="C137" i="74"/>
  <c r="C138" i="74"/>
  <c r="C139" i="74"/>
  <c r="C140" i="74"/>
  <c r="C141" i="74"/>
  <c r="C142" i="74"/>
  <c r="C143" i="74"/>
  <c r="C144" i="74"/>
  <c r="C145" i="74"/>
  <c r="C146" i="74"/>
  <c r="C147" i="74"/>
  <c r="C4" i="74"/>
  <c r="R3" i="75"/>
  <c r="R4" i="75"/>
  <c r="R5" i="75"/>
  <c r="R6" i="75"/>
  <c r="R7" i="75"/>
  <c r="R8" i="75"/>
  <c r="R9" i="75"/>
  <c r="R10" i="75"/>
  <c r="R11" i="75"/>
  <c r="R12" i="75"/>
  <c r="R13" i="75"/>
  <c r="R14" i="75"/>
  <c r="R15" i="75"/>
  <c r="R16" i="75"/>
  <c r="R17" i="75"/>
  <c r="R18" i="75"/>
  <c r="R19" i="75"/>
  <c r="R20" i="75"/>
  <c r="R21" i="75"/>
  <c r="R22" i="75"/>
  <c r="R2" i="75"/>
  <c r="AB3" i="74" l="1"/>
  <c r="E99" i="74"/>
  <c r="E147" i="74" s="1"/>
  <c r="B99" i="74"/>
  <c r="B147" i="74" s="1"/>
  <c r="A99" i="74"/>
  <c r="E98" i="74"/>
  <c r="E146" i="74" s="1"/>
  <c r="B98" i="74"/>
  <c r="B146" i="74" s="1"/>
  <c r="A98" i="74"/>
  <c r="E97" i="74"/>
  <c r="E145" i="74" s="1"/>
  <c r="B97" i="74"/>
  <c r="B145" i="74" s="1"/>
  <c r="A97" i="74"/>
  <c r="E96" i="74"/>
  <c r="E144" i="74" s="1"/>
  <c r="B96" i="74"/>
  <c r="B144" i="74" s="1"/>
  <c r="A96" i="74"/>
  <c r="E95" i="74"/>
  <c r="E143" i="74" s="1"/>
  <c r="B95" i="74"/>
  <c r="B143" i="74" s="1"/>
  <c r="A95" i="74"/>
  <c r="E94" i="74"/>
  <c r="E142" i="74" s="1"/>
  <c r="B94" i="74"/>
  <c r="B142" i="74" s="1"/>
  <c r="A94" i="74"/>
  <c r="E93" i="74"/>
  <c r="E141" i="74" s="1"/>
  <c r="B93" i="74"/>
  <c r="B141" i="74" s="1"/>
  <c r="A93" i="74"/>
  <c r="E92" i="74"/>
  <c r="E140" i="74" s="1"/>
  <c r="B92" i="74"/>
  <c r="B140" i="74" s="1"/>
  <c r="A92" i="74"/>
  <c r="E91" i="74"/>
  <c r="E139" i="74" s="1"/>
  <c r="B91" i="74"/>
  <c r="B139" i="74" s="1"/>
  <c r="A91" i="74"/>
  <c r="E90" i="74"/>
  <c r="E138" i="74" s="1"/>
  <c r="B90" i="74"/>
  <c r="B138" i="74" s="1"/>
  <c r="A90" i="74"/>
  <c r="E89" i="74"/>
  <c r="E137" i="74" s="1"/>
  <c r="B89" i="74"/>
  <c r="B137" i="74" s="1"/>
  <c r="A89" i="74"/>
  <c r="E88" i="74"/>
  <c r="E136" i="74" s="1"/>
  <c r="B88" i="74"/>
  <c r="B136" i="74" s="1"/>
  <c r="A88" i="74"/>
  <c r="E87" i="74"/>
  <c r="E135" i="74" s="1"/>
  <c r="B87" i="74"/>
  <c r="B135" i="74" s="1"/>
  <c r="A87" i="74"/>
  <c r="E86" i="74"/>
  <c r="E134" i="74" s="1"/>
  <c r="B86" i="74"/>
  <c r="B134" i="74" s="1"/>
  <c r="A86" i="74"/>
  <c r="E85" i="74"/>
  <c r="E133" i="74" s="1"/>
  <c r="B85" i="74"/>
  <c r="B133" i="74" s="1"/>
  <c r="A85" i="74"/>
  <c r="E84" i="74"/>
  <c r="E132" i="74" s="1"/>
  <c r="B84" i="74"/>
  <c r="B132" i="74" s="1"/>
  <c r="A84" i="74"/>
  <c r="E83" i="74"/>
  <c r="E131" i="74" s="1"/>
  <c r="B83" i="74"/>
  <c r="B131" i="74" s="1"/>
  <c r="A83" i="74"/>
  <c r="E82" i="74"/>
  <c r="E130" i="74" s="1"/>
  <c r="B82" i="74"/>
  <c r="B130" i="74" s="1"/>
  <c r="A82" i="74"/>
  <c r="E81" i="74"/>
  <c r="E129" i="74" s="1"/>
  <c r="B81" i="74"/>
  <c r="B129" i="74" s="1"/>
  <c r="A81" i="74"/>
  <c r="E80" i="74"/>
  <c r="E128" i="74" s="1"/>
  <c r="B80" i="74"/>
  <c r="B128" i="74" s="1"/>
  <c r="A80" i="74"/>
  <c r="E79" i="74"/>
  <c r="E127" i="74" s="1"/>
  <c r="B79" i="74"/>
  <c r="B127" i="74" s="1"/>
  <c r="A79" i="74"/>
  <c r="E78" i="74"/>
  <c r="E126" i="74" s="1"/>
  <c r="B78" i="74"/>
  <c r="B126" i="74" s="1"/>
  <c r="A78" i="74"/>
  <c r="E77" i="74"/>
  <c r="E125" i="74" s="1"/>
  <c r="B77" i="74"/>
  <c r="B125" i="74" s="1"/>
  <c r="A77" i="74"/>
  <c r="E76" i="74"/>
  <c r="E124" i="74" s="1"/>
  <c r="B76" i="74"/>
  <c r="B124" i="74" s="1"/>
  <c r="A76" i="74"/>
  <c r="E75" i="74"/>
  <c r="E123" i="74" s="1"/>
  <c r="B75" i="74"/>
  <c r="B123" i="74" s="1"/>
  <c r="A75" i="74"/>
  <c r="E74" i="74"/>
  <c r="E122" i="74" s="1"/>
  <c r="B74" i="74"/>
  <c r="B122" i="74" s="1"/>
  <c r="A74" i="74"/>
  <c r="E73" i="74"/>
  <c r="E121" i="74" s="1"/>
  <c r="B73" i="74"/>
  <c r="B121" i="74" s="1"/>
  <c r="A73" i="74"/>
  <c r="E72" i="74"/>
  <c r="E120" i="74" s="1"/>
  <c r="B72" i="74"/>
  <c r="B120" i="74" s="1"/>
  <c r="A72" i="74"/>
  <c r="E71" i="74"/>
  <c r="E119" i="74" s="1"/>
  <c r="B71" i="74"/>
  <c r="B119" i="74" s="1"/>
  <c r="A71" i="74"/>
  <c r="E70" i="74"/>
  <c r="E118" i="74" s="1"/>
  <c r="B70" i="74"/>
  <c r="B118" i="74" s="1"/>
  <c r="A70" i="74"/>
  <c r="E69" i="74"/>
  <c r="E117" i="74" s="1"/>
  <c r="B69" i="74"/>
  <c r="B117" i="74" s="1"/>
  <c r="A69" i="74"/>
  <c r="E68" i="74"/>
  <c r="E116" i="74" s="1"/>
  <c r="B68" i="74"/>
  <c r="B116" i="74" s="1"/>
  <c r="A68" i="74"/>
  <c r="E67" i="74"/>
  <c r="E115" i="74" s="1"/>
  <c r="B67" i="74"/>
  <c r="B115" i="74" s="1"/>
  <c r="A67" i="74"/>
  <c r="E66" i="74"/>
  <c r="E114" i="74" s="1"/>
  <c r="B66" i="74"/>
  <c r="B114" i="74" s="1"/>
  <c r="A66" i="74"/>
  <c r="E65" i="74"/>
  <c r="E113" i="74" s="1"/>
  <c r="B65" i="74"/>
  <c r="B113" i="74" s="1"/>
  <c r="A65" i="74"/>
  <c r="E64" i="74"/>
  <c r="E112" i="74" s="1"/>
  <c r="B64" i="74"/>
  <c r="B112" i="74" s="1"/>
  <c r="A64" i="74"/>
  <c r="E63" i="74"/>
  <c r="E111" i="74" s="1"/>
  <c r="B63" i="74"/>
  <c r="B111" i="74" s="1"/>
  <c r="A63" i="74"/>
  <c r="E62" i="74"/>
  <c r="E110" i="74" s="1"/>
  <c r="B62" i="74"/>
  <c r="B110" i="74" s="1"/>
  <c r="A62" i="74"/>
  <c r="E61" i="74"/>
  <c r="E109" i="74" s="1"/>
  <c r="B61" i="74"/>
  <c r="B109" i="74" s="1"/>
  <c r="A61" i="74"/>
  <c r="E60" i="74"/>
  <c r="E108" i="74" s="1"/>
  <c r="B60" i="74"/>
  <c r="B108" i="74" s="1"/>
  <c r="A60" i="74"/>
  <c r="E59" i="74"/>
  <c r="E107" i="74" s="1"/>
  <c r="B59" i="74"/>
  <c r="B107" i="74" s="1"/>
  <c r="A59" i="74"/>
  <c r="E58" i="74"/>
  <c r="E106" i="74" s="1"/>
  <c r="B58" i="74"/>
  <c r="B106" i="74" s="1"/>
  <c r="A58" i="74"/>
  <c r="E57" i="74"/>
  <c r="E105" i="74" s="1"/>
  <c r="B57" i="74"/>
  <c r="B105" i="74" s="1"/>
  <c r="A57" i="74"/>
  <c r="E56" i="74"/>
  <c r="E104" i="74" s="1"/>
  <c r="B56" i="74"/>
  <c r="B104" i="74" s="1"/>
  <c r="A56" i="74"/>
  <c r="E55" i="74"/>
  <c r="E103" i="74" s="1"/>
  <c r="B55" i="74"/>
  <c r="B103" i="74" s="1"/>
  <c r="A55" i="74"/>
  <c r="E54" i="74"/>
  <c r="E102" i="74" s="1"/>
  <c r="B54" i="74"/>
  <c r="B102" i="74" s="1"/>
  <c r="A54" i="74"/>
  <c r="E53" i="74"/>
  <c r="E101" i="74" s="1"/>
  <c r="B53" i="74"/>
  <c r="B101" i="74" s="1"/>
  <c r="A53" i="74"/>
  <c r="E52" i="74"/>
  <c r="E100" i="74" s="1"/>
  <c r="B52" i="74"/>
  <c r="B100" i="74" s="1"/>
  <c r="A52" i="74"/>
  <c r="S7" i="74"/>
  <c r="A136" i="74" l="1"/>
  <c r="A139" i="74"/>
  <c r="A142" i="74"/>
  <c r="A145" i="74"/>
  <c r="A109" i="74"/>
  <c r="A112" i="74"/>
  <c r="S55" i="74"/>
  <c r="A115" i="74"/>
  <c r="A118" i="74"/>
  <c r="A121" i="74"/>
  <c r="A106" i="74"/>
  <c r="A127" i="74"/>
  <c r="A100" i="74"/>
  <c r="A130" i="74"/>
  <c r="A147" i="74"/>
  <c r="A131" i="74"/>
  <c r="A113" i="74"/>
  <c r="A101" i="74"/>
  <c r="A108" i="74"/>
  <c r="A110" i="74"/>
  <c r="A122" i="74"/>
  <c r="A102" i="74"/>
  <c r="A107" i="74"/>
  <c r="A116" i="74"/>
  <c r="A117" i="74"/>
  <c r="A128" i="74"/>
  <c r="A140" i="74"/>
  <c r="A138" i="74"/>
  <c r="A143" i="74"/>
  <c r="A104" i="74"/>
  <c r="A105" i="74"/>
  <c r="A114" i="74"/>
  <c r="A123" i="74"/>
  <c r="A134" i="74"/>
  <c r="A146" i="74"/>
  <c r="A141" i="74"/>
  <c r="A144" i="74"/>
  <c r="A120" i="74"/>
  <c r="A129" i="74"/>
  <c r="A111" i="74"/>
  <c r="A126" i="74"/>
  <c r="A119" i="74"/>
  <c r="A125" i="74"/>
  <c r="A132" i="74"/>
  <c r="A137" i="74"/>
  <c r="A135" i="74"/>
  <c r="A133" i="74"/>
  <c r="A124" i="74"/>
  <c r="A103" i="74"/>
  <c r="S103" i="74" l="1"/>
  <c r="D53" i="66" l="1"/>
  <c r="D54" i="66"/>
  <c r="D102" i="66" s="1"/>
  <c r="D150" i="66" s="1"/>
  <c r="D198" i="66" s="1"/>
  <c r="D246" i="66" s="1"/>
  <c r="D55" i="66"/>
  <c r="D103" i="66" s="1"/>
  <c r="D151" i="66" s="1"/>
  <c r="D199" i="66" s="1"/>
  <c r="D247" i="66" s="1"/>
  <c r="D56" i="66"/>
  <c r="D104" i="66" s="1"/>
  <c r="D152" i="66" s="1"/>
  <c r="D200" i="66" s="1"/>
  <c r="D248" i="66" s="1"/>
  <c r="D57" i="66"/>
  <c r="D105" i="66" s="1"/>
  <c r="D153" i="66" s="1"/>
  <c r="D201" i="66" s="1"/>
  <c r="D249" i="66" s="1"/>
  <c r="D58" i="66"/>
  <c r="D59" i="66"/>
  <c r="D107" i="66" s="1"/>
  <c r="D155" i="66" s="1"/>
  <c r="D203" i="66" s="1"/>
  <c r="D251" i="66" s="1"/>
  <c r="D60" i="66"/>
  <c r="D108" i="66" s="1"/>
  <c r="D156" i="66" s="1"/>
  <c r="D204" i="66" s="1"/>
  <c r="D252" i="66" s="1"/>
  <c r="D61" i="66"/>
  <c r="D109" i="66" s="1"/>
  <c r="D157" i="66" s="1"/>
  <c r="D205" i="66" s="1"/>
  <c r="D253" i="66" s="1"/>
  <c r="D62" i="66"/>
  <c r="D110" i="66" s="1"/>
  <c r="D158" i="66" s="1"/>
  <c r="D206" i="66" s="1"/>
  <c r="D254" i="66" s="1"/>
  <c r="D63" i="66"/>
  <c r="D111" i="66" s="1"/>
  <c r="D159" i="66" s="1"/>
  <c r="D207" i="66" s="1"/>
  <c r="D255" i="66" s="1"/>
  <c r="D64" i="66"/>
  <c r="D112" i="66" s="1"/>
  <c r="D160" i="66" s="1"/>
  <c r="D208" i="66" s="1"/>
  <c r="D256" i="66" s="1"/>
  <c r="D65" i="66"/>
  <c r="D66" i="66"/>
  <c r="D67" i="66"/>
  <c r="D115" i="66" s="1"/>
  <c r="D163" i="66" s="1"/>
  <c r="D211" i="66" s="1"/>
  <c r="D259" i="66" s="1"/>
  <c r="D68" i="66"/>
  <c r="D116" i="66" s="1"/>
  <c r="D164" i="66" s="1"/>
  <c r="D212" i="66" s="1"/>
  <c r="D260" i="66" s="1"/>
  <c r="D69" i="66"/>
  <c r="D117" i="66" s="1"/>
  <c r="D165" i="66" s="1"/>
  <c r="D213" i="66" s="1"/>
  <c r="D261" i="66" s="1"/>
  <c r="D70" i="66"/>
  <c r="D118" i="66" s="1"/>
  <c r="D166" i="66" s="1"/>
  <c r="D214" i="66" s="1"/>
  <c r="D262" i="66" s="1"/>
  <c r="D71" i="66"/>
  <c r="D119" i="66" s="1"/>
  <c r="D167" i="66" s="1"/>
  <c r="D215" i="66" s="1"/>
  <c r="D263" i="66" s="1"/>
  <c r="D72" i="66"/>
  <c r="D120" i="66" s="1"/>
  <c r="D168" i="66" s="1"/>
  <c r="D216" i="66" s="1"/>
  <c r="D264" i="66" s="1"/>
  <c r="D73" i="66"/>
  <c r="D121" i="66" s="1"/>
  <c r="D169" i="66" s="1"/>
  <c r="D217" i="66" s="1"/>
  <c r="D265" i="66" s="1"/>
  <c r="D74" i="66"/>
  <c r="D122" i="66" s="1"/>
  <c r="D170" i="66" s="1"/>
  <c r="D218" i="66" s="1"/>
  <c r="D266" i="66" s="1"/>
  <c r="D75" i="66"/>
  <c r="D123" i="66" s="1"/>
  <c r="D171" i="66" s="1"/>
  <c r="D219" i="66" s="1"/>
  <c r="D267" i="66" s="1"/>
  <c r="D76" i="66"/>
  <c r="D124" i="66" s="1"/>
  <c r="D172" i="66" s="1"/>
  <c r="D220" i="66" s="1"/>
  <c r="D268" i="66" s="1"/>
  <c r="D77" i="66"/>
  <c r="D125" i="66" s="1"/>
  <c r="D173" i="66" s="1"/>
  <c r="D221" i="66" s="1"/>
  <c r="D269" i="66" s="1"/>
  <c r="D78" i="66"/>
  <c r="D79" i="66"/>
  <c r="D80" i="66"/>
  <c r="D128" i="66" s="1"/>
  <c r="D176" i="66" s="1"/>
  <c r="D224" i="66" s="1"/>
  <c r="D272" i="66" s="1"/>
  <c r="D81" i="66"/>
  <c r="D82" i="66"/>
  <c r="D130" i="66" s="1"/>
  <c r="D178" i="66" s="1"/>
  <c r="D226" i="66" s="1"/>
  <c r="D274" i="66" s="1"/>
  <c r="D83" i="66"/>
  <c r="D131" i="66" s="1"/>
  <c r="D179" i="66" s="1"/>
  <c r="D227" i="66" s="1"/>
  <c r="D275" i="66" s="1"/>
  <c r="D84" i="66"/>
  <c r="D85" i="66"/>
  <c r="D133" i="66" s="1"/>
  <c r="D181" i="66" s="1"/>
  <c r="D229" i="66" s="1"/>
  <c r="D277" i="66" s="1"/>
  <c r="D86" i="66"/>
  <c r="D134" i="66" s="1"/>
  <c r="D182" i="66" s="1"/>
  <c r="D230" i="66" s="1"/>
  <c r="D278" i="66" s="1"/>
  <c r="D87" i="66"/>
  <c r="D135" i="66" s="1"/>
  <c r="D183" i="66" s="1"/>
  <c r="D231" i="66" s="1"/>
  <c r="D279" i="66" s="1"/>
  <c r="D88" i="66"/>
  <c r="D136" i="66" s="1"/>
  <c r="D184" i="66" s="1"/>
  <c r="D232" i="66" s="1"/>
  <c r="D280" i="66" s="1"/>
  <c r="D89" i="66"/>
  <c r="D137" i="66" s="1"/>
  <c r="D185" i="66" s="1"/>
  <c r="D233" i="66" s="1"/>
  <c r="D281" i="66" s="1"/>
  <c r="D90" i="66"/>
  <c r="D91" i="66"/>
  <c r="D139" i="66" s="1"/>
  <c r="D187" i="66" s="1"/>
  <c r="D235" i="66" s="1"/>
  <c r="D283" i="66" s="1"/>
  <c r="D92" i="66"/>
  <c r="D140" i="66" s="1"/>
  <c r="D188" i="66" s="1"/>
  <c r="D236" i="66" s="1"/>
  <c r="D284" i="66" s="1"/>
  <c r="D93" i="66"/>
  <c r="D94" i="66"/>
  <c r="D142" i="66" s="1"/>
  <c r="D190" i="66" s="1"/>
  <c r="D238" i="66" s="1"/>
  <c r="D286" i="66" s="1"/>
  <c r="D95" i="66"/>
  <c r="D143" i="66" s="1"/>
  <c r="D191" i="66" s="1"/>
  <c r="D239" i="66" s="1"/>
  <c r="D287" i="66" s="1"/>
  <c r="D96" i="66"/>
  <c r="D144" i="66" s="1"/>
  <c r="D192" i="66" s="1"/>
  <c r="D240" i="66" s="1"/>
  <c r="D288" i="66" s="1"/>
  <c r="D97" i="66"/>
  <c r="D145" i="66" s="1"/>
  <c r="D193" i="66" s="1"/>
  <c r="D241" i="66" s="1"/>
  <c r="D289" i="66" s="1"/>
  <c r="D98" i="66"/>
  <c r="D146" i="66" s="1"/>
  <c r="D194" i="66" s="1"/>
  <c r="D242" i="66" s="1"/>
  <c r="D290" i="66" s="1"/>
  <c r="D99" i="66"/>
  <c r="D147" i="66" s="1"/>
  <c r="D195" i="66" s="1"/>
  <c r="D243" i="66" s="1"/>
  <c r="D291" i="66" s="1"/>
  <c r="D101" i="66"/>
  <c r="D106" i="66"/>
  <c r="D154" i="66" s="1"/>
  <c r="D202" i="66" s="1"/>
  <c r="D250" i="66" s="1"/>
  <c r="D113" i="66"/>
  <c r="D161" i="66" s="1"/>
  <c r="D209" i="66" s="1"/>
  <c r="D257" i="66" s="1"/>
  <c r="D114" i="66"/>
  <c r="D162" i="66" s="1"/>
  <c r="D210" i="66" s="1"/>
  <c r="D258" i="66" s="1"/>
  <c r="D126" i="66"/>
  <c r="D174" i="66" s="1"/>
  <c r="D222" i="66" s="1"/>
  <c r="D270" i="66" s="1"/>
  <c r="D129" i="66"/>
  <c r="D177" i="66" s="1"/>
  <c r="D225" i="66" s="1"/>
  <c r="D273" i="66" s="1"/>
  <c r="D132" i="66"/>
  <c r="D180" i="66" s="1"/>
  <c r="D228" i="66" s="1"/>
  <c r="D276" i="66" s="1"/>
  <c r="D138" i="66"/>
  <c r="D186" i="66" s="1"/>
  <c r="D234" i="66" s="1"/>
  <c r="D282" i="66" s="1"/>
  <c r="D141" i="66"/>
  <c r="D189" i="66" s="1"/>
  <c r="D237" i="66" s="1"/>
  <c r="D285" i="66" s="1"/>
  <c r="D149" i="66"/>
  <c r="D197" i="66" s="1"/>
  <c r="D245" i="66" s="1"/>
  <c r="D52" i="66"/>
  <c r="D100" i="66" s="1"/>
  <c r="D148" i="66" s="1"/>
  <c r="D196" i="66" s="1"/>
  <c r="D244" i="66" s="1"/>
  <c r="D127" i="66" l="1"/>
  <c r="D175" i="66" l="1"/>
  <c r="D223" i="66" l="1"/>
  <c r="D271" i="66" l="1"/>
  <c r="D5" i="32" l="1"/>
  <c r="E5" i="32" s="1"/>
  <c r="D6" i="32"/>
  <c r="E6" i="32" s="1"/>
  <c r="D7" i="32"/>
  <c r="E7" i="32" s="1"/>
  <c r="E4" i="32"/>
  <c r="D4" i="32"/>
  <c r="T14" i="9" l="1"/>
  <c r="E26" i="39"/>
  <c r="D26" i="39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56" i="17" l="1"/>
  <c r="E56" i="17"/>
  <c r="C60" i="26"/>
  <c r="D60" i="26" s="1"/>
  <c r="B61" i="26"/>
  <c r="D46" i="17" l="1"/>
  <c r="D56" i="17"/>
  <c r="D59" i="26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D17" i="34" s="1"/>
  <c r="E17" i="34" s="1"/>
  <c r="A3" i="34"/>
  <c r="C3" i="34" s="1"/>
  <c r="D3" i="34" s="1"/>
  <c r="E3" i="34" s="1"/>
  <c r="A4" i="34"/>
  <c r="C189" i="38" s="1"/>
  <c r="A5" i="34"/>
  <c r="C190" i="38" s="1"/>
  <c r="A6" i="34"/>
  <c r="C191" i="38" s="1"/>
  <c r="A7" i="34"/>
  <c r="C7" i="34" s="1"/>
  <c r="A8" i="34"/>
  <c r="C8" i="34" s="1"/>
  <c r="D8" i="34" s="1"/>
  <c r="E8" i="34" s="1"/>
  <c r="A9" i="34"/>
  <c r="C9" i="34" s="1"/>
  <c r="A10" i="34"/>
  <c r="A11" i="34"/>
  <c r="A12" i="34"/>
  <c r="C12" i="34" s="1"/>
  <c r="D12" i="34" s="1"/>
  <c r="E12" i="34" s="1"/>
  <c r="A13" i="34"/>
  <c r="C13" i="34" s="1"/>
  <c r="D13" i="34" s="1"/>
  <c r="E13" i="34" s="1"/>
  <c r="A14" i="34"/>
  <c r="C14" i="34" s="1"/>
  <c r="A15" i="34"/>
  <c r="C15" i="34" s="1"/>
  <c r="A16" i="34"/>
  <c r="C201" i="38" s="1"/>
  <c r="B26" i="6"/>
  <c r="D9" i="34" l="1"/>
  <c r="E9" i="34" s="1"/>
  <c r="D7" i="34"/>
  <c r="E7" i="34" s="1"/>
  <c r="D15" i="34"/>
  <c r="C11" i="34"/>
  <c r="D11" i="34" s="1"/>
  <c r="C10" i="34"/>
  <c r="D10" i="34" s="1"/>
  <c r="C198" i="38"/>
  <c r="C197" i="38"/>
  <c r="C196" i="38"/>
  <c r="C200" i="38"/>
  <c r="C199" i="38"/>
  <c r="C16" i="34"/>
  <c r="D16" i="34" s="1"/>
  <c r="E16" i="34" s="1"/>
  <c r="C195" i="38"/>
  <c r="C6" i="34"/>
  <c r="D6" i="34" s="1"/>
  <c r="E6" i="34" s="1"/>
  <c r="C194" i="38"/>
  <c r="C5" i="34"/>
  <c r="D5" i="34" s="1"/>
  <c r="E5" i="34" s="1"/>
  <c r="C193" i="38"/>
  <c r="C4" i="34"/>
  <c r="D4" i="34" s="1"/>
  <c r="E4" i="34" s="1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E10" i="34" l="1"/>
  <c r="E11" i="34"/>
  <c r="E15" i="34"/>
  <c r="E14" i="34" s="1"/>
  <c r="D14" i="34"/>
  <c r="A228" i="66"/>
  <c r="I228" i="66" s="1"/>
  <c r="B228" i="66"/>
  <c r="B276" i="66" s="1"/>
  <c r="A229" i="66"/>
  <c r="A277" i="66" s="1"/>
  <c r="B229" i="66"/>
  <c r="B277" i="66" s="1"/>
  <c r="I180" i="66"/>
  <c r="I181" i="66"/>
  <c r="B84" i="66"/>
  <c r="B132" i="66" s="1"/>
  <c r="B85" i="66"/>
  <c r="B133" i="66" s="1"/>
  <c r="A84" i="66"/>
  <c r="I84" i="66" s="1"/>
  <c r="A85" i="66"/>
  <c r="A133" i="66" s="1"/>
  <c r="I36" i="66"/>
  <c r="I37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6" i="66" l="1"/>
  <c r="I276" i="66" s="1"/>
  <c r="A497" i="41"/>
  <c r="A496" i="41"/>
  <c r="I277" i="66"/>
  <c r="I229" i="66"/>
  <c r="I85" i="66"/>
  <c r="A132" i="66"/>
  <c r="I133" i="66"/>
  <c r="F487" i="41"/>
  <c r="I132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I148" i="66"/>
  <c r="I149" i="66"/>
  <c r="I150" i="66"/>
  <c r="I151" i="66"/>
  <c r="I152" i="66"/>
  <c r="I153" i="66"/>
  <c r="I154" i="66"/>
  <c r="I155" i="66"/>
  <c r="I156" i="66"/>
  <c r="I157" i="66"/>
  <c r="I158" i="66"/>
  <c r="I159" i="66"/>
  <c r="I160" i="66"/>
  <c r="I161" i="66"/>
  <c r="I162" i="66"/>
  <c r="I163" i="66"/>
  <c r="I165" i="66"/>
  <c r="I166" i="66"/>
  <c r="I167" i="66"/>
  <c r="I168" i="66"/>
  <c r="I169" i="66"/>
  <c r="I170" i="66"/>
  <c r="I171" i="66"/>
  <c r="I172" i="66"/>
  <c r="I173" i="66"/>
  <c r="I174" i="66"/>
  <c r="I175" i="66"/>
  <c r="I176" i="66"/>
  <c r="I177" i="66"/>
  <c r="I178" i="66"/>
  <c r="I179" i="66"/>
  <c r="I182" i="66"/>
  <c r="I183" i="66"/>
  <c r="I184" i="66"/>
  <c r="I185" i="66"/>
  <c r="I186" i="66"/>
  <c r="I187" i="66"/>
  <c r="I188" i="66"/>
  <c r="I189" i="66"/>
  <c r="I190" i="66"/>
  <c r="I191" i="66"/>
  <c r="I192" i="66"/>
  <c r="I193" i="66"/>
  <c r="I194" i="66"/>
  <c r="I195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2" i="66"/>
  <c r="E52" i="66"/>
  <c r="A53" i="66"/>
  <c r="A101" i="66" s="1"/>
  <c r="E53" i="66"/>
  <c r="E54" i="66"/>
  <c r="A54" i="66"/>
  <c r="A102" i="66" s="1"/>
  <c r="E198" i="66"/>
  <c r="A198" i="66"/>
  <c r="E55" i="66"/>
  <c r="A55" i="66"/>
  <c r="A103" i="66" s="1"/>
  <c r="E199" i="66"/>
  <c r="A199" i="66"/>
  <c r="S199" i="66" s="1"/>
  <c r="A56" i="66"/>
  <c r="E56" i="66"/>
  <c r="E57" i="66"/>
  <c r="A57" i="66"/>
  <c r="E201" i="66"/>
  <c r="A201" i="66"/>
  <c r="A249" i="66" s="1"/>
  <c r="E58" i="66"/>
  <c r="A58" i="66"/>
  <c r="A106" i="66" s="1"/>
  <c r="E202" i="66"/>
  <c r="A202" i="66"/>
  <c r="A250" i="66" s="1"/>
  <c r="A59" i="66"/>
  <c r="A60" i="66"/>
  <c r="A61" i="66"/>
  <c r="A109" i="66" s="1"/>
  <c r="A62" i="66"/>
  <c r="I4" i="66"/>
  <c r="I5" i="66"/>
  <c r="I6" i="66"/>
  <c r="I9" i="66"/>
  <c r="I10" i="66"/>
  <c r="I11" i="66"/>
  <c r="I12" i="66"/>
  <c r="I13" i="66"/>
  <c r="I14" i="66"/>
  <c r="I15" i="66"/>
  <c r="I16" i="66"/>
  <c r="I17" i="66"/>
  <c r="I18" i="66"/>
  <c r="I19" i="66"/>
  <c r="I21" i="66"/>
  <c r="I22" i="66"/>
  <c r="I23" i="66"/>
  <c r="I24" i="66"/>
  <c r="I25" i="66"/>
  <c r="I26" i="66"/>
  <c r="I27" i="66"/>
  <c r="I28" i="66"/>
  <c r="I29" i="66"/>
  <c r="I30" i="66"/>
  <c r="I31" i="66"/>
  <c r="I32" i="66"/>
  <c r="I33" i="66"/>
  <c r="I34" i="66"/>
  <c r="I35" i="66"/>
  <c r="I38" i="66"/>
  <c r="I39" i="66"/>
  <c r="I40" i="66"/>
  <c r="I41" i="66"/>
  <c r="I42" i="66"/>
  <c r="I43" i="66"/>
  <c r="I44" i="66"/>
  <c r="I45" i="66"/>
  <c r="I46" i="66"/>
  <c r="I47" i="66"/>
  <c r="I48" i="66"/>
  <c r="I49" i="66"/>
  <c r="I50" i="66"/>
  <c r="I51" i="66"/>
  <c r="E59" i="66"/>
  <c r="E60" i="66"/>
  <c r="E61" i="66"/>
  <c r="E62" i="66"/>
  <c r="E63" i="66"/>
  <c r="A63" i="66"/>
  <c r="E64" i="66"/>
  <c r="A64" i="66"/>
  <c r="E65" i="66"/>
  <c r="A65" i="66"/>
  <c r="E66" i="66"/>
  <c r="A66" i="66"/>
  <c r="A114" i="66" s="1"/>
  <c r="E67" i="66"/>
  <c r="A67" i="66"/>
  <c r="E68" i="66"/>
  <c r="A68" i="66"/>
  <c r="E69" i="66"/>
  <c r="A69" i="66"/>
  <c r="A117" i="66" s="1"/>
  <c r="E70" i="66"/>
  <c r="A70" i="66"/>
  <c r="E71" i="66"/>
  <c r="A71" i="66"/>
  <c r="E72" i="66"/>
  <c r="A72" i="66"/>
  <c r="A120" i="66" s="1"/>
  <c r="E73" i="66"/>
  <c r="A73" i="66"/>
  <c r="E74" i="66"/>
  <c r="A74" i="66"/>
  <c r="A122" i="66" s="1"/>
  <c r="E75" i="66"/>
  <c r="A75" i="66"/>
  <c r="E76" i="66"/>
  <c r="A76" i="66"/>
  <c r="E77" i="66"/>
  <c r="A77" i="66"/>
  <c r="A125" i="66" s="1"/>
  <c r="E78" i="66"/>
  <c r="A78" i="66"/>
  <c r="A126" i="66" s="1"/>
  <c r="E79" i="66"/>
  <c r="A79" i="66"/>
  <c r="E80" i="66"/>
  <c r="A80" i="66"/>
  <c r="E81" i="66"/>
  <c r="A81" i="66"/>
  <c r="E82" i="66"/>
  <c r="A82" i="66"/>
  <c r="A130" i="66" s="1"/>
  <c r="E83" i="66"/>
  <c r="A83" i="66"/>
  <c r="A131" i="66" s="1"/>
  <c r="E86" i="66"/>
  <c r="A86" i="66"/>
  <c r="A134" i="66" s="1"/>
  <c r="E87" i="66"/>
  <c r="A87" i="66"/>
  <c r="E88" i="66"/>
  <c r="A88" i="66"/>
  <c r="E89" i="66"/>
  <c r="A89" i="66"/>
  <c r="A137" i="66" s="1"/>
  <c r="E90" i="66"/>
  <c r="A90" i="66"/>
  <c r="E91" i="66"/>
  <c r="A91" i="66"/>
  <c r="A139" i="66" s="1"/>
  <c r="E92" i="66"/>
  <c r="A92" i="66"/>
  <c r="A140" i="66" s="1"/>
  <c r="E93" i="66"/>
  <c r="A93" i="66"/>
  <c r="E94" i="66"/>
  <c r="A94" i="66"/>
  <c r="E95" i="66"/>
  <c r="A95" i="66"/>
  <c r="E96" i="66"/>
  <c r="A96" i="66"/>
  <c r="A144" i="66" s="1"/>
  <c r="E97" i="66"/>
  <c r="A97" i="66"/>
  <c r="E98" i="66"/>
  <c r="A98" i="66"/>
  <c r="A146" i="66" s="1"/>
  <c r="E99" i="66"/>
  <c r="A99" i="66"/>
  <c r="E118" i="66"/>
  <c r="E122" i="66"/>
  <c r="E196" i="66"/>
  <c r="A196" i="66"/>
  <c r="A244" i="66" s="1"/>
  <c r="E197" i="66"/>
  <c r="A197" i="66"/>
  <c r="A245" i="66" s="1"/>
  <c r="E200" i="66"/>
  <c r="A200" i="66"/>
  <c r="E203" i="66"/>
  <c r="A203" i="66"/>
  <c r="A251" i="66" s="1"/>
  <c r="E204" i="66"/>
  <c r="A204" i="66"/>
  <c r="E205" i="66"/>
  <c r="A205" i="66"/>
  <c r="A253" i="66" s="1"/>
  <c r="E206" i="66"/>
  <c r="A206" i="66"/>
  <c r="E207" i="66"/>
  <c r="A207" i="66"/>
  <c r="E208" i="66"/>
  <c r="A208" i="66"/>
  <c r="A256" i="66" s="1"/>
  <c r="E209" i="66"/>
  <c r="A209" i="66"/>
  <c r="A257" i="66" s="1"/>
  <c r="E210" i="66"/>
  <c r="A210" i="66"/>
  <c r="E211" i="66"/>
  <c r="A211" i="66"/>
  <c r="E212" i="66"/>
  <c r="A212" i="66"/>
  <c r="E213" i="66"/>
  <c r="A213" i="66"/>
  <c r="A261" i="66" s="1"/>
  <c r="E214" i="66"/>
  <c r="A214" i="66"/>
  <c r="E215" i="66"/>
  <c r="A215" i="66"/>
  <c r="E216" i="66"/>
  <c r="A216" i="66"/>
  <c r="E217" i="66"/>
  <c r="A217" i="66"/>
  <c r="E218" i="66"/>
  <c r="A218" i="66"/>
  <c r="E219" i="66"/>
  <c r="A219" i="66"/>
  <c r="A267" i="66" s="1"/>
  <c r="E220" i="66"/>
  <c r="A220" i="66"/>
  <c r="E221" i="66"/>
  <c r="A221" i="66"/>
  <c r="A269" i="66" s="1"/>
  <c r="E222" i="66"/>
  <c r="A222" i="66"/>
  <c r="E223" i="66"/>
  <c r="A223" i="66"/>
  <c r="E224" i="66"/>
  <c r="A224" i="66"/>
  <c r="A272" i="66" s="1"/>
  <c r="E225" i="66"/>
  <c r="A225" i="66"/>
  <c r="A273" i="66" s="1"/>
  <c r="E226" i="66"/>
  <c r="A226" i="66"/>
  <c r="E227" i="66"/>
  <c r="A227" i="66"/>
  <c r="E230" i="66"/>
  <c r="A230" i="66"/>
  <c r="E231" i="66"/>
  <c r="A231" i="66"/>
  <c r="E232" i="66"/>
  <c r="A232" i="66"/>
  <c r="E233" i="66"/>
  <c r="A233" i="66"/>
  <c r="A281" i="66" s="1"/>
  <c r="E234" i="66"/>
  <c r="A234" i="66"/>
  <c r="E235" i="66"/>
  <c r="A235" i="66"/>
  <c r="E236" i="66"/>
  <c r="A236" i="66"/>
  <c r="E237" i="66"/>
  <c r="A237" i="66"/>
  <c r="E238" i="66"/>
  <c r="A238" i="66"/>
  <c r="E239" i="66"/>
  <c r="A239" i="66"/>
  <c r="A287" i="66" s="1"/>
  <c r="E240" i="66"/>
  <c r="A240" i="66"/>
  <c r="E241" i="66"/>
  <c r="A241" i="66"/>
  <c r="E242" i="66"/>
  <c r="A242" i="66"/>
  <c r="E243" i="66"/>
  <c r="A243" i="66"/>
  <c r="E265" i="66"/>
  <c r="E269" i="66"/>
  <c r="S7" i="66"/>
  <c r="S151" i="66"/>
  <c r="I7" i="66"/>
  <c r="I8" i="66"/>
  <c r="B243" i="66"/>
  <c r="B291" i="66" s="1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65" i="66"/>
  <c r="B113" i="66" s="1"/>
  <c r="B209" i="66"/>
  <c r="B257" i="66" s="1"/>
  <c r="B78" i="66"/>
  <c r="B126" i="66" s="1"/>
  <c r="B222" i="66"/>
  <c r="B270" i="66" s="1"/>
  <c r="B90" i="66"/>
  <c r="B138" i="66" s="1"/>
  <c r="B234" i="66"/>
  <c r="B282" i="66" s="1"/>
  <c r="B233" i="66"/>
  <c r="B281" i="66" s="1"/>
  <c r="B232" i="66"/>
  <c r="B280" i="66" s="1"/>
  <c r="B231" i="66"/>
  <c r="B279" i="66" s="1"/>
  <c r="B230" i="66"/>
  <c r="B278" i="66" s="1"/>
  <c r="B227" i="66"/>
  <c r="B275" i="66" s="1"/>
  <c r="B226" i="66"/>
  <c r="B274" i="66" s="1"/>
  <c r="B225" i="66"/>
  <c r="B273" i="66" s="1"/>
  <c r="B224" i="66"/>
  <c r="B272" i="66" s="1"/>
  <c r="B223" i="66"/>
  <c r="B271" i="66" s="1"/>
  <c r="B221" i="66"/>
  <c r="B269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8" i="66"/>
  <c r="B256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99" i="66"/>
  <c r="B147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89" i="66"/>
  <c r="B137" i="66" s="1"/>
  <c r="B88" i="66"/>
  <c r="B136" i="66" s="1"/>
  <c r="B87" i="66"/>
  <c r="B135" i="66" s="1"/>
  <c r="B86" i="66"/>
  <c r="B134" i="66" s="1"/>
  <c r="B83" i="66"/>
  <c r="B131" i="66" s="1"/>
  <c r="B82" i="66"/>
  <c r="B130" i="66" s="1"/>
  <c r="B81" i="66"/>
  <c r="B129" i="66" s="1"/>
  <c r="B80" i="66"/>
  <c r="B128" i="66" s="1"/>
  <c r="B79" i="66"/>
  <c r="B127" i="66" s="1"/>
  <c r="B77" i="66"/>
  <c r="B125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4" i="66"/>
  <c r="B112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F48" i="74" l="1"/>
  <c r="F42" i="74"/>
  <c r="F36" i="74"/>
  <c r="F30" i="74"/>
  <c r="F24" i="74"/>
  <c r="F18" i="74"/>
  <c r="F12" i="74"/>
  <c r="F47" i="74"/>
  <c r="F23" i="74"/>
  <c r="F22" i="74"/>
  <c r="F6" i="74"/>
  <c r="F41" i="74"/>
  <c r="F11" i="74"/>
  <c r="F28" i="74"/>
  <c r="F29" i="74"/>
  <c r="F40" i="74"/>
  <c r="F16" i="74"/>
  <c r="F4" i="74"/>
  <c r="F43" i="74"/>
  <c r="F13" i="74"/>
  <c r="F5" i="74"/>
  <c r="F34" i="74"/>
  <c r="F46" i="74"/>
  <c r="F10" i="74"/>
  <c r="AE1" i="74"/>
  <c r="F49" i="74"/>
  <c r="F19" i="74"/>
  <c r="F37" i="74"/>
  <c r="F51" i="74"/>
  <c r="F45" i="74"/>
  <c r="F39" i="74"/>
  <c r="F33" i="74"/>
  <c r="F27" i="74"/>
  <c r="F21" i="74"/>
  <c r="F15" i="74"/>
  <c r="F9" i="74"/>
  <c r="F50" i="74"/>
  <c r="F44" i="74"/>
  <c r="F38" i="74"/>
  <c r="F32" i="74"/>
  <c r="F26" i="74"/>
  <c r="F20" i="74"/>
  <c r="F14" i="74"/>
  <c r="F8" i="74"/>
  <c r="F25" i="74"/>
  <c r="F7" i="74"/>
  <c r="F35" i="74"/>
  <c r="F17" i="74"/>
  <c r="F31" i="74"/>
  <c r="D7" i="74"/>
  <c r="D48" i="74"/>
  <c r="D42" i="74"/>
  <c r="D36" i="74"/>
  <c r="D30" i="74"/>
  <c r="D24" i="74"/>
  <c r="P24" i="74" s="1"/>
  <c r="D18" i="74"/>
  <c r="P18" i="74" s="1"/>
  <c r="D12" i="74"/>
  <c r="D8" i="74"/>
  <c r="P8" i="74" s="1"/>
  <c r="D70" i="74"/>
  <c r="P70" i="74" s="1"/>
  <c r="D47" i="74"/>
  <c r="P47" i="74" s="1"/>
  <c r="D41" i="74"/>
  <c r="D35" i="74"/>
  <c r="D29" i="74"/>
  <c r="P29" i="74" s="1"/>
  <c r="D23" i="74"/>
  <c r="D17" i="74"/>
  <c r="D11" i="74"/>
  <c r="P11" i="74" s="1"/>
  <c r="D5" i="74"/>
  <c r="P5" i="74" s="1"/>
  <c r="D46" i="74"/>
  <c r="D40" i="74"/>
  <c r="P40" i="74" s="1"/>
  <c r="D34" i="74"/>
  <c r="P34" i="74" s="1"/>
  <c r="D28" i="74"/>
  <c r="D22" i="74"/>
  <c r="P22" i="74" s="1"/>
  <c r="D16" i="74"/>
  <c r="D10" i="74"/>
  <c r="D4" i="74"/>
  <c r="P4" i="74" s="1"/>
  <c r="D39" i="74"/>
  <c r="P39" i="74" s="1"/>
  <c r="D27" i="74"/>
  <c r="P27" i="74" s="1"/>
  <c r="D21" i="74"/>
  <c r="D9" i="74"/>
  <c r="D50" i="74"/>
  <c r="D32" i="74"/>
  <c r="D20" i="74"/>
  <c r="D51" i="74"/>
  <c r="P51" i="74" s="1"/>
  <c r="D45" i="74"/>
  <c r="D33" i="74"/>
  <c r="P33" i="74" s="1"/>
  <c r="D15" i="74"/>
  <c r="P15" i="74" s="1"/>
  <c r="D14" i="74"/>
  <c r="P14" i="74" s="1"/>
  <c r="D44" i="74"/>
  <c r="P44" i="74" s="1"/>
  <c r="D26" i="74"/>
  <c r="D49" i="74"/>
  <c r="D43" i="74"/>
  <c r="P43" i="74" s="1"/>
  <c r="D37" i="74"/>
  <c r="D31" i="74"/>
  <c r="P31" i="74" s="1"/>
  <c r="D25" i="74"/>
  <c r="P25" i="74" s="1"/>
  <c r="D19" i="74"/>
  <c r="P19" i="74" s="1"/>
  <c r="D13" i="74"/>
  <c r="P13" i="74" s="1"/>
  <c r="D6" i="74"/>
  <c r="D89" i="74"/>
  <c r="D84" i="74"/>
  <c r="D82" i="74"/>
  <c r="P82" i="74" s="1"/>
  <c r="D58" i="74"/>
  <c r="D76" i="74"/>
  <c r="D88" i="74"/>
  <c r="P88" i="74" s="1"/>
  <c r="D139" i="74"/>
  <c r="P139" i="74" s="1"/>
  <c r="D55" i="74"/>
  <c r="D97" i="74"/>
  <c r="D67" i="74"/>
  <c r="P67" i="74" s="1"/>
  <c r="D92" i="74"/>
  <c r="P92" i="74" s="1"/>
  <c r="D95" i="74"/>
  <c r="P95" i="74" s="1"/>
  <c r="D57" i="74"/>
  <c r="D75" i="74"/>
  <c r="P75" i="74" s="1"/>
  <c r="D81" i="74"/>
  <c r="P81" i="74" s="1"/>
  <c r="D91" i="74"/>
  <c r="P91" i="74" s="1"/>
  <c r="D74" i="74"/>
  <c r="D71" i="74"/>
  <c r="D136" i="74"/>
  <c r="P136" i="74" s="1"/>
  <c r="D73" i="74"/>
  <c r="P73" i="74" s="1"/>
  <c r="D87" i="74"/>
  <c r="P87" i="74" s="1"/>
  <c r="D98" i="74"/>
  <c r="D64" i="74"/>
  <c r="D93" i="74"/>
  <c r="D62" i="74"/>
  <c r="P62" i="74" s="1"/>
  <c r="D54" i="74"/>
  <c r="D52" i="74"/>
  <c r="P52" i="74" s="1"/>
  <c r="D66" i="74"/>
  <c r="P66" i="74" s="1"/>
  <c r="D99" i="74"/>
  <c r="P99" i="74" s="1"/>
  <c r="D130" i="74"/>
  <c r="P130" i="74" s="1"/>
  <c r="D77" i="74"/>
  <c r="P77" i="74" s="1"/>
  <c r="D121" i="74"/>
  <c r="P121" i="74" s="1"/>
  <c r="D80" i="74"/>
  <c r="D68" i="74"/>
  <c r="D60" i="74"/>
  <c r="D109" i="74"/>
  <c r="P109" i="74" s="1"/>
  <c r="D69" i="74"/>
  <c r="D65" i="74"/>
  <c r="D100" i="74"/>
  <c r="P100" i="74" s="1"/>
  <c r="D85" i="74"/>
  <c r="D78" i="74"/>
  <c r="D96" i="74"/>
  <c r="D53" i="74"/>
  <c r="P53" i="74" s="1"/>
  <c r="D61" i="74"/>
  <c r="P61" i="74" s="1"/>
  <c r="D56" i="74"/>
  <c r="P56" i="74" s="1"/>
  <c r="D72" i="74"/>
  <c r="P72" i="74" s="1"/>
  <c r="D63" i="74"/>
  <c r="P63" i="74" s="1"/>
  <c r="D83" i="74"/>
  <c r="D59" i="74"/>
  <c r="P59" i="74" s="1"/>
  <c r="D79" i="74"/>
  <c r="P79" i="74" s="1"/>
  <c r="D94" i="74"/>
  <c r="D90" i="74"/>
  <c r="D145" i="74"/>
  <c r="D103" i="74"/>
  <c r="D117" i="74"/>
  <c r="D111" i="74"/>
  <c r="P111" i="74" s="1"/>
  <c r="D147" i="74"/>
  <c r="P147" i="74" s="1"/>
  <c r="D112" i="74"/>
  <c r="D143" i="74"/>
  <c r="P143" i="74" s="1"/>
  <c r="D132" i="74"/>
  <c r="D116" i="74"/>
  <c r="D128" i="74"/>
  <c r="D144" i="74"/>
  <c r="D126" i="74"/>
  <c r="D118" i="74"/>
  <c r="P118" i="74" s="1"/>
  <c r="D102" i="74"/>
  <c r="D135" i="74"/>
  <c r="P135" i="74" s="1"/>
  <c r="D110" i="74"/>
  <c r="P110" i="74" s="1"/>
  <c r="D120" i="74"/>
  <c r="P120" i="74" s="1"/>
  <c r="D104" i="74"/>
  <c r="P104" i="74" s="1"/>
  <c r="D122" i="74"/>
  <c r="D127" i="74"/>
  <c r="P127" i="74" s="1"/>
  <c r="D114" i="74"/>
  <c r="P114" i="74" s="1"/>
  <c r="D108" i="74"/>
  <c r="D124" i="74"/>
  <c r="D101" i="74"/>
  <c r="P101" i="74" s="1"/>
  <c r="D131" i="74"/>
  <c r="D125" i="74"/>
  <c r="P125" i="74" s="1"/>
  <c r="D129" i="74"/>
  <c r="P129" i="74" s="1"/>
  <c r="D107" i="74"/>
  <c r="P107" i="74" s="1"/>
  <c r="D115" i="74"/>
  <c r="P115" i="74" s="1"/>
  <c r="D133" i="74"/>
  <c r="D105" i="74"/>
  <c r="D140" i="74"/>
  <c r="P140" i="74" s="1"/>
  <c r="D137" i="74"/>
  <c r="D138" i="74"/>
  <c r="D142" i="74"/>
  <c r="D106" i="74"/>
  <c r="D146" i="74"/>
  <c r="D141" i="74"/>
  <c r="D113" i="74"/>
  <c r="D123" i="74"/>
  <c r="P123" i="74" s="1"/>
  <c r="D119" i="74"/>
  <c r="F139" i="74"/>
  <c r="F127" i="74"/>
  <c r="F115" i="74"/>
  <c r="F103" i="74"/>
  <c r="F117" i="74"/>
  <c r="F138" i="74"/>
  <c r="F126" i="74"/>
  <c r="F114" i="74"/>
  <c r="F102" i="74"/>
  <c r="F137" i="74"/>
  <c r="F125" i="74"/>
  <c r="F113" i="74"/>
  <c r="F101" i="74"/>
  <c r="F141" i="74"/>
  <c r="F136" i="74"/>
  <c r="F124" i="74"/>
  <c r="F112" i="74"/>
  <c r="F100" i="74"/>
  <c r="F147" i="74"/>
  <c r="F135" i="74"/>
  <c r="F123" i="74"/>
  <c r="F111" i="74"/>
  <c r="F129" i="74"/>
  <c r="F146" i="74"/>
  <c r="F134" i="74"/>
  <c r="F122" i="74"/>
  <c r="F110" i="74"/>
  <c r="F145" i="74"/>
  <c r="F133" i="74"/>
  <c r="F121" i="74"/>
  <c r="F109" i="74"/>
  <c r="F144" i="74"/>
  <c r="F132" i="74"/>
  <c r="F120" i="74"/>
  <c r="F108" i="74"/>
  <c r="AE3" i="74"/>
  <c r="F143" i="74"/>
  <c r="F131" i="74"/>
  <c r="F119" i="74"/>
  <c r="F107" i="74"/>
  <c r="F142" i="74"/>
  <c r="F130" i="74"/>
  <c r="F118" i="74"/>
  <c r="F106" i="74"/>
  <c r="F140" i="74"/>
  <c r="F128" i="74"/>
  <c r="F116" i="74"/>
  <c r="F104" i="74"/>
  <c r="F105" i="74"/>
  <c r="F97" i="74"/>
  <c r="F94" i="74"/>
  <c r="F91" i="74"/>
  <c r="F88" i="74"/>
  <c r="F58" i="74"/>
  <c r="F56" i="74"/>
  <c r="F85" i="74"/>
  <c r="F82" i="74"/>
  <c r="F79" i="74"/>
  <c r="F76" i="74"/>
  <c r="F73" i="74"/>
  <c r="F70" i="74"/>
  <c r="F61" i="74"/>
  <c r="F62" i="74"/>
  <c r="F67" i="74"/>
  <c r="F55" i="74"/>
  <c r="F68" i="74"/>
  <c r="F59" i="74"/>
  <c r="F99" i="74"/>
  <c r="F96" i="74"/>
  <c r="F93" i="74"/>
  <c r="F90" i="74"/>
  <c r="F87" i="74"/>
  <c r="F65" i="74"/>
  <c r="F84" i="74"/>
  <c r="F81" i="74"/>
  <c r="F78" i="74"/>
  <c r="F75" i="74"/>
  <c r="F72" i="74"/>
  <c r="F69" i="74"/>
  <c r="F66" i="74"/>
  <c r="F63" i="74"/>
  <c r="F60" i="74"/>
  <c r="F57" i="74"/>
  <c r="F54" i="74"/>
  <c r="F53" i="74"/>
  <c r="F98" i="74"/>
  <c r="F95" i="74"/>
  <c r="F92" i="74"/>
  <c r="F89" i="74"/>
  <c r="AE2" i="74"/>
  <c r="F86" i="74"/>
  <c r="F83" i="74"/>
  <c r="F80" i="74"/>
  <c r="F77" i="74"/>
  <c r="F74" i="74"/>
  <c r="F71" i="74"/>
  <c r="F64" i="74"/>
  <c r="F52" i="74"/>
  <c r="P36" i="70"/>
  <c r="AD1" i="66"/>
  <c r="P38" i="70"/>
  <c r="AD3" i="66"/>
  <c r="P37" i="70"/>
  <c r="AD2" i="66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D38" i="74" s="1"/>
  <c r="P38" i="74" s="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S55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E279" i="66"/>
  <c r="E244" i="66"/>
  <c r="E130" i="66"/>
  <c r="D348" i="38"/>
  <c r="D43" i="38"/>
  <c r="E273" i="66"/>
  <c r="E126" i="66"/>
  <c r="D337" i="38"/>
  <c r="D230" i="38"/>
  <c r="E261" i="66"/>
  <c r="E114" i="66"/>
  <c r="C37" i="57"/>
  <c r="E4" i="17"/>
  <c r="D174" i="38"/>
  <c r="B28" i="63"/>
  <c r="E291" i="66"/>
  <c r="E257" i="66"/>
  <c r="E144" i="66"/>
  <c r="E110" i="66"/>
  <c r="C74" i="57"/>
  <c r="C36" i="57"/>
  <c r="D173" i="38"/>
  <c r="D48" i="26"/>
  <c r="J4" i="6"/>
  <c r="L11" i="39"/>
  <c r="E287" i="66"/>
  <c r="E253" i="66"/>
  <c r="E140" i="66"/>
  <c r="C73" i="57"/>
  <c r="G11" i="32"/>
  <c r="I4" i="20"/>
  <c r="E283" i="66"/>
  <c r="E136" i="66"/>
  <c r="E101" i="66"/>
  <c r="D349" i="38"/>
  <c r="A247" i="66"/>
  <c r="S247" i="66" s="1"/>
  <c r="I53" i="66"/>
  <c r="C99" i="66"/>
  <c r="P99" i="66" s="1"/>
  <c r="C93" i="66"/>
  <c r="C79" i="66"/>
  <c r="P79" i="66" s="1"/>
  <c r="C67" i="66"/>
  <c r="P67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6" i="66"/>
  <c r="P56" i="66" s="1"/>
  <c r="C97" i="66"/>
  <c r="C65" i="66"/>
  <c r="C236" i="66"/>
  <c r="P236" i="66" s="1"/>
  <c r="V236" i="66" s="1"/>
  <c r="C222" i="66"/>
  <c r="C216" i="66"/>
  <c r="P216" i="66" s="1"/>
  <c r="V216" i="66" s="1"/>
  <c r="C76" i="66"/>
  <c r="C55" i="66"/>
  <c r="C103" i="66"/>
  <c r="C81" i="66"/>
  <c r="P81" i="66" s="1"/>
  <c r="C75" i="66"/>
  <c r="P75" i="66" s="1"/>
  <c r="C240" i="66"/>
  <c r="C234" i="66"/>
  <c r="C226" i="66"/>
  <c r="P226" i="66" s="1"/>
  <c r="V226" i="66" s="1"/>
  <c r="C53" i="66"/>
  <c r="P53" i="66" s="1"/>
  <c r="C218" i="66"/>
  <c r="C94" i="66"/>
  <c r="B3" i="8"/>
  <c r="E180" i="66"/>
  <c r="E181" i="66"/>
  <c r="E36" i="66"/>
  <c r="E37" i="66"/>
  <c r="D401" i="38"/>
  <c r="D398" i="38"/>
  <c r="D3" i="8"/>
  <c r="E276" i="66"/>
  <c r="E277" i="66"/>
  <c r="D403" i="38"/>
  <c r="E132" i="66"/>
  <c r="E133" i="66"/>
  <c r="D400" i="38"/>
  <c r="C10" i="66"/>
  <c r="C22" i="66"/>
  <c r="P22" i="66" s="1"/>
  <c r="C34" i="66"/>
  <c r="P34" i="66" s="1"/>
  <c r="C46" i="66"/>
  <c r="C154" i="66"/>
  <c r="C166" i="66"/>
  <c r="P166" i="66" s="1"/>
  <c r="C178" i="66"/>
  <c r="P178" i="66" s="1"/>
  <c r="C192" i="66"/>
  <c r="C26" i="66"/>
  <c r="C4" i="66"/>
  <c r="P4" i="66" s="1"/>
  <c r="C180" i="66"/>
  <c r="C11" i="66"/>
  <c r="P11" i="66" s="1"/>
  <c r="C23" i="66"/>
  <c r="C35" i="66"/>
  <c r="C47" i="66"/>
  <c r="P47" i="66" s="1"/>
  <c r="C155" i="66"/>
  <c r="P155" i="66" s="1"/>
  <c r="C167" i="66"/>
  <c r="C179" i="66"/>
  <c r="C193" i="66"/>
  <c r="C170" i="66"/>
  <c r="C12" i="66"/>
  <c r="C24" i="66"/>
  <c r="P24" i="66" s="1"/>
  <c r="C36" i="66"/>
  <c r="C48" i="66"/>
  <c r="C156" i="66"/>
  <c r="C168" i="66"/>
  <c r="P168" i="66" s="1"/>
  <c r="C194" i="66"/>
  <c r="C50" i="66"/>
  <c r="C184" i="66"/>
  <c r="P184" i="66" s="1"/>
  <c r="C13" i="66"/>
  <c r="P13" i="66" s="1"/>
  <c r="C25" i="66"/>
  <c r="P25" i="66" s="1"/>
  <c r="C37" i="66"/>
  <c r="C49" i="66"/>
  <c r="C157" i="66"/>
  <c r="P157" i="66" s="1"/>
  <c r="C169" i="66"/>
  <c r="P169" i="66" s="1"/>
  <c r="C183" i="66"/>
  <c r="P183" i="66" s="1"/>
  <c r="C195" i="66"/>
  <c r="P195" i="66" s="1"/>
  <c r="C14" i="66"/>
  <c r="P14" i="66" s="1"/>
  <c r="C158" i="66"/>
  <c r="P158" i="66" s="1"/>
  <c r="C181" i="66"/>
  <c r="C15" i="66"/>
  <c r="P15" i="66" s="1"/>
  <c r="C27" i="66"/>
  <c r="P27" i="66" s="1"/>
  <c r="C39" i="66"/>
  <c r="P39" i="66" s="1"/>
  <c r="C51" i="66"/>
  <c r="P51" i="66" s="1"/>
  <c r="C159" i="66"/>
  <c r="P159" i="66" s="1"/>
  <c r="C171" i="66"/>
  <c r="P171" i="66" s="1"/>
  <c r="C185" i="66"/>
  <c r="C152" i="66"/>
  <c r="P152" i="66" s="1"/>
  <c r="V152" i="66" s="1"/>
  <c r="C45" i="66"/>
  <c r="C16" i="66"/>
  <c r="C28" i="66"/>
  <c r="C40" i="66"/>
  <c r="P40" i="66" s="1"/>
  <c r="C148" i="66"/>
  <c r="P148" i="66" s="1"/>
  <c r="C160" i="66"/>
  <c r="C172" i="66"/>
  <c r="C186" i="66"/>
  <c r="C32" i="66"/>
  <c r="C21" i="66"/>
  <c r="C191" i="66"/>
  <c r="P191" i="66" s="1"/>
  <c r="C5" i="66"/>
  <c r="P5" i="66" s="1"/>
  <c r="C17" i="66"/>
  <c r="C29" i="66"/>
  <c r="P29" i="66" s="1"/>
  <c r="C41" i="66"/>
  <c r="C149" i="66"/>
  <c r="P149" i="66" s="1"/>
  <c r="C161" i="66"/>
  <c r="C173" i="66"/>
  <c r="P173" i="66" s="1"/>
  <c r="C187" i="66"/>
  <c r="P187" i="66" s="1"/>
  <c r="C44" i="66"/>
  <c r="P44" i="66" s="1"/>
  <c r="C190" i="66"/>
  <c r="C153" i="66"/>
  <c r="C228" i="66"/>
  <c r="C6" i="66"/>
  <c r="C18" i="66"/>
  <c r="P18" i="66" s="1"/>
  <c r="C30" i="66"/>
  <c r="C42" i="66"/>
  <c r="C150" i="66"/>
  <c r="C162" i="66"/>
  <c r="P162" i="66" s="1"/>
  <c r="C174" i="66"/>
  <c r="C188" i="66"/>
  <c r="P188" i="66" s="1"/>
  <c r="C20" i="66"/>
  <c r="C176" i="66"/>
  <c r="C33" i="66"/>
  <c r="P33" i="66" s="1"/>
  <c r="C177" i="66"/>
  <c r="P177" i="66" s="1"/>
  <c r="C7" i="66"/>
  <c r="C19" i="66"/>
  <c r="P19" i="66" s="1"/>
  <c r="C31" i="66"/>
  <c r="P31" i="66" s="1"/>
  <c r="C43" i="66"/>
  <c r="P43" i="66" s="1"/>
  <c r="C151" i="66"/>
  <c r="C163" i="66"/>
  <c r="P163" i="66" s="1"/>
  <c r="C175" i="66"/>
  <c r="P175" i="66" s="1"/>
  <c r="C189" i="66"/>
  <c r="C164" i="66"/>
  <c r="C165" i="66"/>
  <c r="C8" i="66"/>
  <c r="P8" i="66" s="1"/>
  <c r="C9" i="66"/>
  <c r="C85" i="66"/>
  <c r="C276" i="66"/>
  <c r="C229" i="66"/>
  <c r="C84" i="66"/>
  <c r="C277" i="66"/>
  <c r="C133" i="66"/>
  <c r="C132" i="66"/>
  <c r="C3" i="8"/>
  <c r="E229" i="66"/>
  <c r="D402" i="38"/>
  <c r="E228" i="66"/>
  <c r="E84" i="66"/>
  <c r="D399" i="38"/>
  <c r="E85" i="66"/>
  <c r="A11" i="53"/>
  <c r="A17" i="53" s="1"/>
  <c r="I56" i="66"/>
  <c r="I52" i="66"/>
  <c r="A104" i="66"/>
  <c r="I104" i="66" s="1"/>
  <c r="A100" i="66"/>
  <c r="I100" i="66" s="1"/>
  <c r="I137" i="66"/>
  <c r="C137" i="66"/>
  <c r="I131" i="66"/>
  <c r="C131" i="66"/>
  <c r="I130" i="66"/>
  <c r="C130" i="66"/>
  <c r="P130" i="66" s="1"/>
  <c r="I257" i="66"/>
  <c r="C257" i="66"/>
  <c r="I73" i="66"/>
  <c r="C73" i="66"/>
  <c r="P73" i="66" s="1"/>
  <c r="I261" i="66"/>
  <c r="C261" i="66"/>
  <c r="I244" i="66"/>
  <c r="C244" i="66"/>
  <c r="P244" i="66" s="1"/>
  <c r="I238" i="66"/>
  <c r="C238" i="66"/>
  <c r="I232" i="66"/>
  <c r="C232" i="66"/>
  <c r="P232" i="66" s="1"/>
  <c r="I224" i="66"/>
  <c r="C224" i="66"/>
  <c r="A260" i="66"/>
  <c r="C260" i="66" s="1"/>
  <c r="C212" i="66"/>
  <c r="I196" i="66"/>
  <c r="C196" i="66"/>
  <c r="P196" i="66" s="1"/>
  <c r="I114" i="66"/>
  <c r="C114" i="66"/>
  <c r="P114" i="66" s="1"/>
  <c r="I61" i="66"/>
  <c r="C61" i="66"/>
  <c r="P61" i="66" s="1"/>
  <c r="A286" i="66"/>
  <c r="I98" i="66"/>
  <c r="C98" i="66"/>
  <c r="I92" i="66"/>
  <c r="C92" i="66"/>
  <c r="P92" i="66" s="1"/>
  <c r="I86" i="66"/>
  <c r="I78" i="66"/>
  <c r="C78" i="66"/>
  <c r="I72" i="66"/>
  <c r="C72" i="66"/>
  <c r="P72" i="66" s="1"/>
  <c r="I66" i="66"/>
  <c r="C66" i="66"/>
  <c r="P66" i="66" s="1"/>
  <c r="I60" i="66"/>
  <c r="C60" i="66"/>
  <c r="I199" i="66"/>
  <c r="C199" i="66"/>
  <c r="C52" i="66"/>
  <c r="P52" i="66" s="1"/>
  <c r="I206" i="66"/>
  <c r="C206" i="66"/>
  <c r="P206" i="66" s="1"/>
  <c r="I243" i="66"/>
  <c r="C243" i="66"/>
  <c r="P243" i="66" s="1"/>
  <c r="I237" i="66"/>
  <c r="C237" i="66"/>
  <c r="I231" i="66"/>
  <c r="C231" i="66"/>
  <c r="P231" i="66" s="1"/>
  <c r="I223" i="66"/>
  <c r="C223" i="66"/>
  <c r="P223" i="66" s="1"/>
  <c r="V223" i="66" s="1"/>
  <c r="I217" i="66"/>
  <c r="C217" i="66"/>
  <c r="P217" i="66" s="1"/>
  <c r="I211" i="66"/>
  <c r="C211" i="66"/>
  <c r="P211" i="66" s="1"/>
  <c r="V211" i="66" s="1"/>
  <c r="I205" i="66"/>
  <c r="C205" i="66"/>
  <c r="P205" i="66" s="1"/>
  <c r="I146" i="66"/>
  <c r="C146" i="66"/>
  <c r="I59" i="66"/>
  <c r="C59" i="66"/>
  <c r="P59" i="66" s="1"/>
  <c r="I281" i="66"/>
  <c r="C281" i="66"/>
  <c r="I144" i="66"/>
  <c r="C144" i="66"/>
  <c r="I126" i="66"/>
  <c r="C126" i="66"/>
  <c r="I109" i="66"/>
  <c r="C109" i="66"/>
  <c r="P109" i="66" s="1"/>
  <c r="V109" i="66" s="1"/>
  <c r="I91" i="66"/>
  <c r="C91" i="66"/>
  <c r="P91" i="66" s="1"/>
  <c r="I83" i="66"/>
  <c r="C83" i="66"/>
  <c r="I77" i="66"/>
  <c r="C77" i="66"/>
  <c r="P77" i="66" s="1"/>
  <c r="I71" i="66"/>
  <c r="C71" i="66"/>
  <c r="I202" i="66"/>
  <c r="C202" i="66"/>
  <c r="I55" i="66"/>
  <c r="I95" i="66"/>
  <c r="C95" i="66"/>
  <c r="P95" i="66" s="1"/>
  <c r="I256" i="66"/>
  <c r="C256" i="66"/>
  <c r="I242" i="66"/>
  <c r="C242" i="66"/>
  <c r="I210" i="66"/>
  <c r="C210" i="66"/>
  <c r="P210" i="66" s="1"/>
  <c r="I204" i="66"/>
  <c r="C204" i="66"/>
  <c r="I106" i="66"/>
  <c r="C106" i="66"/>
  <c r="I230" i="66"/>
  <c r="I273" i="66"/>
  <c r="C273" i="66"/>
  <c r="P273" i="66" s="1"/>
  <c r="I253" i="66"/>
  <c r="C253" i="66"/>
  <c r="P253" i="66" s="1"/>
  <c r="I140" i="66"/>
  <c r="C140" i="66"/>
  <c r="P140" i="66" s="1"/>
  <c r="I125" i="66"/>
  <c r="C125" i="66"/>
  <c r="P125" i="66" s="1"/>
  <c r="I96" i="66"/>
  <c r="C96" i="66"/>
  <c r="I90" i="66"/>
  <c r="C90" i="66"/>
  <c r="I82" i="66"/>
  <c r="C82" i="66"/>
  <c r="P82" i="66" s="1"/>
  <c r="I70" i="66"/>
  <c r="C70" i="66"/>
  <c r="P70" i="66" s="1"/>
  <c r="I64" i="66"/>
  <c r="C64" i="66"/>
  <c r="I58" i="66"/>
  <c r="C58" i="66"/>
  <c r="I241" i="66"/>
  <c r="C241" i="66"/>
  <c r="I235" i="66"/>
  <c r="C235" i="66"/>
  <c r="P235" i="66" s="1"/>
  <c r="I227" i="66"/>
  <c r="C227" i="66"/>
  <c r="I221" i="66"/>
  <c r="C221" i="66"/>
  <c r="P221" i="66" s="1"/>
  <c r="I215" i="66"/>
  <c r="C215" i="66"/>
  <c r="I209" i="66"/>
  <c r="C209" i="66"/>
  <c r="I203" i="66"/>
  <c r="C203" i="66"/>
  <c r="P203" i="66" s="1"/>
  <c r="I122" i="66"/>
  <c r="C122" i="66"/>
  <c r="I198" i="66"/>
  <c r="C198" i="66"/>
  <c r="I272" i="66"/>
  <c r="C272" i="66"/>
  <c r="I139" i="66"/>
  <c r="C139" i="66"/>
  <c r="P139" i="66" s="1"/>
  <c r="I69" i="66"/>
  <c r="C69" i="66"/>
  <c r="A111" i="66"/>
  <c r="C63" i="66"/>
  <c r="P63" i="66" s="1"/>
  <c r="I201" i="66"/>
  <c r="C201" i="66"/>
  <c r="I220" i="66"/>
  <c r="C220" i="66"/>
  <c r="I214" i="66"/>
  <c r="C214" i="66"/>
  <c r="P214" i="66" s="1"/>
  <c r="I208" i="66"/>
  <c r="C208" i="66"/>
  <c r="I200" i="66"/>
  <c r="C200" i="66"/>
  <c r="P200" i="66" s="1"/>
  <c r="A138" i="66"/>
  <c r="I120" i="66"/>
  <c r="C120" i="66"/>
  <c r="P120" i="66" s="1"/>
  <c r="I101" i="66"/>
  <c r="C101" i="66"/>
  <c r="P101" i="66" s="1"/>
  <c r="I54" i="66"/>
  <c r="C54" i="66"/>
  <c r="I88" i="66"/>
  <c r="C88" i="66"/>
  <c r="P88" i="66" s="1"/>
  <c r="I80" i="66"/>
  <c r="C80" i="66"/>
  <c r="I74" i="66"/>
  <c r="C74" i="66"/>
  <c r="A116" i="66"/>
  <c r="C116" i="66" s="1"/>
  <c r="C68" i="66"/>
  <c r="A105" i="66"/>
  <c r="C57" i="66"/>
  <c r="I251" i="66"/>
  <c r="C251" i="66"/>
  <c r="P251" i="66" s="1"/>
  <c r="I102" i="66"/>
  <c r="C102" i="66"/>
  <c r="I269" i="66"/>
  <c r="C269" i="66"/>
  <c r="P269" i="66" s="1"/>
  <c r="I250" i="66"/>
  <c r="C250" i="66"/>
  <c r="I249" i="66"/>
  <c r="C249" i="66"/>
  <c r="A119" i="66"/>
  <c r="I267" i="66"/>
  <c r="C267" i="66"/>
  <c r="P267" i="66" s="1"/>
  <c r="C247" i="66"/>
  <c r="I239" i="66"/>
  <c r="C239" i="66"/>
  <c r="P239" i="66" s="1"/>
  <c r="V239" i="66" s="1"/>
  <c r="I233" i="66"/>
  <c r="C233" i="66"/>
  <c r="I225" i="66"/>
  <c r="C225" i="66"/>
  <c r="P225" i="66" s="1"/>
  <c r="I219" i="66"/>
  <c r="C219" i="66"/>
  <c r="P219" i="66" s="1"/>
  <c r="I213" i="66"/>
  <c r="C213" i="66"/>
  <c r="I207" i="66"/>
  <c r="C207" i="66"/>
  <c r="P207" i="66" s="1"/>
  <c r="I197" i="66"/>
  <c r="C197" i="66"/>
  <c r="P197" i="66" s="1"/>
  <c r="I89" i="66"/>
  <c r="C89" i="66"/>
  <c r="I287" i="66"/>
  <c r="C287" i="66"/>
  <c r="P287" i="66" s="1"/>
  <c r="I245" i="66"/>
  <c r="C245" i="66"/>
  <c r="P245" i="66" s="1"/>
  <c r="I134" i="66"/>
  <c r="I117" i="66"/>
  <c r="C117" i="66"/>
  <c r="I62" i="66"/>
  <c r="C62" i="66"/>
  <c r="P62" i="66" s="1"/>
  <c r="I87" i="66"/>
  <c r="C87" i="66"/>
  <c r="P87" i="66" s="1"/>
  <c r="A279" i="66"/>
  <c r="A259" i="66"/>
  <c r="A283" i="66"/>
  <c r="A263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4" i="66"/>
  <c r="I236" i="66"/>
  <c r="A264" i="66"/>
  <c r="I216" i="66"/>
  <c r="A127" i="66"/>
  <c r="I79" i="66"/>
  <c r="A285" i="66"/>
  <c r="A268" i="66"/>
  <c r="A143" i="66"/>
  <c r="A128" i="66"/>
  <c r="A147" i="66"/>
  <c r="I99" i="66"/>
  <c r="F47" i="39"/>
  <c r="A252" i="66"/>
  <c r="A110" i="66"/>
  <c r="A265" i="66"/>
  <c r="A270" i="66"/>
  <c r="I222" i="66"/>
  <c r="A141" i="66"/>
  <c r="I93" i="66"/>
  <c r="A115" i="66"/>
  <c r="I67" i="66"/>
  <c r="A288" i="66"/>
  <c r="I240" i="66"/>
  <c r="A282" i="66"/>
  <c r="I234" i="66"/>
  <c r="A274" i="66"/>
  <c r="I226" i="66"/>
  <c r="A145" i="66"/>
  <c r="I97" i="66"/>
  <c r="A113" i="66"/>
  <c r="I65" i="66"/>
  <c r="D25" i="6"/>
  <c r="O25" i="39"/>
  <c r="A124" i="66"/>
  <c r="I76" i="66"/>
  <c r="D23" i="6"/>
  <c r="C26" i="6"/>
  <c r="B24" i="6"/>
  <c r="A291" i="66"/>
  <c r="A278" i="66"/>
  <c r="A121" i="66"/>
  <c r="S103" i="66"/>
  <c r="I103" i="66"/>
  <c r="C25" i="6"/>
  <c r="B23" i="6"/>
  <c r="N29" i="39"/>
  <c r="A266" i="66"/>
  <c r="I218" i="66"/>
  <c r="A135" i="66"/>
  <c r="A129" i="66"/>
  <c r="I81" i="66"/>
  <c r="A123" i="66"/>
  <c r="I75" i="66"/>
  <c r="D20" i="6"/>
  <c r="C24" i="6"/>
  <c r="A290" i="66"/>
  <c r="A142" i="66"/>
  <c r="I94" i="66"/>
  <c r="I57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80" i="66"/>
  <c r="A262" i="66"/>
  <c r="I63" i="66"/>
  <c r="A108" i="66"/>
  <c r="O22" i="39"/>
  <c r="P28" i="39"/>
  <c r="Q28" i="39" s="1"/>
  <c r="A255" i="66"/>
  <c r="B22" i="6"/>
  <c r="C53" i="39"/>
  <c r="O21" i="39"/>
  <c r="A289" i="66"/>
  <c r="A271" i="66"/>
  <c r="A136" i="66"/>
  <c r="A118" i="66"/>
  <c r="G118" i="66" s="1"/>
  <c r="A107" i="66"/>
  <c r="C20" i="6"/>
  <c r="A254" i="66"/>
  <c r="A112" i="66"/>
  <c r="A248" i="66"/>
  <c r="F46" i="39"/>
  <c r="A275" i="66"/>
  <c r="A258" i="66"/>
  <c r="D22" i="6"/>
  <c r="A246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E249" i="66"/>
  <c r="E106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E248" i="66"/>
  <c r="E105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E260" i="66"/>
  <c r="E256" i="66"/>
  <c r="E252" i="66"/>
  <c r="E113" i="66"/>
  <c r="E109" i="66"/>
  <c r="E100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E290" i="66"/>
  <c r="E286" i="66"/>
  <c r="E282" i="66"/>
  <c r="E278" i="66"/>
  <c r="E272" i="66"/>
  <c r="E268" i="66"/>
  <c r="E264" i="66"/>
  <c r="E247" i="66"/>
  <c r="E147" i="66"/>
  <c r="E143" i="66"/>
  <c r="E139" i="66"/>
  <c r="E135" i="66"/>
  <c r="E129" i="66"/>
  <c r="E125" i="66"/>
  <c r="E121" i="66"/>
  <c r="E117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E104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E259" i="66"/>
  <c r="E255" i="66"/>
  <c r="E251" i="66"/>
  <c r="E116" i="66"/>
  <c r="E112" i="66"/>
  <c r="E108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E289" i="66"/>
  <c r="E285" i="66"/>
  <c r="E281" i="66"/>
  <c r="E275" i="66"/>
  <c r="E271" i="66"/>
  <c r="E267" i="66"/>
  <c r="E263" i="66"/>
  <c r="E246" i="66"/>
  <c r="E146" i="66"/>
  <c r="E142" i="66"/>
  <c r="E138" i="66"/>
  <c r="E134" i="66"/>
  <c r="E128" i="66"/>
  <c r="E124" i="66"/>
  <c r="E120" i="66"/>
  <c r="E103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E102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E258" i="66"/>
  <c r="E254" i="66"/>
  <c r="E115" i="66"/>
  <c r="E111" i="66"/>
  <c r="E107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E288" i="66"/>
  <c r="E284" i="66"/>
  <c r="E280" i="66"/>
  <c r="E274" i="66"/>
  <c r="E270" i="66"/>
  <c r="E266" i="66"/>
  <c r="E262" i="66"/>
  <c r="E245" i="66"/>
  <c r="E145" i="66"/>
  <c r="E141" i="66"/>
  <c r="E137" i="66"/>
  <c r="E131" i="66"/>
  <c r="E127" i="66"/>
  <c r="E123" i="66"/>
  <c r="E119" i="66"/>
  <c r="E250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E10" i="66"/>
  <c r="E41" i="66"/>
  <c r="E209" i="18"/>
  <c r="C13" i="53"/>
  <c r="D141" i="38"/>
  <c r="D199" i="38"/>
  <c r="D98" i="35"/>
  <c r="D50" i="35"/>
  <c r="E194" i="66"/>
  <c r="E462" i="18"/>
  <c r="D373" i="38"/>
  <c r="D140" i="38"/>
  <c r="E8" i="66"/>
  <c r="E167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E188" i="66"/>
  <c r="C51" i="22"/>
  <c r="C47" i="57"/>
  <c r="D11" i="35"/>
  <c r="D87" i="35"/>
  <c r="D54" i="35"/>
  <c r="R5" i="20"/>
  <c r="E40" i="66"/>
  <c r="E173" i="66"/>
  <c r="E39" i="66"/>
  <c r="D292" i="38"/>
  <c r="D244" i="38"/>
  <c r="D150" i="38"/>
  <c r="E25" i="66"/>
  <c r="C12" i="57"/>
  <c r="D354" i="38"/>
  <c r="D291" i="38"/>
  <c r="D243" i="38"/>
  <c r="D149" i="38"/>
  <c r="D5" i="38"/>
  <c r="C11" i="39"/>
  <c r="D30" i="22"/>
  <c r="E160" i="66"/>
  <c r="E24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E185" i="66"/>
  <c r="E11" i="66"/>
  <c r="E26" i="66"/>
  <c r="E42" i="66"/>
  <c r="E155" i="66"/>
  <c r="E161" i="66"/>
  <c r="E182" i="66"/>
  <c r="E195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E6" i="66"/>
  <c r="E12" i="66"/>
  <c r="E27" i="66"/>
  <c r="E43" i="66"/>
  <c r="E168" i="66"/>
  <c r="E174" i="66"/>
  <c r="E189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E150" i="66"/>
  <c r="E13" i="66"/>
  <c r="E28" i="66"/>
  <c r="E44" i="66"/>
  <c r="E148" i="66"/>
  <c r="E156" i="66"/>
  <c r="E162" i="66"/>
  <c r="E183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E9" i="66"/>
  <c r="E14" i="66"/>
  <c r="E29" i="66"/>
  <c r="E46" i="66"/>
  <c r="E154" i="66"/>
  <c r="E169" i="66"/>
  <c r="E175" i="66"/>
  <c r="E190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E21" i="66"/>
  <c r="E15" i="66"/>
  <c r="E30" i="66"/>
  <c r="E47" i="66"/>
  <c r="E149" i="66"/>
  <c r="E157" i="66"/>
  <c r="E163" i="66"/>
  <c r="E184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E23" i="66"/>
  <c r="E16" i="66"/>
  <c r="E31" i="66"/>
  <c r="E48" i="66"/>
  <c r="E170" i="66"/>
  <c r="E176" i="66"/>
  <c r="E191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E20" i="66"/>
  <c r="E45" i="66"/>
  <c r="E17" i="66"/>
  <c r="E32" i="66"/>
  <c r="E49" i="66"/>
  <c r="E158" i="66"/>
  <c r="E164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E35" i="66"/>
  <c r="E4" i="66"/>
  <c r="E18" i="66"/>
  <c r="E33" i="66"/>
  <c r="E51" i="66"/>
  <c r="E151" i="66"/>
  <c r="E165" i="66"/>
  <c r="E171" i="66"/>
  <c r="E177" i="66"/>
  <c r="E186" i="66"/>
  <c r="E192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E50" i="66"/>
  <c r="E5" i="66"/>
  <c r="E19" i="66"/>
  <c r="E34" i="66"/>
  <c r="E152" i="66"/>
  <c r="E159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E179" i="66"/>
  <c r="E7" i="66"/>
  <c r="E22" i="66"/>
  <c r="E38" i="66"/>
  <c r="E153" i="66"/>
  <c r="E166" i="66"/>
  <c r="E172" i="66"/>
  <c r="E178" i="66"/>
  <c r="E187" i="66"/>
  <c r="E193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G214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G64" i="66"/>
  <c r="F8" i="41"/>
  <c r="G97" i="66"/>
  <c r="G75" i="66"/>
  <c r="A19" i="8"/>
  <c r="C203" i="38"/>
  <c r="O44" i="39"/>
  <c r="G70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G241" i="66"/>
  <c r="G219" i="66"/>
  <c r="G208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C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6" i="70"/>
  <c r="Q38" i="70"/>
  <c r="Q37" i="70"/>
  <c r="D18" i="17" l="1"/>
  <c r="D16" i="17"/>
  <c r="D13" i="17"/>
  <c r="D12" i="17"/>
  <c r="D5" i="17"/>
  <c r="D17" i="17"/>
  <c r="D86" i="74"/>
  <c r="P86" i="74" s="1"/>
  <c r="V86" i="74"/>
  <c r="R86" i="74"/>
  <c r="R38" i="74"/>
  <c r="V38" i="74"/>
  <c r="I74" i="74"/>
  <c r="I57" i="74"/>
  <c r="I90" i="74"/>
  <c r="I76" i="74"/>
  <c r="I125" i="74"/>
  <c r="V123" i="74"/>
  <c r="R123" i="74"/>
  <c r="R115" i="74"/>
  <c r="V115" i="74"/>
  <c r="R120" i="74"/>
  <c r="V120" i="74"/>
  <c r="V147" i="74"/>
  <c r="R147" i="74"/>
  <c r="V56" i="74"/>
  <c r="R56" i="74"/>
  <c r="V67" i="74"/>
  <c r="R67" i="74"/>
  <c r="R19" i="74"/>
  <c r="V19" i="74"/>
  <c r="R22" i="74"/>
  <c r="V22" i="74"/>
  <c r="V47" i="74"/>
  <c r="R47" i="74"/>
  <c r="I17" i="74"/>
  <c r="I9" i="74"/>
  <c r="I10" i="74"/>
  <c r="I41" i="74"/>
  <c r="D134" i="74"/>
  <c r="P134" i="74" s="1"/>
  <c r="R51" i="74"/>
  <c r="V51" i="74"/>
  <c r="I80" i="74"/>
  <c r="I63" i="74"/>
  <c r="I96" i="74"/>
  <c r="I82" i="74"/>
  <c r="I132" i="74"/>
  <c r="V129" i="74"/>
  <c r="R129" i="74"/>
  <c r="R135" i="74"/>
  <c r="V135" i="74"/>
  <c r="V53" i="74"/>
  <c r="R53" i="74"/>
  <c r="R73" i="74"/>
  <c r="V73" i="74"/>
  <c r="V31" i="74"/>
  <c r="R31" i="74"/>
  <c r="R34" i="74"/>
  <c r="V34" i="74"/>
  <c r="V8" i="74"/>
  <c r="R8" i="74"/>
  <c r="I7" i="74"/>
  <c r="I21" i="74"/>
  <c r="I34" i="74"/>
  <c r="I22" i="74"/>
  <c r="I60" i="74"/>
  <c r="I83" i="74"/>
  <c r="I66" i="74"/>
  <c r="I99" i="74"/>
  <c r="I85" i="74"/>
  <c r="I106" i="74"/>
  <c r="V125" i="74"/>
  <c r="R125" i="74"/>
  <c r="R77" i="74"/>
  <c r="V77" i="74"/>
  <c r="V136" i="74"/>
  <c r="R136" i="74"/>
  <c r="V139" i="74"/>
  <c r="R139" i="74"/>
  <c r="V40" i="74"/>
  <c r="R40" i="74"/>
  <c r="I25" i="74"/>
  <c r="I27" i="74"/>
  <c r="I5" i="74"/>
  <c r="I23" i="74"/>
  <c r="V107" i="74"/>
  <c r="R107" i="74"/>
  <c r="V25" i="74"/>
  <c r="R25" i="74"/>
  <c r="I86" i="74"/>
  <c r="I69" i="74"/>
  <c r="I59" i="74"/>
  <c r="I56" i="74"/>
  <c r="I109" i="74"/>
  <c r="R118" i="74"/>
  <c r="V118" i="74"/>
  <c r="V130" i="74"/>
  <c r="R130" i="74"/>
  <c r="V88" i="74"/>
  <c r="R88" i="74"/>
  <c r="V43" i="74"/>
  <c r="R43" i="74"/>
  <c r="R18" i="74"/>
  <c r="V18" i="74"/>
  <c r="I8" i="74"/>
  <c r="I33" i="74"/>
  <c r="I13" i="74"/>
  <c r="I47" i="74"/>
  <c r="I72" i="74"/>
  <c r="I58" i="74"/>
  <c r="I100" i="74"/>
  <c r="V101" i="74"/>
  <c r="R101" i="74"/>
  <c r="V99" i="74"/>
  <c r="R99" i="74"/>
  <c r="V5" i="74"/>
  <c r="R5" i="74"/>
  <c r="R24" i="74"/>
  <c r="V24" i="74"/>
  <c r="I14" i="74"/>
  <c r="I39" i="74"/>
  <c r="I43" i="74"/>
  <c r="I12" i="74"/>
  <c r="I79" i="74"/>
  <c r="R110" i="74"/>
  <c r="V110" i="74"/>
  <c r="I6" i="74"/>
  <c r="I89" i="74"/>
  <c r="G75" i="74"/>
  <c r="I75" i="74"/>
  <c r="I55" i="74"/>
  <c r="I88" i="74"/>
  <c r="I133" i="74"/>
  <c r="I117" i="74"/>
  <c r="R100" i="74"/>
  <c r="V100" i="74"/>
  <c r="R66" i="74"/>
  <c r="V66" i="74"/>
  <c r="R91" i="74"/>
  <c r="V91" i="74"/>
  <c r="R11" i="74"/>
  <c r="V11" i="74"/>
  <c r="I45" i="74"/>
  <c r="I4" i="74"/>
  <c r="I18" i="74"/>
  <c r="V61" i="74"/>
  <c r="R61" i="74"/>
  <c r="I15" i="74"/>
  <c r="I92" i="74"/>
  <c r="I78" i="74"/>
  <c r="I67" i="74"/>
  <c r="I91" i="74"/>
  <c r="R79" i="74"/>
  <c r="V79" i="74"/>
  <c r="R52" i="74"/>
  <c r="V52" i="74"/>
  <c r="R81" i="74"/>
  <c r="V81" i="74"/>
  <c r="R82" i="74"/>
  <c r="V82" i="74"/>
  <c r="R44" i="74"/>
  <c r="V44" i="74"/>
  <c r="R27" i="74"/>
  <c r="V27" i="74"/>
  <c r="I26" i="74"/>
  <c r="I51" i="74"/>
  <c r="I16" i="74"/>
  <c r="I24" i="74"/>
  <c r="V87" i="74"/>
  <c r="R87" i="74"/>
  <c r="I95" i="74"/>
  <c r="I81" i="74"/>
  <c r="I62" i="74"/>
  <c r="I94" i="74"/>
  <c r="V114" i="74"/>
  <c r="R114" i="74"/>
  <c r="V59" i="74"/>
  <c r="R59" i="74"/>
  <c r="V75" i="74"/>
  <c r="R75" i="74"/>
  <c r="R14" i="74"/>
  <c r="V14" i="74"/>
  <c r="V39" i="74"/>
  <c r="R39" i="74"/>
  <c r="I32" i="74"/>
  <c r="I37" i="74"/>
  <c r="I40" i="74"/>
  <c r="I30" i="74"/>
  <c r="I93" i="74"/>
  <c r="I137" i="74"/>
  <c r="V70" i="74"/>
  <c r="R70" i="74"/>
  <c r="I52" i="74"/>
  <c r="I98" i="74"/>
  <c r="I84" i="74"/>
  <c r="I61" i="74"/>
  <c r="I97" i="74"/>
  <c r="G97" i="74"/>
  <c r="V140" i="74"/>
  <c r="R140" i="74"/>
  <c r="V127" i="74"/>
  <c r="R127" i="74"/>
  <c r="V109" i="74"/>
  <c r="R109" i="74"/>
  <c r="V62" i="74"/>
  <c r="R62" i="74"/>
  <c r="R4" i="74"/>
  <c r="V4" i="74"/>
  <c r="R29" i="74"/>
  <c r="V29" i="74"/>
  <c r="I38" i="74"/>
  <c r="I19" i="74"/>
  <c r="I29" i="74"/>
  <c r="I36" i="74"/>
  <c r="V121" i="74"/>
  <c r="R121" i="74"/>
  <c r="I35" i="74"/>
  <c r="I64" i="74"/>
  <c r="G64" i="74"/>
  <c r="I53" i="74"/>
  <c r="I65" i="74"/>
  <c r="G70" i="74"/>
  <c r="I70" i="74"/>
  <c r="I101" i="74"/>
  <c r="V143" i="74"/>
  <c r="R143" i="74"/>
  <c r="R63" i="74"/>
  <c r="V63" i="74"/>
  <c r="V95" i="74"/>
  <c r="R95" i="74"/>
  <c r="R15" i="74"/>
  <c r="V15" i="74"/>
  <c r="I44" i="74"/>
  <c r="I49" i="74"/>
  <c r="I28" i="74"/>
  <c r="I42" i="74"/>
  <c r="I77" i="74"/>
  <c r="R111" i="74"/>
  <c r="V111" i="74"/>
  <c r="I46" i="74"/>
  <c r="I71" i="74"/>
  <c r="I54" i="74"/>
  <c r="I87" i="74"/>
  <c r="I73" i="74"/>
  <c r="R104" i="74"/>
  <c r="V104" i="74"/>
  <c r="R72" i="74"/>
  <c r="V72" i="74"/>
  <c r="V92" i="74"/>
  <c r="R92" i="74"/>
  <c r="R13" i="74"/>
  <c r="V13" i="74"/>
  <c r="V33" i="74"/>
  <c r="R33" i="74"/>
  <c r="I31" i="74"/>
  <c r="I50" i="74"/>
  <c r="I11" i="74"/>
  <c r="I48" i="74"/>
  <c r="R37" i="70"/>
  <c r="R38" i="70"/>
  <c r="R36" i="70"/>
  <c r="E188" i="72"/>
  <c r="E281" i="72"/>
  <c r="E250" i="72"/>
  <c r="E126" i="72"/>
  <c r="X3" i="20"/>
  <c r="E2" i="72"/>
  <c r="E95" i="72"/>
  <c r="E157" i="72"/>
  <c r="E33" i="72"/>
  <c r="C6" i="17"/>
  <c r="D6" i="17" s="1"/>
  <c r="E64" i="72"/>
  <c r="E219" i="72"/>
  <c r="H40" i="37"/>
  <c r="H41" i="37"/>
  <c r="H39" i="37"/>
  <c r="H42" i="37"/>
  <c r="C134" i="66"/>
  <c r="P134" i="66" s="1"/>
  <c r="V134" i="66" s="1"/>
  <c r="C230" i="66"/>
  <c r="P230" i="66" s="1"/>
  <c r="V230" i="66" s="1"/>
  <c r="C38" i="66"/>
  <c r="P38" i="66" s="1"/>
  <c r="V38" i="66" s="1"/>
  <c r="C86" i="66"/>
  <c r="P86" i="66" s="1"/>
  <c r="V86" i="66" s="1"/>
  <c r="C182" i="66"/>
  <c r="P182" i="66" s="1"/>
  <c r="V182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100" i="66"/>
  <c r="P100" i="66" s="1"/>
  <c r="V100" i="66" s="1"/>
  <c r="C104" i="66"/>
  <c r="P104" i="66" s="1"/>
  <c r="V104" i="66" s="1"/>
  <c r="I247" i="66"/>
  <c r="I103" i="74" s="1"/>
  <c r="B31" i="6"/>
  <c r="B12" i="6"/>
  <c r="D31" i="6"/>
  <c r="C31" i="6"/>
  <c r="C12" i="6"/>
  <c r="G267" i="66"/>
  <c r="G256" i="66"/>
  <c r="G262" i="66"/>
  <c r="G118" i="74" s="1"/>
  <c r="G171" i="66"/>
  <c r="G27" i="66"/>
  <c r="C218" i="38"/>
  <c r="C233" i="38" s="1"/>
  <c r="C248" i="38" s="1"/>
  <c r="C263" i="38" s="1"/>
  <c r="A10" i="53"/>
  <c r="A16" i="53" s="1"/>
  <c r="A9" i="53"/>
  <c r="A15" i="53" s="1"/>
  <c r="I258" i="66"/>
  <c r="I114" i="74" s="1"/>
  <c r="C258" i="66"/>
  <c r="P258" i="66" s="1"/>
  <c r="V258" i="66" s="1"/>
  <c r="I271" i="66"/>
  <c r="C271" i="66"/>
  <c r="P271" i="66" s="1"/>
  <c r="V271" i="66" s="1"/>
  <c r="I280" i="66"/>
  <c r="C280" i="66"/>
  <c r="P280" i="66" s="1"/>
  <c r="I121" i="66"/>
  <c r="C121" i="66"/>
  <c r="P121" i="66" s="1"/>
  <c r="I113" i="66"/>
  <c r="I113" i="74" s="1"/>
  <c r="C113" i="66"/>
  <c r="I268" i="66"/>
  <c r="C268" i="66"/>
  <c r="I259" i="66"/>
  <c r="C259" i="66"/>
  <c r="P259" i="66" s="1"/>
  <c r="V259" i="66" s="1"/>
  <c r="I119" i="66"/>
  <c r="C119" i="66"/>
  <c r="I105" i="66"/>
  <c r="I105" i="74" s="1"/>
  <c r="C105" i="66"/>
  <c r="I262" i="66"/>
  <c r="C262" i="66"/>
  <c r="P262" i="66" s="1"/>
  <c r="V262" i="66" s="1"/>
  <c r="I115" i="66"/>
  <c r="C115" i="66"/>
  <c r="P115" i="66" s="1"/>
  <c r="V115" i="66" s="1"/>
  <c r="I283" i="66"/>
  <c r="I139" i="74" s="1"/>
  <c r="C283" i="66"/>
  <c r="P283" i="66" s="1"/>
  <c r="V283" i="66" s="1"/>
  <c r="I275" i="66"/>
  <c r="I131" i="74" s="1"/>
  <c r="C275" i="66"/>
  <c r="I289" i="66"/>
  <c r="C289" i="66"/>
  <c r="I123" i="66"/>
  <c r="I123" i="74" s="1"/>
  <c r="C123" i="66"/>
  <c r="P123" i="66" s="1"/>
  <c r="V123" i="66" s="1"/>
  <c r="I278" i="66"/>
  <c r="I134" i="74" s="1"/>
  <c r="C278" i="66"/>
  <c r="P278" i="66" s="1"/>
  <c r="V278" i="66" s="1"/>
  <c r="I141" i="66"/>
  <c r="C141" i="66"/>
  <c r="I285" i="66"/>
  <c r="C285" i="66"/>
  <c r="I279" i="66"/>
  <c r="C279" i="66"/>
  <c r="P279" i="66" s="1"/>
  <c r="I136" i="66"/>
  <c r="C136" i="66"/>
  <c r="P136" i="66" s="1"/>
  <c r="I143" i="66"/>
  <c r="I143" i="74" s="1"/>
  <c r="C143" i="66"/>
  <c r="P143" i="66" s="1"/>
  <c r="V143" i="66" s="1"/>
  <c r="I263" i="66"/>
  <c r="C263" i="66"/>
  <c r="I291" i="66"/>
  <c r="C291" i="66"/>
  <c r="P291" i="66" s="1"/>
  <c r="V291" i="66" s="1"/>
  <c r="I145" i="66"/>
  <c r="C145" i="66"/>
  <c r="I129" i="66"/>
  <c r="I129" i="74" s="1"/>
  <c r="C129" i="66"/>
  <c r="P129" i="66" s="1"/>
  <c r="V129" i="66" s="1"/>
  <c r="I270" i="66"/>
  <c r="I126" i="74" s="1"/>
  <c r="C270" i="66"/>
  <c r="I127" i="66"/>
  <c r="I127" i="74" s="1"/>
  <c r="C127" i="66"/>
  <c r="P127" i="66" s="1"/>
  <c r="V127" i="66" s="1"/>
  <c r="I138" i="66"/>
  <c r="C138" i="66"/>
  <c r="I111" i="66"/>
  <c r="C111" i="66"/>
  <c r="P111" i="66" s="1"/>
  <c r="V111" i="66" s="1"/>
  <c r="I248" i="66"/>
  <c r="I104" i="74" s="1"/>
  <c r="C248" i="66"/>
  <c r="P248" i="66" s="1"/>
  <c r="V248" i="66" s="1"/>
  <c r="I135" i="66"/>
  <c r="I135" i="74" s="1"/>
  <c r="C135" i="66"/>
  <c r="P135" i="66" s="1"/>
  <c r="I274" i="66"/>
  <c r="I130" i="74" s="1"/>
  <c r="C274" i="66"/>
  <c r="P274" i="66" s="1"/>
  <c r="V274" i="66" s="1"/>
  <c r="I265" i="66"/>
  <c r="C265" i="66"/>
  <c r="P265" i="66" s="1"/>
  <c r="I112" i="66"/>
  <c r="I112" i="74" s="1"/>
  <c r="C112" i="66"/>
  <c r="I255" i="66"/>
  <c r="C255" i="66"/>
  <c r="P255" i="66" s="1"/>
  <c r="V255" i="66" s="1"/>
  <c r="I110" i="66"/>
  <c r="C110" i="66"/>
  <c r="P110" i="66" s="1"/>
  <c r="V110" i="66" s="1"/>
  <c r="I264" i="66"/>
  <c r="I120" i="74" s="1"/>
  <c r="C264" i="66"/>
  <c r="P264" i="66" s="1"/>
  <c r="V264" i="66" s="1"/>
  <c r="I254" i="66"/>
  <c r="C254" i="66"/>
  <c r="P254" i="66" s="1"/>
  <c r="V254" i="66" s="1"/>
  <c r="I266" i="66"/>
  <c r="I122" i="74" s="1"/>
  <c r="C266" i="66"/>
  <c r="I282" i="66"/>
  <c r="C282" i="66"/>
  <c r="I252" i="66"/>
  <c r="C252" i="66"/>
  <c r="I286" i="66"/>
  <c r="C286" i="66"/>
  <c r="I124" i="66"/>
  <c r="C124" i="66"/>
  <c r="I284" i="66"/>
  <c r="I140" i="74" s="1"/>
  <c r="C284" i="66"/>
  <c r="P284" i="66" s="1"/>
  <c r="V284" i="66" s="1"/>
  <c r="I108" i="66"/>
  <c r="C108" i="66"/>
  <c r="I142" i="66"/>
  <c r="C142" i="66"/>
  <c r="I288" i="66"/>
  <c r="I144" i="74" s="1"/>
  <c r="C288" i="66"/>
  <c r="I107" i="66"/>
  <c r="I107" i="74" s="1"/>
  <c r="C107" i="66"/>
  <c r="P107" i="66" s="1"/>
  <c r="V107" i="66" s="1"/>
  <c r="I290" i="66"/>
  <c r="I146" i="74" s="1"/>
  <c r="C290" i="66"/>
  <c r="I147" i="66"/>
  <c r="C147" i="66"/>
  <c r="P147" i="66" s="1"/>
  <c r="V147" i="66" s="1"/>
  <c r="I246" i="66"/>
  <c r="I102" i="74" s="1"/>
  <c r="C246" i="66"/>
  <c r="I118" i="66"/>
  <c r="I118" i="74" s="1"/>
  <c r="C118" i="66"/>
  <c r="P118" i="66" s="1"/>
  <c r="V118" i="66" s="1"/>
  <c r="I128" i="66"/>
  <c r="I128" i="74" s="1"/>
  <c r="C128" i="66"/>
  <c r="G145" i="66"/>
  <c r="G123" i="66"/>
  <c r="G123" i="74" s="1"/>
  <c r="G289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G166" i="66"/>
  <c r="G49" i="66"/>
  <c r="G22" i="66"/>
  <c r="G160" i="66"/>
  <c r="G193" i="66"/>
  <c r="G16" i="66"/>
  <c r="G112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V188" i="66"/>
  <c r="V178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V177" i="66"/>
  <c r="E48" i="38"/>
  <c r="E44" i="38"/>
  <c r="E5" i="38"/>
  <c r="E14" i="38"/>
  <c r="E10" i="38"/>
  <c r="E7" i="38"/>
  <c r="V148" i="66"/>
  <c r="V195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V191" i="66"/>
  <c r="E50" i="38"/>
  <c r="V77" i="66"/>
  <c r="V130" i="66"/>
  <c r="V158" i="66"/>
  <c r="V273" i="66"/>
  <c r="V157" i="66"/>
  <c r="V61" i="66"/>
  <c r="V219" i="66"/>
  <c r="V196" i="66"/>
  <c r="V29" i="66"/>
  <c r="V114" i="66"/>
  <c r="V51" i="66"/>
  <c r="G53" i="20"/>
  <c r="V27" i="66"/>
  <c r="V207" i="66"/>
  <c r="V18" i="66"/>
  <c r="V159" i="66"/>
  <c r="V14" i="66"/>
  <c r="V75" i="66"/>
  <c r="V166" i="66"/>
  <c r="V22" i="66"/>
  <c r="V253" i="66"/>
  <c r="V81" i="66"/>
  <c r="V225" i="66"/>
  <c r="V63" i="66"/>
  <c r="V200" i="66"/>
  <c r="V62" i="66"/>
  <c r="V221" i="66"/>
  <c r="V155" i="66"/>
  <c r="V244" i="66"/>
  <c r="V243" i="66"/>
  <c r="V43" i="66"/>
  <c r="V214" i="66"/>
  <c r="V140" i="66"/>
  <c r="V187" i="66"/>
  <c r="V47" i="66"/>
  <c r="V59" i="66"/>
  <c r="V11" i="66"/>
  <c r="V19" i="66"/>
  <c r="V203" i="66"/>
  <c r="V15" i="66"/>
  <c r="V33" i="66"/>
  <c r="V8" i="66"/>
  <c r="V205" i="66"/>
  <c r="V206" i="66"/>
  <c r="V4" i="66"/>
  <c r="V92" i="66"/>
  <c r="V235" i="66"/>
  <c r="V24" i="66"/>
  <c r="V287" i="66"/>
  <c r="V31" i="66"/>
  <c r="V72" i="66"/>
  <c r="V173" i="66"/>
  <c r="V251" i="66"/>
  <c r="V171" i="66"/>
  <c r="V79" i="66"/>
  <c r="V210" i="66"/>
  <c r="V91" i="66"/>
  <c r="V163" i="66"/>
  <c r="V267" i="66"/>
  <c r="V175" i="66"/>
  <c r="V162" i="66"/>
  <c r="V70" i="66"/>
  <c r="V13" i="66"/>
  <c r="V269" i="66"/>
  <c r="V120" i="66"/>
  <c r="V139" i="66"/>
  <c r="V34" i="66"/>
  <c r="V66" i="66"/>
  <c r="V95" i="66"/>
  <c r="V99" i="66"/>
  <c r="V44" i="66"/>
  <c r="V82" i="66"/>
  <c r="V67" i="66"/>
  <c r="V168" i="66"/>
  <c r="V125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V56" i="66"/>
  <c r="A23" i="53"/>
  <c r="J39" i="9"/>
  <c r="A12" i="53"/>
  <c r="C274" i="38"/>
  <c r="V52" i="66"/>
  <c r="C271" i="38"/>
  <c r="E2" i="22"/>
  <c r="C254" i="38"/>
  <c r="A8" i="53"/>
  <c r="J35" i="9"/>
  <c r="J5" i="9" s="1"/>
  <c r="T5" i="9" s="1"/>
  <c r="I141" i="74" l="1"/>
  <c r="I124" i="74"/>
  <c r="I136" i="74"/>
  <c r="G145" i="74"/>
  <c r="G16" i="74"/>
  <c r="I111" i="74"/>
  <c r="I115" i="74"/>
  <c r="G27" i="74"/>
  <c r="I142" i="74"/>
  <c r="G49" i="74"/>
  <c r="I108" i="74"/>
  <c r="I147" i="74"/>
  <c r="I119" i="74"/>
  <c r="G112" i="74"/>
  <c r="I110" i="74"/>
  <c r="I145" i="74"/>
  <c r="G22" i="74"/>
  <c r="I138" i="74"/>
  <c r="I121" i="74"/>
  <c r="V134" i="74"/>
  <c r="R134" i="74"/>
  <c r="D64" i="72" a="1"/>
  <c r="D64" i="72" s="1"/>
  <c r="D65" i="72" s="1" a="1"/>
  <c r="D65" i="72" s="1"/>
  <c r="D66" i="72" s="1" a="1"/>
  <c r="D66" i="72" s="1"/>
  <c r="D67" i="72" s="1" a="1"/>
  <c r="D67" i="72" s="1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188" i="72" a="1"/>
  <c r="D188" i="72" s="1"/>
  <c r="D189" i="72" s="1" a="1"/>
  <c r="D189" i="72" s="1"/>
  <c r="D190" i="72" s="1" a="1"/>
  <c r="D190" i="72" s="1"/>
  <c r="D126" i="72" a="1"/>
  <c r="D126" i="72" s="1"/>
  <c r="D127" i="72" s="1" a="1"/>
  <c r="D127" i="72" s="1"/>
  <c r="D33" i="72" a="1"/>
  <c r="D33" i="72" s="1"/>
  <c r="D157" i="72" a="1"/>
  <c r="D157" i="72" s="1"/>
  <c r="D96" i="72" a="1"/>
  <c r="D96" i="72" s="1"/>
  <c r="D97" i="72" s="1" a="1"/>
  <c r="D97" i="72" s="1"/>
  <c r="D95" i="72" a="1"/>
  <c r="D95" i="72" s="1"/>
  <c r="D219" i="72" a="1"/>
  <c r="D219" i="72" s="1"/>
  <c r="D220" i="72" s="1" a="1"/>
  <c r="D220" i="72" s="1"/>
  <c r="D221" i="72" s="1" a="1"/>
  <c r="D221" i="72" s="1"/>
  <c r="D222" i="72" s="1" a="1"/>
  <c r="D222" i="72" s="1"/>
  <c r="D281" i="72" a="1"/>
  <c r="D281" i="72" s="1"/>
  <c r="D282" i="72" s="1" a="1"/>
  <c r="D282" i="72" s="1"/>
  <c r="D283" i="72" s="1" a="1"/>
  <c r="D283" i="72" s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128" i="72" l="1" a="1"/>
  <c r="D128" i="72" s="1"/>
  <c r="D129" i="72" s="1" a="1"/>
  <c r="D129" i="72" s="1"/>
  <c r="D284" i="72" a="1"/>
  <c r="D284" i="72" s="1"/>
  <c r="D285" i="72" s="1" a="1"/>
  <c r="D285" i="72" s="1"/>
  <c r="D286" i="72" s="1" a="1"/>
  <c r="D286" i="72" s="1"/>
  <c r="D253" i="72" a="1"/>
  <c r="D253" i="72" s="1"/>
  <c r="D254" i="72" s="1" a="1"/>
  <c r="D254" i="72" s="1"/>
  <c r="D98" i="72" a="1"/>
  <c r="D98" i="72" s="1"/>
  <c r="D99" i="72" s="1" a="1"/>
  <c r="D99" i="72" s="1"/>
  <c r="D100" i="72" s="1" a="1"/>
  <c r="D100" i="72" s="1"/>
  <c r="D101" i="72" s="1" a="1"/>
  <c r="D101" i="72" s="1"/>
  <c r="D102" i="72" s="1" a="1"/>
  <c r="D102" i="72" s="1"/>
  <c r="D158" i="72" a="1"/>
  <c r="D158" i="72" s="1"/>
  <c r="D5" i="72" a="1"/>
  <c r="D5" i="72" s="1"/>
  <c r="D34" i="72" a="1"/>
  <c r="D34" i="72" s="1"/>
  <c r="D223" i="72" a="1"/>
  <c r="D223" i="72" s="1"/>
  <c r="D224" i="72" s="1" a="1"/>
  <c r="D224" i="72" s="1"/>
  <c r="D191" i="72" a="1"/>
  <c r="D191" i="72" s="1"/>
  <c r="D68" i="72" a="1"/>
  <c r="D68" i="72" s="1"/>
  <c r="D69" i="72" s="1" a="1"/>
  <c r="D69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A24" i="53"/>
  <c r="A20" i="53"/>
  <c r="C238" i="38"/>
  <c r="A27" i="53"/>
  <c r="D27" i="53" s="1"/>
  <c r="D130" i="72" l="1" a="1"/>
  <c r="D130" i="72" s="1"/>
  <c r="D131" i="72" s="1" a="1"/>
  <c r="D131" i="72" s="1"/>
  <c r="D132" i="72" s="1" a="1"/>
  <c r="D132" i="72" s="1"/>
  <c r="D287" i="72" a="1"/>
  <c r="D287" i="72" s="1"/>
  <c r="D288" i="72" s="1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25" i="72" a="1"/>
  <c r="D225" i="72" s="1"/>
  <c r="D226" i="72" s="1" a="1"/>
  <c r="D226" i="72" s="1"/>
  <c r="D227" i="72" s="1" a="1"/>
  <c r="D227" i="72" s="1"/>
  <c r="D228" i="72" s="1" a="1"/>
  <c r="D228" i="72" s="1"/>
  <c r="D6" i="72" a="1"/>
  <c r="D6" i="72" s="1"/>
  <c r="D7" i="72" s="1" a="1"/>
  <c r="D7" i="72" s="1"/>
  <c r="D8" i="72" s="1" a="1"/>
  <c r="D8" i="72" s="1"/>
  <c r="D9" i="72" s="1" a="1"/>
  <c r="D9" i="72" s="1"/>
  <c r="D70" i="72" a="1"/>
  <c r="D70" i="72" s="1"/>
  <c r="D192" i="72" a="1"/>
  <c r="D192" i="72" s="1"/>
  <c r="D159" i="72" a="1"/>
  <c r="D159" i="72" s="1"/>
  <c r="D160" i="72" s="1" a="1"/>
  <c r="D160" i="72" s="1"/>
  <c r="D103" i="72" a="1"/>
  <c r="D103" i="72" s="1"/>
  <c r="D104" i="72" s="1" a="1"/>
  <c r="D104" i="72" s="1"/>
  <c r="D255" i="72" a="1"/>
  <c r="D255" i="72" s="1"/>
  <c r="D256" i="72" s="1" a="1"/>
  <c r="D256" i="72" s="1"/>
  <c r="D35" i="72" a="1"/>
  <c r="D35" i="72" s="1"/>
  <c r="D36" i="72" s="1" a="1"/>
  <c r="D36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Z7" i="20"/>
  <c r="P18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61" i="72" l="1" a="1"/>
  <c r="D161" i="72" s="1"/>
  <c r="D162" i="72" s="1" a="1"/>
  <c r="D162" i="72" s="1"/>
  <c r="D163" i="72" s="1" a="1"/>
  <c r="D163" i="72" s="1"/>
  <c r="D164" i="72" s="1" a="1"/>
  <c r="D164" i="72" s="1"/>
  <c r="D193" i="72" a="1"/>
  <c r="D193" i="72" s="1"/>
  <c r="D293" i="72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33" i="72" a="1"/>
  <c r="D133" i="72" s="1"/>
  <c r="D134" i="72" s="1" a="1"/>
  <c r="D134" i="72" s="1"/>
  <c r="D135" i="72" s="1" a="1"/>
  <c r="D135" i="72" s="1"/>
  <c r="D136" i="72" s="1" a="1"/>
  <c r="D136" i="72" s="1"/>
  <c r="D105" i="72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0" i="72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229" i="72" a="1"/>
  <c r="D229" i="72" s="1"/>
  <c r="D230" i="72" s="1" a="1"/>
  <c r="D230" i="72" s="1"/>
  <c r="D71" i="72" a="1"/>
  <c r="D71" i="72" s="1"/>
  <c r="D72" i="72" s="1" a="1"/>
  <c r="D72" i="72" s="1"/>
  <c r="D73" i="72" s="1" a="1"/>
  <c r="D73" i="72" s="1"/>
  <c r="D37" i="72" a="1"/>
  <c r="D37" i="72" s="1"/>
  <c r="D38" i="72" s="1" a="1"/>
  <c r="D38" i="72" s="1"/>
  <c r="D257" i="72" a="1"/>
  <c r="D257" i="72" s="1"/>
  <c r="Z5" i="20"/>
  <c r="P28" i="18"/>
  <c r="P26" i="18"/>
  <c r="Z4" i="20"/>
  <c r="C265" i="38"/>
  <c r="C268" i="38"/>
  <c r="A32" i="53"/>
  <c r="A36" i="53"/>
  <c r="C275" i="38"/>
  <c r="D39" i="72" l="1" a="1"/>
  <c r="D39" i="72" s="1"/>
  <c r="D40" i="72" s="1" a="1"/>
  <c r="D40" i="72" s="1"/>
  <c r="D41" i="72" s="1" a="1"/>
  <c r="D41" i="72" s="1"/>
  <c r="D231" i="72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137" i="72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194" i="72" a="1"/>
  <c r="D194" i="72" s="1"/>
  <c r="D16" i="72" a="1"/>
  <c r="D16" i="72" s="1"/>
  <c r="D17" i="72" s="1" a="1"/>
  <c r="D17" i="72" s="1"/>
  <c r="D18" i="72" s="1" a="1"/>
  <c r="D18" i="72" s="1"/>
  <c r="D19" i="72" s="1" a="1"/>
  <c r="D19" i="72" s="1"/>
  <c r="D165" i="72" a="1"/>
  <c r="D165" i="72" s="1"/>
  <c r="D166" i="72" s="1" a="1"/>
  <c r="D166" i="72" s="1"/>
  <c r="D74" i="72" a="1"/>
  <c r="D74" i="72" s="1"/>
  <c r="D75" i="72" s="1" a="1"/>
  <c r="D75" i="72" s="1"/>
  <c r="D76" i="72" s="1" a="1"/>
  <c r="D76" i="72" s="1"/>
  <c r="M17" i="66"/>
  <c r="D10" i="53"/>
  <c r="D11" i="53"/>
  <c r="D34" i="53"/>
  <c r="D9" i="53"/>
  <c r="D23" i="53"/>
  <c r="D22" i="53"/>
  <c r="D35" i="53"/>
  <c r="D33" i="53"/>
  <c r="D21" i="53"/>
  <c r="D167" i="72" l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63" i="72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20" i="72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77" i="72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5" i="72" a="1"/>
  <c r="D195" i="72" s="1"/>
  <c r="D42" i="72" a="1"/>
  <c r="D42" i="72" s="1"/>
  <c r="D43" i="72" s="1" a="1"/>
  <c r="D43" i="72" s="1"/>
  <c r="N205" i="66"/>
  <c r="N57" i="66"/>
  <c r="N273" i="66"/>
  <c r="N144" i="66"/>
  <c r="N60" i="66"/>
  <c r="N94" i="66"/>
  <c r="N211" i="66"/>
  <c r="N93" i="66"/>
  <c r="N76" i="66"/>
  <c r="N239" i="66"/>
  <c r="N64" i="66"/>
  <c r="N79" i="66"/>
  <c r="N71" i="66"/>
  <c r="N126" i="66"/>
  <c r="N196" i="66"/>
  <c r="N202" i="66"/>
  <c r="N63" i="66"/>
  <c r="N271" i="66"/>
  <c r="N67" i="66"/>
  <c r="N67" i="74" s="1"/>
  <c r="N223" i="66"/>
  <c r="N204" i="66"/>
  <c r="N237" i="66"/>
  <c r="N201" i="66"/>
  <c r="N95" i="66"/>
  <c r="N81" i="66"/>
  <c r="N136" i="66"/>
  <c r="N52" i="66"/>
  <c r="N52" i="74" s="1"/>
  <c r="N61" i="66"/>
  <c r="N61" i="74" s="1"/>
  <c r="N56" i="66"/>
  <c r="N225" i="66"/>
  <c r="N265" i="66"/>
  <c r="N101" i="66"/>
  <c r="N75" i="66"/>
  <c r="N207" i="66"/>
  <c r="N208" i="66"/>
  <c r="N241" i="66"/>
  <c r="N244" i="66"/>
  <c r="N283" i="66"/>
  <c r="N216" i="66"/>
  <c r="N219" i="66"/>
  <c r="N82" i="66"/>
  <c r="N86" i="66"/>
  <c r="N130" i="66"/>
  <c r="N235" i="66"/>
  <c r="N200" i="66"/>
  <c r="N230" i="66"/>
  <c r="N122" i="66"/>
  <c r="N238" i="66"/>
  <c r="N199" i="66"/>
  <c r="N114" i="66"/>
  <c r="N269" i="66"/>
  <c r="N91" i="66"/>
  <c r="N110" i="66"/>
  <c r="N140" i="66"/>
  <c r="N220" i="66"/>
  <c r="N287" i="66"/>
  <c r="N97" i="66"/>
  <c r="N97" i="74" s="1"/>
  <c r="N118" i="66"/>
  <c r="N72" i="66"/>
  <c r="N62" i="66"/>
  <c r="N58" i="66"/>
  <c r="N215" i="66"/>
  <c r="N226" i="66"/>
  <c r="N55" i="66"/>
  <c r="N253" i="66"/>
  <c r="N206" i="66"/>
  <c r="N27" i="66"/>
  <c r="N160" i="66"/>
  <c r="N153" i="66"/>
  <c r="N169" i="66"/>
  <c r="N162" i="66"/>
  <c r="N25" i="66"/>
  <c r="N138" i="66"/>
  <c r="N14" i="66"/>
  <c r="N37" i="66"/>
  <c r="N22" i="66"/>
  <c r="N44" i="66"/>
  <c r="N288" i="66"/>
  <c r="N152" i="66"/>
  <c r="N266" i="66"/>
  <c r="N127" i="66"/>
  <c r="N120" i="66"/>
  <c r="N277" i="66"/>
  <c r="N10" i="66"/>
  <c r="N18" i="66"/>
  <c r="N18" i="74" s="1"/>
  <c r="N106" i="66"/>
  <c r="N177" i="66"/>
  <c r="N151" i="66"/>
  <c r="N284" i="66"/>
  <c r="N103" i="66"/>
  <c r="N249" i="66"/>
  <c r="N247" i="66"/>
  <c r="N176" i="66"/>
  <c r="N250" i="66"/>
  <c r="N178" i="66"/>
  <c r="N139" i="66"/>
  <c r="N139" i="74" s="1"/>
  <c r="N159" i="66"/>
  <c r="N15" i="66"/>
  <c r="N124" i="66"/>
  <c r="N228" i="66"/>
  <c r="N128" i="66"/>
  <c r="N191" i="66"/>
  <c r="N43" i="66"/>
  <c r="N229" i="66"/>
  <c r="N23" i="66"/>
  <c r="N248" i="66"/>
  <c r="N192" i="66"/>
  <c r="N129" i="66"/>
  <c r="N129" i="74" s="1"/>
  <c r="N145" i="66"/>
  <c r="N19" i="66"/>
  <c r="N11" i="66"/>
  <c r="N282" i="66"/>
  <c r="N36" i="66"/>
  <c r="N40" i="66"/>
  <c r="N132" i="66"/>
  <c r="N115" i="66"/>
  <c r="N31" i="66"/>
  <c r="N186" i="66"/>
  <c r="N255" i="66"/>
  <c r="N125" i="66"/>
  <c r="N134" i="66"/>
  <c r="N254" i="66"/>
  <c r="N133" i="66"/>
  <c r="N133" i="74" s="1"/>
  <c r="N112" i="66"/>
  <c r="N12" i="66"/>
  <c r="N187" i="66"/>
  <c r="N47" i="66"/>
  <c r="N4" i="66"/>
  <c r="N289" i="66"/>
  <c r="N107" i="66"/>
  <c r="N121" i="66"/>
  <c r="N173" i="66"/>
  <c r="N168" i="66"/>
  <c r="N24" i="66"/>
  <c r="N46" i="66"/>
  <c r="N158" i="66"/>
  <c r="N9" i="66"/>
  <c r="N9" i="74" s="1"/>
  <c r="N251" i="66"/>
  <c r="N189" i="66"/>
  <c r="N5" i="66"/>
  <c r="N5" i="74" s="1"/>
  <c r="N181" i="66"/>
  <c r="N258" i="66"/>
  <c r="N142" i="66"/>
  <c r="N193" i="66"/>
  <c r="N84" i="66"/>
  <c r="N149" i="66"/>
  <c r="N155" i="66"/>
  <c r="N48" i="66"/>
  <c r="N48" i="74" s="1"/>
  <c r="N280" i="66"/>
  <c r="N105" i="66"/>
  <c r="N285" i="66"/>
  <c r="N85" i="66"/>
  <c r="N85" i="74" s="1"/>
  <c r="N42" i="66"/>
  <c r="N259" i="66"/>
  <c r="N29" i="66"/>
  <c r="N45" i="66"/>
  <c r="N34" i="66"/>
  <c r="N34" i="74" s="1"/>
  <c r="N174" i="66"/>
  <c r="N148" i="66"/>
  <c r="N163" i="66"/>
  <c r="N182" i="66"/>
  <c r="N104" i="66"/>
  <c r="N172" i="66"/>
  <c r="N13" i="66"/>
  <c r="N111" i="66"/>
  <c r="N111" i="74" s="1"/>
  <c r="N252" i="66"/>
  <c r="N38" i="66"/>
  <c r="N274" i="66"/>
  <c r="N33" i="66"/>
  <c r="N33" i="74" s="1"/>
  <c r="N245" i="66"/>
  <c r="N30" i="66"/>
  <c r="N30" i="74" s="1"/>
  <c r="N49" i="66"/>
  <c r="N175" i="66"/>
  <c r="N7" i="66"/>
  <c r="N184" i="66"/>
  <c r="N16" i="66"/>
  <c r="N16" i="74" s="1"/>
  <c r="N188" i="66"/>
  <c r="N109" i="66"/>
  <c r="N32" i="66"/>
  <c r="N157" i="66"/>
  <c r="N276" i="66"/>
  <c r="N263" i="66"/>
  <c r="N119" i="66"/>
  <c r="N119" i="74" s="1"/>
  <c r="N143" i="66"/>
  <c r="N154" i="66"/>
  <c r="N123" i="66"/>
  <c r="N28" i="66"/>
  <c r="N28" i="74" s="1"/>
  <c r="N270" i="66"/>
  <c r="N264" i="66"/>
  <c r="N286" i="66"/>
  <c r="N166" i="66"/>
  <c r="N156" i="66"/>
  <c r="N268" i="66"/>
  <c r="N180" i="66"/>
  <c r="N8" i="66"/>
  <c r="N190" i="66"/>
  <c r="N100" i="66"/>
  <c r="N100" i="74" s="1"/>
  <c r="N167" i="66"/>
  <c r="N108" i="66"/>
  <c r="N108" i="74" s="1"/>
  <c r="N272" i="66"/>
  <c r="N278" i="66"/>
  <c r="N141" i="66"/>
  <c r="N267" i="66"/>
  <c r="N262" i="66"/>
  <c r="N171" i="66"/>
  <c r="N256" i="66"/>
  <c r="H4" i="66"/>
  <c r="L133" i="66"/>
  <c r="J132" i="66"/>
  <c r="J132" i="74" s="1"/>
  <c r="K181" i="66"/>
  <c r="H133" i="66"/>
  <c r="H229" i="66"/>
  <c r="K37" i="66"/>
  <c r="L181" i="66"/>
  <c r="J85" i="66"/>
  <c r="J228" i="66"/>
  <c r="J133" i="66"/>
  <c r="J133" i="74" s="1"/>
  <c r="J277" i="66"/>
  <c r="J36" i="66"/>
  <c r="K85" i="66"/>
  <c r="L132" i="66"/>
  <c r="H228" i="66"/>
  <c r="J180" i="66"/>
  <c r="K133" i="66"/>
  <c r="K133" i="74" s="1"/>
  <c r="L228" i="66"/>
  <c r="L85" i="66"/>
  <c r="L37" i="66"/>
  <c r="H84" i="66"/>
  <c r="L84" i="66"/>
  <c r="K276" i="66"/>
  <c r="L36" i="66"/>
  <c r="H181" i="66"/>
  <c r="L180" i="66"/>
  <c r="H132" i="66"/>
  <c r="J181" i="66"/>
  <c r="K36" i="66"/>
  <c r="L229" i="66"/>
  <c r="H276" i="66"/>
  <c r="J229" i="66"/>
  <c r="H36" i="66"/>
  <c r="K180" i="66"/>
  <c r="K84" i="66"/>
  <c r="L276" i="66"/>
  <c r="K228" i="66"/>
  <c r="J37" i="66"/>
  <c r="J37" i="74" s="1"/>
  <c r="K132" i="66"/>
  <c r="H277" i="66"/>
  <c r="H85" i="66"/>
  <c r="H85" i="74" s="1"/>
  <c r="H180" i="66"/>
  <c r="K229" i="66"/>
  <c r="K277" i="66"/>
  <c r="L277" i="66"/>
  <c r="H37" i="66"/>
  <c r="J276" i="66"/>
  <c r="J84" i="66"/>
  <c r="J84" i="74" s="1"/>
  <c r="J217" i="66"/>
  <c r="K35" i="66"/>
  <c r="J67" i="66"/>
  <c r="K248" i="66"/>
  <c r="J223" i="66"/>
  <c r="J190" i="66"/>
  <c r="J128" i="66"/>
  <c r="J80" i="66"/>
  <c r="H285" i="66"/>
  <c r="H148" i="66"/>
  <c r="J101" i="66"/>
  <c r="J245" i="66"/>
  <c r="J52" i="66"/>
  <c r="J115" i="66"/>
  <c r="J74" i="66"/>
  <c r="J96" i="66"/>
  <c r="M283" i="66"/>
  <c r="J134" i="66"/>
  <c r="J265" i="66"/>
  <c r="L218" i="66"/>
  <c r="H21" i="66"/>
  <c r="H61" i="66"/>
  <c r="L256" i="66"/>
  <c r="J56" i="66"/>
  <c r="K51" i="66"/>
  <c r="L143" i="66"/>
  <c r="J4" i="66"/>
  <c r="K226" i="66"/>
  <c r="K7" i="66"/>
  <c r="L128" i="66"/>
  <c r="J73" i="66"/>
  <c r="J73" i="74" s="1"/>
  <c r="K67" i="66"/>
  <c r="J263" i="66"/>
  <c r="M206" i="66"/>
  <c r="M42" i="66"/>
  <c r="J283" i="66"/>
  <c r="M171" i="66"/>
  <c r="M10" i="66"/>
  <c r="J143" i="66"/>
  <c r="J107" i="66"/>
  <c r="M187" i="66"/>
  <c r="M40" i="66"/>
  <c r="H201" i="66"/>
  <c r="H64" i="66"/>
  <c r="H27" i="66"/>
  <c r="M19" i="66"/>
  <c r="J57" i="66"/>
  <c r="J199" i="66"/>
  <c r="H264" i="66"/>
  <c r="J230" i="66"/>
  <c r="J122" i="66"/>
  <c r="H158" i="66"/>
  <c r="J234" i="66"/>
  <c r="K50" i="66"/>
  <c r="M8" i="66"/>
  <c r="M186" i="66"/>
  <c r="J98" i="66"/>
  <c r="L177" i="66"/>
  <c r="H81" i="66"/>
  <c r="K11" i="66"/>
  <c r="K49" i="66"/>
  <c r="M140" i="66"/>
  <c r="K273" i="66"/>
  <c r="H235" i="66"/>
  <c r="K196" i="66"/>
  <c r="J253" i="66"/>
  <c r="M168" i="66"/>
  <c r="M145" i="66"/>
  <c r="J104" i="66"/>
  <c r="L291" i="66"/>
  <c r="L131" i="66"/>
  <c r="K183" i="66"/>
  <c r="L174" i="66"/>
  <c r="J16" i="66"/>
  <c r="K197" i="66"/>
  <c r="M23" i="66"/>
  <c r="K136" i="66"/>
  <c r="J262" i="66"/>
  <c r="H72" i="66"/>
  <c r="L38" i="66"/>
  <c r="H195" i="66"/>
  <c r="L173" i="66"/>
  <c r="M26" i="66"/>
  <c r="H259" i="66"/>
  <c r="L93" i="66"/>
  <c r="M56" i="66"/>
  <c r="K95" i="66"/>
  <c r="H55" i="66"/>
  <c r="M44" i="66"/>
  <c r="J202" i="66"/>
  <c r="H100" i="66"/>
  <c r="L205" i="66"/>
  <c r="L237" i="66"/>
  <c r="L4" i="66"/>
  <c r="J278" i="66"/>
  <c r="K38" i="66"/>
  <c r="J64" i="66"/>
  <c r="J239" i="66"/>
  <c r="H189" i="66"/>
  <c r="J61" i="66"/>
  <c r="K244" i="66"/>
  <c r="L139" i="66"/>
  <c r="L184" i="66"/>
  <c r="L59" i="66"/>
  <c r="M110" i="66"/>
  <c r="M257" i="66"/>
  <c r="J145" i="66"/>
  <c r="H196" i="66"/>
  <c r="J244" i="66"/>
  <c r="M82" i="66"/>
  <c r="J53" i="66"/>
  <c r="L262" i="66"/>
  <c r="L288" i="66"/>
  <c r="M46" i="66"/>
  <c r="K34" i="66"/>
  <c r="K199" i="66"/>
  <c r="H227" i="66"/>
  <c r="M138" i="66"/>
  <c r="M138" i="74" s="1"/>
  <c r="J291" i="66"/>
  <c r="J138" i="66"/>
  <c r="M126" i="66"/>
  <c r="K281" i="66"/>
  <c r="J121" i="66"/>
  <c r="J207" i="66"/>
  <c r="M16" i="66"/>
  <c r="L23" i="66"/>
  <c r="J89" i="66"/>
  <c r="K41" i="66"/>
  <c r="L69" i="66"/>
  <c r="H50" i="66"/>
  <c r="M201" i="66"/>
  <c r="K179" i="66"/>
  <c r="J266" i="66"/>
  <c r="J59" i="66"/>
  <c r="M230" i="66"/>
  <c r="J212" i="66"/>
  <c r="K287" i="66"/>
  <c r="M18" i="66"/>
  <c r="K52" i="66"/>
  <c r="K52" i="74" s="1"/>
  <c r="H242" i="66"/>
  <c r="H160" i="66"/>
  <c r="J220" i="66"/>
  <c r="H200" i="66"/>
  <c r="M48" i="66"/>
  <c r="K53" i="66"/>
  <c r="J259" i="66"/>
  <c r="J124" i="66"/>
  <c r="M81" i="66"/>
  <c r="K5" i="66"/>
  <c r="J155" i="66"/>
  <c r="M167" i="66"/>
  <c r="J184" i="66"/>
  <c r="J100" i="66"/>
  <c r="K208" i="66"/>
  <c r="J130" i="66"/>
  <c r="M9" i="66"/>
  <c r="H105" i="66"/>
  <c r="L112" i="66"/>
  <c r="L112" i="74" s="1"/>
  <c r="K258" i="66"/>
  <c r="J273" i="66"/>
  <c r="M222" i="66"/>
  <c r="J109" i="66"/>
  <c r="J109" i="74" s="1"/>
  <c r="K27" i="66"/>
  <c r="J204" i="66"/>
  <c r="H147" i="66"/>
  <c r="K271" i="66"/>
  <c r="L41" i="66"/>
  <c r="J78" i="66"/>
  <c r="J271" i="66"/>
  <c r="J238" i="66"/>
  <c r="L166" i="66"/>
  <c r="J9" i="66"/>
  <c r="K125" i="66"/>
  <c r="K47" i="66"/>
  <c r="L115" i="66"/>
  <c r="M282" i="66"/>
  <c r="K59" i="66"/>
  <c r="M97" i="66"/>
  <c r="J200" i="66"/>
  <c r="H213" i="66"/>
  <c r="M287" i="66"/>
  <c r="J108" i="66"/>
  <c r="H255" i="66"/>
  <c r="K99" i="66"/>
  <c r="L209" i="66"/>
  <c r="H187" i="66"/>
  <c r="M101" i="66"/>
  <c r="J233" i="66"/>
  <c r="H208" i="66"/>
  <c r="M149" i="66"/>
  <c r="M77" i="66"/>
  <c r="J255" i="66"/>
  <c r="M112" i="66"/>
  <c r="H178" i="66"/>
  <c r="H89" i="66"/>
  <c r="M288" i="66"/>
  <c r="H62" i="66"/>
  <c r="M120" i="66"/>
  <c r="L97" i="66"/>
  <c r="L97" i="74" s="1"/>
  <c r="L198" i="66"/>
  <c r="J19" i="66"/>
  <c r="L260" i="66"/>
  <c r="L89" i="66"/>
  <c r="J163" i="66"/>
  <c r="M209" i="66"/>
  <c r="M245" i="66"/>
  <c r="L14" i="66"/>
  <c r="J76" i="66"/>
  <c r="H52" i="66"/>
  <c r="H52" i="74" s="1"/>
  <c r="K264" i="66"/>
  <c r="M61" i="66"/>
  <c r="H67" i="66"/>
  <c r="K245" i="66"/>
  <c r="H130" i="66"/>
  <c r="M76" i="66"/>
  <c r="L211" i="66"/>
  <c r="J158" i="66"/>
  <c r="M289" i="66"/>
  <c r="L113" i="66"/>
  <c r="M136" i="66"/>
  <c r="L114" i="66"/>
  <c r="J224" i="66"/>
  <c r="J203" i="66"/>
  <c r="K283" i="66"/>
  <c r="L137" i="66"/>
  <c r="M63" i="66"/>
  <c r="H98" i="66"/>
  <c r="H98" i="74" s="1"/>
  <c r="L15" i="66"/>
  <c r="M122" i="66"/>
  <c r="M155" i="66"/>
  <c r="K70" i="66"/>
  <c r="J225" i="66"/>
  <c r="K97" i="66"/>
  <c r="K97" i="74" s="1"/>
  <c r="M33" i="66"/>
  <c r="L149" i="66"/>
  <c r="L107" i="66"/>
  <c r="L196" i="66"/>
  <c r="J226" i="66"/>
  <c r="J240" i="66"/>
  <c r="H139" i="66"/>
  <c r="H279" i="66"/>
  <c r="J281" i="66"/>
  <c r="M64" i="66"/>
  <c r="J81" i="66"/>
  <c r="J81" i="74" s="1"/>
  <c r="L67" i="66"/>
  <c r="J261" i="66"/>
  <c r="J136" i="66"/>
  <c r="M183" i="66"/>
  <c r="H93" i="66"/>
  <c r="H57" i="66"/>
  <c r="K160" i="66"/>
  <c r="K44" i="66"/>
  <c r="K81" i="66"/>
  <c r="L70" i="66"/>
  <c r="K120" i="66"/>
  <c r="K255" i="66"/>
  <c r="L178" i="66"/>
  <c r="M135" i="66"/>
  <c r="J282" i="66"/>
  <c r="M125" i="66"/>
  <c r="M128" i="66"/>
  <c r="K205" i="66"/>
  <c r="K130" i="66"/>
  <c r="J219" i="66"/>
  <c r="L24" i="66"/>
  <c r="M129" i="66"/>
  <c r="M129" i="74" s="1"/>
  <c r="K166" i="66"/>
  <c r="L223" i="66"/>
  <c r="K256" i="66"/>
  <c r="M255" i="66"/>
  <c r="K92" i="66"/>
  <c r="K265" i="66"/>
  <c r="H115" i="66"/>
  <c r="H115" i="74" s="1"/>
  <c r="J178" i="66"/>
  <c r="L282" i="66"/>
  <c r="K231" i="66"/>
  <c r="J63" i="66"/>
  <c r="M104" i="66"/>
  <c r="L145" i="66"/>
  <c r="K61" i="66"/>
  <c r="M160" i="66"/>
  <c r="H120" i="66"/>
  <c r="H120" i="74" s="1"/>
  <c r="H287" i="66"/>
  <c r="K241" i="66"/>
  <c r="M208" i="66"/>
  <c r="L269" i="66"/>
  <c r="J215" i="66"/>
  <c r="L52" i="66"/>
  <c r="L52" i="74" s="1"/>
  <c r="L158" i="66"/>
  <c r="J269" i="66"/>
  <c r="J70" i="66"/>
  <c r="J174" i="66"/>
  <c r="J285" i="66"/>
  <c r="L160" i="66"/>
  <c r="M240" i="66"/>
  <c r="K109" i="66"/>
  <c r="J149" i="66"/>
  <c r="J183" i="66"/>
  <c r="J237" i="66"/>
  <c r="L245" i="66"/>
  <c r="J131" i="66"/>
  <c r="M130" i="66"/>
  <c r="M156" i="66"/>
  <c r="L199" i="66"/>
  <c r="H63" i="66"/>
  <c r="H223" i="66"/>
  <c r="K64" i="66"/>
  <c r="K64" i="74" s="1"/>
  <c r="L241" i="66"/>
  <c r="L121" i="66"/>
  <c r="M217" i="66"/>
  <c r="M226" i="66"/>
  <c r="M258" i="66"/>
  <c r="L117" i="66"/>
  <c r="M176" i="66"/>
  <c r="L157" i="66"/>
  <c r="L54" i="66"/>
  <c r="L54" i="74" s="1"/>
  <c r="H278" i="66"/>
  <c r="H253" i="66"/>
  <c r="H165" i="66"/>
  <c r="L270" i="66"/>
  <c r="K200" i="66"/>
  <c r="L251" i="66"/>
  <c r="J99" i="66"/>
  <c r="H117" i="66"/>
  <c r="M197" i="66"/>
  <c r="K262" i="66"/>
  <c r="K115" i="66"/>
  <c r="L273" i="66"/>
  <c r="L125" i="66"/>
  <c r="L125" i="74" s="1"/>
  <c r="J264" i="66"/>
  <c r="L289" i="66"/>
  <c r="K148" i="66"/>
  <c r="J117" i="66"/>
  <c r="K63" i="66"/>
  <c r="J75" i="66"/>
  <c r="H127" i="66"/>
  <c r="H241" i="66"/>
  <c r="M270" i="66"/>
  <c r="K233" i="66"/>
  <c r="J170" i="66"/>
  <c r="J120" i="66"/>
  <c r="J120" i="74" s="1"/>
  <c r="M47" i="66"/>
  <c r="J209" i="66"/>
  <c r="J218" i="66"/>
  <c r="M60" i="66"/>
  <c r="J137" i="66"/>
  <c r="J30" i="66"/>
  <c r="M114" i="66"/>
  <c r="M114" i="74" s="1"/>
  <c r="L88" i="66"/>
  <c r="M263" i="66"/>
  <c r="K137" i="66"/>
  <c r="J206" i="66"/>
  <c r="J251" i="66"/>
  <c r="M220" i="66"/>
  <c r="M70" i="66"/>
  <c r="M273" i="66"/>
  <c r="J92" i="66"/>
  <c r="J5" i="66"/>
  <c r="J5" i="74" s="1"/>
  <c r="K269" i="66"/>
  <c r="K223" i="66"/>
  <c r="M115" i="66"/>
  <c r="J279" i="66"/>
  <c r="L129" i="66"/>
  <c r="K121" i="66"/>
  <c r="K121" i="74" s="1"/>
  <c r="J144" i="66"/>
  <c r="J27" i="66"/>
  <c r="J213" i="66"/>
  <c r="K227" i="66"/>
  <c r="M29" i="66"/>
  <c r="M29" i="74" s="1"/>
  <c r="J79" i="66"/>
  <c r="L265" i="66"/>
  <c r="M200" i="66"/>
  <c r="L82" i="66"/>
  <c r="J254" i="66"/>
  <c r="L130" i="66"/>
  <c r="H99" i="66"/>
  <c r="H99" i="74" s="1"/>
  <c r="J95" i="66"/>
  <c r="J289" i="66"/>
  <c r="M157" i="66"/>
  <c r="K253" i="66"/>
  <c r="L19" i="66"/>
  <c r="L258" i="66"/>
  <c r="M24" i="66"/>
  <c r="K98" i="66"/>
  <c r="J208" i="66"/>
  <c r="M254" i="66"/>
  <c r="M241" i="66"/>
  <c r="M163" i="66"/>
  <c r="J156" i="66"/>
  <c r="J267" i="66"/>
  <c r="M52" i="66"/>
  <c r="M52" i="74" s="1"/>
  <c r="K112" i="66"/>
  <c r="J11" i="66"/>
  <c r="J196" i="66"/>
  <c r="M173" i="66"/>
  <c r="K217" i="66"/>
  <c r="H182" i="66"/>
  <c r="H225" i="66"/>
  <c r="K149" i="66"/>
  <c r="M72" i="66"/>
  <c r="L215" i="66"/>
  <c r="J287" i="66"/>
  <c r="M11" i="66"/>
  <c r="K216" i="66"/>
  <c r="M266" i="66"/>
  <c r="M267" i="66"/>
  <c r="K230" i="66"/>
  <c r="K278" i="66"/>
  <c r="K168" i="66"/>
  <c r="M231" i="66"/>
  <c r="L63" i="66"/>
  <c r="L275" i="66"/>
  <c r="M191" i="66"/>
  <c r="L253" i="66"/>
  <c r="M216" i="66"/>
  <c r="M25" i="66"/>
  <c r="J139" i="66"/>
  <c r="J139" i="74" s="1"/>
  <c r="M148" i="66"/>
  <c r="H267" i="66"/>
  <c r="L243" i="66"/>
  <c r="J54" i="66"/>
  <c r="M265" i="66"/>
  <c r="J112" i="66"/>
  <c r="J216" i="66"/>
  <c r="L55" i="66"/>
  <c r="L55" i="74" s="1"/>
  <c r="H243" i="66"/>
  <c r="L16" i="66"/>
  <c r="L16" i="74" s="1"/>
  <c r="L109" i="66"/>
  <c r="M225" i="66"/>
  <c r="L120" i="66"/>
  <c r="K279" i="66"/>
  <c r="L283" i="66"/>
  <c r="J165" i="66"/>
  <c r="K251" i="66"/>
  <c r="H137" i="66"/>
  <c r="L214" i="66"/>
  <c r="M269" i="66"/>
  <c r="M174" i="66"/>
  <c r="M205" i="66"/>
  <c r="L284" i="66"/>
  <c r="M67" i="66"/>
  <c r="L165" i="66"/>
  <c r="J275" i="66"/>
  <c r="K289" i="66"/>
  <c r="M196" i="66"/>
  <c r="H230" i="66"/>
  <c r="M30" i="66"/>
  <c r="M109" i="66"/>
  <c r="J241" i="66"/>
  <c r="J192" i="66"/>
  <c r="J111" i="66"/>
  <c r="J111" i="74" s="1"/>
  <c r="L163" i="66"/>
  <c r="J260" i="66"/>
  <c r="M92" i="66"/>
  <c r="J160" i="66"/>
  <c r="J148" i="66"/>
  <c r="M218" i="66"/>
  <c r="K77" i="66"/>
  <c r="J258" i="66"/>
  <c r="J129" i="66"/>
  <c r="J129" i="74" s="1"/>
  <c r="K219" i="66"/>
  <c r="L246" i="66"/>
  <c r="M124" i="66"/>
  <c r="H75" i="66"/>
  <c r="K75" i="66"/>
  <c r="L216" i="66"/>
  <c r="M237" i="66"/>
  <c r="L231" i="66"/>
  <c r="M203" i="66"/>
  <c r="M178" i="66"/>
  <c r="H216" i="66"/>
  <c r="H153" i="66"/>
  <c r="L77" i="66"/>
  <c r="L92" i="66"/>
  <c r="H211" i="66"/>
  <c r="K182" i="66"/>
  <c r="H112" i="66"/>
  <c r="K178" i="66"/>
  <c r="L213" i="66"/>
  <c r="H273" i="66"/>
  <c r="M204" i="66"/>
  <c r="H16" i="66"/>
  <c r="H16" i="74" s="1"/>
  <c r="L278" i="66"/>
  <c r="H157" i="66"/>
  <c r="L99" i="66"/>
  <c r="L99" i="74" s="1"/>
  <c r="L255" i="66"/>
  <c r="K267" i="66"/>
  <c r="K163" i="66"/>
  <c r="K191" i="66"/>
  <c r="L225" i="66"/>
  <c r="K158" i="66"/>
  <c r="K14" i="66"/>
  <c r="K14" i="74" s="1"/>
  <c r="M251" i="66"/>
  <c r="L61" i="66"/>
  <c r="L61" i="74" s="1"/>
  <c r="K89" i="66"/>
  <c r="K89" i="74" s="1"/>
  <c r="L290" i="66"/>
  <c r="H38" i="66"/>
  <c r="H38" i="74" s="1"/>
  <c r="J166" i="66"/>
  <c r="L230" i="66"/>
  <c r="J58" i="66"/>
  <c r="M88" i="66"/>
  <c r="J90" i="66"/>
  <c r="K29" i="66"/>
  <c r="K18" i="66"/>
  <c r="K18" i="74" s="1"/>
  <c r="J175" i="66"/>
  <c r="K235" i="66"/>
  <c r="H146" i="66"/>
  <c r="L79" i="66"/>
  <c r="L79" i="74" s="1"/>
  <c r="L11" i="66"/>
  <c r="M78" i="66"/>
  <c r="M78" i="74" s="1"/>
  <c r="L62" i="66"/>
  <c r="H151" i="66"/>
  <c r="L40" i="66"/>
  <c r="H49" i="66"/>
  <c r="L175" i="66"/>
  <c r="M202" i="66"/>
  <c r="M65" i="66"/>
  <c r="M65" i="74" s="1"/>
  <c r="M111" i="66"/>
  <c r="M111" i="74" s="1"/>
  <c r="M256" i="66"/>
  <c r="L217" i="66"/>
  <c r="J51" i="66"/>
  <c r="J176" i="66"/>
  <c r="M32" i="66"/>
  <c r="M177" i="66"/>
  <c r="K104" i="66"/>
  <c r="K275" i="66"/>
  <c r="L148" i="66"/>
  <c r="K242" i="66"/>
  <c r="L30" i="66"/>
  <c r="L30" i="74" s="1"/>
  <c r="M259" i="66"/>
  <c r="L80" i="66"/>
  <c r="M123" i="66"/>
  <c r="L274" i="66"/>
  <c r="L197" i="66"/>
  <c r="K24" i="66"/>
  <c r="K24" i="74" s="1"/>
  <c r="M253" i="66"/>
  <c r="J35" i="66"/>
  <c r="M232" i="66"/>
  <c r="K123" i="66"/>
  <c r="M39" i="66"/>
  <c r="M39" i="74" s="1"/>
  <c r="M224" i="66"/>
  <c r="L32" i="66"/>
  <c r="M22" i="66"/>
  <c r="L151" i="66"/>
  <c r="M121" i="66"/>
  <c r="L65" i="66"/>
  <c r="L65" i="74" s="1"/>
  <c r="J242" i="66"/>
  <c r="L26" i="66"/>
  <c r="K162" i="66"/>
  <c r="L98" i="66"/>
  <c r="J77" i="66"/>
  <c r="L44" i="66"/>
  <c r="M215" i="66"/>
  <c r="M190" i="66"/>
  <c r="J32" i="66"/>
  <c r="H249" i="66"/>
  <c r="L122" i="66"/>
  <c r="H123" i="66"/>
  <c r="H123" i="74" s="1"/>
  <c r="L153" i="66"/>
  <c r="J221" i="66"/>
  <c r="M27" i="66"/>
  <c r="M27" i="74" s="1"/>
  <c r="L103" i="66"/>
  <c r="J194" i="66"/>
  <c r="J55" i="66"/>
  <c r="J55" i="74" s="1"/>
  <c r="J198" i="66"/>
  <c r="L17" i="66"/>
  <c r="L138" i="66"/>
  <c r="L138" i="74" s="1"/>
  <c r="J43" i="66"/>
  <c r="H56" i="66"/>
  <c r="H56" i="74" s="1"/>
  <c r="K206" i="66"/>
  <c r="J290" i="66"/>
  <c r="L249" i="66"/>
  <c r="M113" i="66"/>
  <c r="M113" i="74" s="1"/>
  <c r="H39" i="66"/>
  <c r="H291" i="66"/>
  <c r="H231" i="66"/>
  <c r="J125" i="66"/>
  <c r="M264" i="66"/>
  <c r="L111" i="66"/>
  <c r="L96" i="66"/>
  <c r="K16" i="66"/>
  <c r="K16" i="74" s="1"/>
  <c r="H226" i="66"/>
  <c r="H35" i="66"/>
  <c r="M158" i="66"/>
  <c r="L272" i="66"/>
  <c r="L182" i="66"/>
  <c r="J10" i="66"/>
  <c r="L176" i="66"/>
  <c r="J114" i="66"/>
  <c r="J189" i="66"/>
  <c r="L66" i="66"/>
  <c r="K101" i="66"/>
  <c r="K101" i="74" s="1"/>
  <c r="J20" i="66"/>
  <c r="J103" i="66"/>
  <c r="M94" i="66"/>
  <c r="K87" i="66"/>
  <c r="K87" i="74" s="1"/>
  <c r="J26" i="66"/>
  <c r="L25" i="66"/>
  <c r="L13" i="66"/>
  <c r="J116" i="66"/>
  <c r="J116" i="74" s="1"/>
  <c r="J288" i="66"/>
  <c r="K114" i="66"/>
  <c r="K114" i="74" s="1"/>
  <c r="J127" i="66"/>
  <c r="J127" i="74" s="1"/>
  <c r="J152" i="66"/>
  <c r="M248" i="66"/>
  <c r="H95" i="66"/>
  <c r="L263" i="66"/>
  <c r="M80" i="66"/>
  <c r="J236" i="66"/>
  <c r="K155" i="66"/>
  <c r="J39" i="66"/>
  <c r="J39" i="74" s="1"/>
  <c r="L170" i="66"/>
  <c r="J235" i="66"/>
  <c r="K187" i="66"/>
  <c r="K139" i="66"/>
  <c r="K139" i="74" s="1"/>
  <c r="L191" i="66"/>
  <c r="K73" i="66"/>
  <c r="K73" i="74" s="1"/>
  <c r="J8" i="66"/>
  <c r="L5" i="66"/>
  <c r="L5" i="74" s="1"/>
  <c r="L287" i="66"/>
  <c r="M62" i="66"/>
  <c r="M62" i="74" s="1"/>
  <c r="L74" i="66"/>
  <c r="L74" i="74" s="1"/>
  <c r="J48" i="66"/>
  <c r="J150" i="66"/>
  <c r="M73" i="66"/>
  <c r="M73" i="74" s="1"/>
  <c r="L33" i="66"/>
  <c r="L33" i="74" s="1"/>
  <c r="L147" i="66"/>
  <c r="L147" i="74" s="1"/>
  <c r="M249" i="66"/>
  <c r="H248" i="66"/>
  <c r="K100" i="66"/>
  <c r="K100" i="74" s="1"/>
  <c r="J249" i="66"/>
  <c r="K195" i="66"/>
  <c r="J185" i="66"/>
  <c r="L179" i="66"/>
  <c r="J106" i="66"/>
  <c r="L9" i="66"/>
  <c r="L119" i="66"/>
  <c r="H111" i="66"/>
  <c r="H111" i="74" s="1"/>
  <c r="K62" i="66"/>
  <c r="L254" i="66"/>
  <c r="H134" i="66"/>
  <c r="H134" i="74" s="1"/>
  <c r="K86" i="66"/>
  <c r="K86" i="74" s="1"/>
  <c r="M278" i="66"/>
  <c r="K56" i="66"/>
  <c r="K56" i="74" s="1"/>
  <c r="M262" i="66"/>
  <c r="H271" i="66"/>
  <c r="K82" i="66"/>
  <c r="M58" i="66"/>
  <c r="M58" i="74" s="1"/>
  <c r="H256" i="66"/>
  <c r="L227" i="66"/>
  <c r="L78" i="66"/>
  <c r="L285" i="66"/>
  <c r="H24" i="66"/>
  <c r="M90" i="66"/>
  <c r="L206" i="66"/>
  <c r="H69" i="66"/>
  <c r="H69" i="74" s="1"/>
  <c r="H45" i="66"/>
  <c r="H45" i="74" s="1"/>
  <c r="L126" i="66"/>
  <c r="L126" i="74" s="1"/>
  <c r="J49" i="66"/>
  <c r="L18" i="66"/>
  <c r="J161" i="66"/>
  <c r="M268" i="66"/>
  <c r="L127" i="66"/>
  <c r="H237" i="66"/>
  <c r="M45" i="66"/>
  <c r="M45" i="74" s="1"/>
  <c r="L233" i="66"/>
  <c r="J201" i="66"/>
  <c r="M184" i="66"/>
  <c r="L210" i="66"/>
  <c r="J182" i="66"/>
  <c r="J83" i="66"/>
  <c r="H254" i="66"/>
  <c r="L187" i="66"/>
  <c r="K31" i="66"/>
  <c r="M154" i="66"/>
  <c r="L203" i="66"/>
  <c r="K210" i="66"/>
  <c r="L222" i="66"/>
  <c r="L164" i="66"/>
  <c r="L31" i="66"/>
  <c r="L31" i="74" s="1"/>
  <c r="M53" i="66"/>
  <c r="M53" i="74" s="1"/>
  <c r="L21" i="66"/>
  <c r="L21" i="74" s="1"/>
  <c r="H41" i="66"/>
  <c r="J188" i="66"/>
  <c r="M5" i="66"/>
  <c r="M5" i="74" s="1"/>
  <c r="M280" i="66"/>
  <c r="M175" i="66"/>
  <c r="K25" i="66"/>
  <c r="J71" i="66"/>
  <c r="J71" i="74" s="1"/>
  <c r="J247" i="66"/>
  <c r="K221" i="66"/>
  <c r="L50" i="66"/>
  <c r="L20" i="66"/>
  <c r="M95" i="66"/>
  <c r="J257" i="66"/>
  <c r="H179" i="66"/>
  <c r="L72" i="66"/>
  <c r="L72" i="74" s="1"/>
  <c r="K33" i="66"/>
  <c r="L135" i="66"/>
  <c r="K145" i="66"/>
  <c r="K145" i="74" s="1"/>
  <c r="J135" i="66"/>
  <c r="J135" i="74" s="1"/>
  <c r="J23" i="66"/>
  <c r="L91" i="66"/>
  <c r="M223" i="66"/>
  <c r="J167" i="66"/>
  <c r="L100" i="66"/>
  <c r="M141" i="66"/>
  <c r="H86" i="66"/>
  <c r="J15" i="66"/>
  <c r="L39" i="66"/>
  <c r="K194" i="66"/>
  <c r="J246" i="66"/>
  <c r="J126" i="66"/>
  <c r="M161" i="66"/>
  <c r="M17" i="74" s="1"/>
  <c r="L261" i="66"/>
  <c r="L64" i="66"/>
  <c r="J169" i="66"/>
  <c r="J119" i="66"/>
  <c r="J119" i="74" s="1"/>
  <c r="M188" i="66"/>
  <c r="K203" i="66"/>
  <c r="M182" i="66"/>
  <c r="J87" i="66"/>
  <c r="H91" i="66"/>
  <c r="J205" i="66"/>
  <c r="J274" i="66"/>
  <c r="M144" i="66"/>
  <c r="M144" i="74" s="1"/>
  <c r="J62" i="66"/>
  <c r="J62" i="74" s="1"/>
  <c r="H82" i="66"/>
  <c r="J168" i="66"/>
  <c r="H43" i="66"/>
  <c r="H43" i="74" s="1"/>
  <c r="J243" i="66"/>
  <c r="J66" i="66"/>
  <c r="L71" i="66"/>
  <c r="H171" i="66"/>
  <c r="L47" i="66"/>
  <c r="J82" i="66"/>
  <c r="J82" i="74" s="1"/>
  <c r="J141" i="66"/>
  <c r="J141" i="74" s="1"/>
  <c r="L189" i="66"/>
  <c r="K111" i="66"/>
  <c r="K111" i="74" s="1"/>
  <c r="L185" i="66"/>
  <c r="K243" i="66"/>
  <c r="K232" i="66"/>
  <c r="J179" i="66"/>
  <c r="J86" i="66"/>
  <c r="M79" i="66"/>
  <c r="L102" i="66"/>
  <c r="L102" i="74" s="1"/>
  <c r="M12" i="66"/>
  <c r="M12" i="74" s="1"/>
  <c r="L259" i="66"/>
  <c r="J93" i="66"/>
  <c r="J93" i="74" s="1"/>
  <c r="J7" i="66"/>
  <c r="J197" i="66"/>
  <c r="H87" i="66"/>
  <c r="H163" i="66"/>
  <c r="L35" i="66"/>
  <c r="L35" i="74" s="1"/>
  <c r="J151" i="66"/>
  <c r="M59" i="66"/>
  <c r="M59" i="74" s="1"/>
  <c r="H8" i="66"/>
  <c r="J210" i="66"/>
  <c r="K8" i="66"/>
  <c r="M286" i="66"/>
  <c r="H110" i="66"/>
  <c r="H110" i="74" s="1"/>
  <c r="J105" i="66"/>
  <c r="M153" i="66"/>
  <c r="M28" i="66"/>
  <c r="L257" i="66"/>
  <c r="L42" i="66"/>
  <c r="H194" i="66"/>
  <c r="K4" i="66"/>
  <c r="K4" i="74" s="1"/>
  <c r="M271" i="66"/>
  <c r="M238" i="66"/>
  <c r="J252" i="66"/>
  <c r="L146" i="66"/>
  <c r="L146" i="74" s="1"/>
  <c r="H274" i="66"/>
  <c r="K274" i="66"/>
  <c r="M75" i="66"/>
  <c r="J102" i="66"/>
  <c r="H31" i="66"/>
  <c r="M118" i="66"/>
  <c r="M118" i="74" s="1"/>
  <c r="M34" i="66"/>
  <c r="K169" i="66"/>
  <c r="M189" i="66"/>
  <c r="H104" i="66"/>
  <c r="K207" i="66"/>
  <c r="M285" i="66"/>
  <c r="L281" i="66"/>
  <c r="M159" i="66"/>
  <c r="L81" i="66"/>
  <c r="L81" i="74" s="1"/>
  <c r="H290" i="66"/>
  <c r="H103" i="66"/>
  <c r="J232" i="66"/>
  <c r="J186" i="66"/>
  <c r="M142" i="66"/>
  <c r="L169" i="66"/>
  <c r="H7" i="66"/>
  <c r="K66" i="66"/>
  <c r="L212" i="66"/>
  <c r="L83" i="66"/>
  <c r="L83" i="74" s="1"/>
  <c r="J164" i="66"/>
  <c r="L105" i="66"/>
  <c r="K118" i="66"/>
  <c r="K15" i="66"/>
  <c r="J153" i="66"/>
  <c r="J146" i="66"/>
  <c r="J24" i="66"/>
  <c r="J24" i="74" s="1"/>
  <c r="H199" i="66"/>
  <c r="H129" i="66"/>
  <c r="H129" i="74" s="1"/>
  <c r="J113" i="66"/>
  <c r="J113" i="74" s="1"/>
  <c r="K147" i="66"/>
  <c r="L201" i="66"/>
  <c r="K83" i="66"/>
  <c r="K83" i="74" s="1"/>
  <c r="K193" i="66"/>
  <c r="L86" i="66"/>
  <c r="L141" i="66"/>
  <c r="M210" i="66"/>
  <c r="K236" i="66"/>
  <c r="M106" i="66"/>
  <c r="J110" i="66"/>
  <c r="J28" i="66"/>
  <c r="J268" i="66"/>
  <c r="L195" i="66"/>
  <c r="J118" i="66"/>
  <c r="J118" i="74" s="1"/>
  <c r="M211" i="66"/>
  <c r="J272" i="66"/>
  <c r="K177" i="66"/>
  <c r="L134" i="66"/>
  <c r="K159" i="66"/>
  <c r="H33" i="66"/>
  <c r="L247" i="66"/>
  <c r="H261" i="66"/>
  <c r="L29" i="66"/>
  <c r="L29" i="74" s="1"/>
  <c r="K91" i="66"/>
  <c r="K40" i="66"/>
  <c r="L118" i="66"/>
  <c r="L118" i="74" s="1"/>
  <c r="H141" i="66"/>
  <c r="H141" i="74" s="1"/>
  <c r="H247" i="66"/>
  <c r="J214" i="66"/>
  <c r="K171" i="66"/>
  <c r="H34" i="66"/>
  <c r="M272" i="66"/>
  <c r="K214" i="66"/>
  <c r="H15" i="66"/>
  <c r="K88" i="66"/>
  <c r="K88" i="74" s="1"/>
  <c r="J193" i="66"/>
  <c r="J12" i="66"/>
  <c r="J12" i="74" s="1"/>
  <c r="L101" i="66"/>
  <c r="L101" i="74" s="1"/>
  <c r="J21" i="66"/>
  <c r="J21" i="74" s="1"/>
  <c r="J47" i="66"/>
  <c r="J270" i="66"/>
  <c r="H193" i="66"/>
  <c r="L193" i="66"/>
  <c r="J284" i="66"/>
  <c r="L207" i="66"/>
  <c r="M91" i="66"/>
  <c r="J6" i="66"/>
  <c r="J6" i="74" s="1"/>
  <c r="J44" i="66"/>
  <c r="K211" i="66"/>
  <c r="M244" i="66"/>
  <c r="M96" i="66"/>
  <c r="M96" i="74" s="1"/>
  <c r="K157" i="66"/>
  <c r="J72" i="66"/>
  <c r="L226" i="66"/>
  <c r="J231" i="66"/>
  <c r="M71" i="66"/>
  <c r="K127" i="66"/>
  <c r="K127" i="74" s="1"/>
  <c r="K13" i="66"/>
  <c r="H281" i="66"/>
  <c r="L162" i="66"/>
  <c r="K151" i="66"/>
  <c r="K39" i="66"/>
  <c r="K39" i="74" s="1"/>
  <c r="K19" i="66"/>
  <c r="K19" i="74" s="1"/>
  <c r="K107" i="66"/>
  <c r="K107" i="74" s="1"/>
  <c r="M169" i="66"/>
  <c r="J60" i="66"/>
  <c r="J60" i="74" s="1"/>
  <c r="K129" i="66"/>
  <c r="K129" i="74" s="1"/>
  <c r="J50" i="66"/>
  <c r="J50" i="74" s="1"/>
  <c r="J14" i="66"/>
  <c r="J14" i="74" s="1"/>
  <c r="K247" i="66"/>
  <c r="M127" i="66"/>
  <c r="M127" i="74" s="1"/>
  <c r="M235" i="66"/>
  <c r="L140" i="66"/>
  <c r="L140" i="74" s="1"/>
  <c r="H135" i="66"/>
  <c r="H135" i="74" s="1"/>
  <c r="K43" i="66"/>
  <c r="L43" i="66"/>
  <c r="L43" i="74" s="1"/>
  <c r="H177" i="66"/>
  <c r="J227" i="66"/>
  <c r="M143" i="66"/>
  <c r="M143" i="74" s="1"/>
  <c r="L110" i="66"/>
  <c r="H152" i="66"/>
  <c r="M4" i="66"/>
  <c r="M4" i="74" s="1"/>
  <c r="L57" i="66"/>
  <c r="M152" i="66"/>
  <c r="J211" i="66"/>
  <c r="H219" i="66"/>
  <c r="J29" i="66"/>
  <c r="K188" i="66"/>
  <c r="J45" i="66"/>
  <c r="M49" i="66"/>
  <c r="H185" i="66"/>
  <c r="K146" i="66"/>
  <c r="J88" i="66"/>
  <c r="J88" i="74" s="1"/>
  <c r="M250" i="66"/>
  <c r="J94" i="66"/>
  <c r="J94" i="74" s="1"/>
  <c r="L232" i="66"/>
  <c r="J195" i="66"/>
  <c r="J65" i="66"/>
  <c r="J65" i="74" s="1"/>
  <c r="J159" i="66"/>
  <c r="J256" i="66"/>
  <c r="M105" i="66"/>
  <c r="L194" i="66"/>
  <c r="L221" i="66"/>
  <c r="M279" i="66"/>
  <c r="J222" i="66"/>
  <c r="K140" i="66"/>
  <c r="K143" i="66"/>
  <c r="K143" i="74" s="1"/>
  <c r="L73" i="66"/>
  <c r="H175" i="66"/>
  <c r="J41" i="66"/>
  <c r="J41" i="74" s="1"/>
  <c r="J38" i="66"/>
  <c r="J38" i="74" s="1"/>
  <c r="L49" i="66"/>
  <c r="M172" i="66"/>
  <c r="J172" i="66"/>
  <c r="M192" i="66"/>
  <c r="L186" i="66"/>
  <c r="H183" i="66"/>
  <c r="M93" i="66"/>
  <c r="M93" i="74" s="1"/>
  <c r="M207" i="66"/>
  <c r="J40" i="66"/>
  <c r="J40" i="74" s="1"/>
  <c r="L45" i="66"/>
  <c r="L45" i="74" s="1"/>
  <c r="K152" i="66"/>
  <c r="M193" i="66"/>
  <c r="H289" i="66"/>
  <c r="J91" i="66"/>
  <c r="H13" i="66"/>
  <c r="H275" i="66"/>
  <c r="H207" i="66"/>
  <c r="J97" i="66"/>
  <c r="L183" i="66"/>
  <c r="K239" i="66"/>
  <c r="J157" i="66"/>
  <c r="K225" i="66"/>
  <c r="M107" i="66"/>
  <c r="M107" i="74" s="1"/>
  <c r="M221" i="66"/>
  <c r="J187" i="66"/>
  <c r="L234" i="66"/>
  <c r="H206" i="66"/>
  <c r="H205" i="66"/>
  <c r="H19" i="66"/>
  <c r="H19" i="74" s="1"/>
  <c r="M38" i="66"/>
  <c r="M38" i="74" s="1"/>
  <c r="H145" i="66"/>
  <c r="J250" i="66"/>
  <c r="H233" i="66"/>
  <c r="M119" i="66"/>
  <c r="M119" i="74" s="1"/>
  <c r="H191" i="66"/>
  <c r="J68" i="66"/>
  <c r="J68" i="74" s="1"/>
  <c r="H51" i="66"/>
  <c r="H51" i="74" s="1"/>
  <c r="K134" i="66"/>
  <c r="K134" i="74" s="1"/>
  <c r="L48" i="66"/>
  <c r="L7" i="66"/>
  <c r="M252" i="66"/>
  <c r="M15" i="66"/>
  <c r="K173" i="66"/>
  <c r="J18" i="66"/>
  <c r="J18" i="74" s="1"/>
  <c r="K72" i="66"/>
  <c r="K72" i="74" s="1"/>
  <c r="H239" i="66"/>
  <c r="M284" i="66"/>
  <c r="M86" i="66"/>
  <c r="M86" i="74" s="1"/>
  <c r="M14" i="66"/>
  <c r="M14" i="74" s="1"/>
  <c r="L144" i="66"/>
  <c r="L144" i="74" s="1"/>
  <c r="L116" i="66"/>
  <c r="L116" i="74" s="1"/>
  <c r="K131" i="66"/>
  <c r="K131" i="74" s="1"/>
  <c r="L264" i="66"/>
  <c r="K280" i="66"/>
  <c r="M170" i="66"/>
  <c r="J22" i="66"/>
  <c r="J22" i="74" s="1"/>
  <c r="L136" i="66"/>
  <c r="H47" i="66"/>
  <c r="J280" i="66"/>
  <c r="L279" i="66"/>
  <c r="M13" i="66"/>
  <c r="M13" i="74" s="1"/>
  <c r="M274" i="66"/>
  <c r="L90" i="66"/>
  <c r="L87" i="66"/>
  <c r="L87" i="74" s="1"/>
  <c r="K135" i="66"/>
  <c r="K135" i="74" s="1"/>
  <c r="K79" i="66"/>
  <c r="K79" i="74" s="1"/>
  <c r="M239" i="66"/>
  <c r="L22" i="66"/>
  <c r="L22" i="74" s="1"/>
  <c r="M214" i="66"/>
  <c r="L242" i="66"/>
  <c r="H244" i="66"/>
  <c r="M74" i="66"/>
  <c r="M74" i="74" s="1"/>
  <c r="J191" i="66"/>
  <c r="M51" i="66"/>
  <c r="J31" i="66"/>
  <c r="J31" i="74" s="1"/>
  <c r="L239" i="66"/>
  <c r="L68" i="66"/>
  <c r="L150" i="66"/>
  <c r="K259" i="66"/>
  <c r="J17" i="66"/>
  <c r="J17" i="74" s="1"/>
  <c r="M162" i="66"/>
  <c r="L161" i="66"/>
  <c r="L235" i="66"/>
  <c r="K291" i="66"/>
  <c r="M234" i="66"/>
  <c r="L266" i="66"/>
  <c r="J13" i="66"/>
  <c r="J34" i="66"/>
  <c r="J34" i="74" s="1"/>
  <c r="M134" i="66"/>
  <c r="H97" i="66"/>
  <c r="H97" i="74" s="1"/>
  <c r="M100" i="66"/>
  <c r="H131" i="66"/>
  <c r="H131" i="74" s="1"/>
  <c r="H79" i="66"/>
  <c r="H79" i="74" s="1"/>
  <c r="J147" i="66"/>
  <c r="J147" i="74" s="1"/>
  <c r="K103" i="66"/>
  <c r="K103" i="74" s="1"/>
  <c r="L244" i="66"/>
  <c r="L280" i="66"/>
  <c r="J286" i="66"/>
  <c r="K22" i="66"/>
  <c r="K22" i="74" s="1"/>
  <c r="J33" i="66"/>
  <c r="J171" i="66"/>
  <c r="J154" i="66"/>
  <c r="L208" i="66"/>
  <c r="J173" i="66"/>
  <c r="L6" i="66"/>
  <c r="L224" i="66"/>
  <c r="L240" i="66"/>
  <c r="K110" i="66"/>
  <c r="H83" i="66"/>
  <c r="H83" i="74" s="1"/>
  <c r="L159" i="66"/>
  <c r="M166" i="66"/>
  <c r="L53" i="66"/>
  <c r="L53" i="74" s="1"/>
  <c r="K55" i="66"/>
  <c r="K55" i="74" s="1"/>
  <c r="H143" i="66"/>
  <c r="H143" i="74" s="1"/>
  <c r="J162" i="66"/>
  <c r="H159" i="66"/>
  <c r="K290" i="66"/>
  <c r="K185" i="66"/>
  <c r="L51" i="66"/>
  <c r="L51" i="74" s="1"/>
  <c r="L271" i="66"/>
  <c r="K175" i="66"/>
  <c r="L236" i="66"/>
  <c r="H109" i="66"/>
  <c r="H109" i="74" s="1"/>
  <c r="J140" i="66"/>
  <c r="J140" i="74" s="1"/>
  <c r="M43" i="66"/>
  <c r="M43" i="74" s="1"/>
  <c r="M66" i="66"/>
  <c r="M66" i="74" s="1"/>
  <c r="J177" i="66"/>
  <c r="K284" i="66"/>
  <c r="K254" i="66"/>
  <c r="J42" i="66"/>
  <c r="J42" i="74" s="1"/>
  <c r="M139" i="66"/>
  <c r="M139" i="74" s="1"/>
  <c r="H14" i="66"/>
  <c r="H14" i="74" s="1"/>
  <c r="J142" i="66"/>
  <c r="L155" i="66"/>
  <c r="H168" i="66"/>
  <c r="J69" i="66"/>
  <c r="J69" i="74" s="1"/>
  <c r="L34" i="66"/>
  <c r="L34" i="74" s="1"/>
  <c r="M87" i="66"/>
  <c r="H9" i="66"/>
  <c r="H9" i="74" s="1"/>
  <c r="J25" i="66"/>
  <c r="J25" i="74" s="1"/>
  <c r="L168" i="66"/>
  <c r="J123" i="66"/>
  <c r="J123" i="74" s="1"/>
  <c r="H283" i="66"/>
  <c r="M31" i="66"/>
  <c r="L95" i="66"/>
  <c r="M236" i="66"/>
  <c r="M219" i="66"/>
  <c r="J46" i="66"/>
  <c r="J46" i="74" s="1"/>
  <c r="L192" i="66"/>
  <c r="L167" i="66"/>
  <c r="K184" i="66"/>
  <c r="J248" i="66"/>
  <c r="L188" i="66"/>
  <c r="M108" i="66"/>
  <c r="M108" i="74" s="1"/>
  <c r="M57" i="66"/>
  <c r="M57" i="74" s="1"/>
  <c r="K132" i="74" l="1"/>
  <c r="N7" i="74"/>
  <c r="M106" i="74"/>
  <c r="M71" i="74"/>
  <c r="H37" i="74"/>
  <c r="N58" i="74"/>
  <c r="J100" i="74"/>
  <c r="J91" i="74"/>
  <c r="J28" i="74"/>
  <c r="H7" i="74"/>
  <c r="K33" i="74"/>
  <c r="S33" i="74" s="1"/>
  <c r="L32" i="74"/>
  <c r="J59" i="74"/>
  <c r="N56" i="74"/>
  <c r="M79" i="74"/>
  <c r="J77" i="74"/>
  <c r="L19" i="74"/>
  <c r="L105" i="74"/>
  <c r="L70" i="74"/>
  <c r="N36" i="74"/>
  <c r="N110" i="74"/>
  <c r="N63" i="74"/>
  <c r="N55" i="74"/>
  <c r="L39" i="74"/>
  <c r="N125" i="74"/>
  <c r="J7" i="74"/>
  <c r="L67" i="74"/>
  <c r="M123" i="74"/>
  <c r="J44" i="74"/>
  <c r="J87" i="74"/>
  <c r="M130" i="74"/>
  <c r="M82" i="74"/>
  <c r="J16" i="74"/>
  <c r="K35" i="74"/>
  <c r="L132" i="74"/>
  <c r="N12" i="74"/>
  <c r="N128" i="74"/>
  <c r="N44" i="74"/>
  <c r="N82" i="74"/>
  <c r="N60" i="74"/>
  <c r="H33" i="74"/>
  <c r="L90" i="74"/>
  <c r="L95" i="74"/>
  <c r="L49" i="74"/>
  <c r="M75" i="74"/>
  <c r="J89" i="74"/>
  <c r="J142" i="74"/>
  <c r="J126" i="74"/>
  <c r="J20" i="74"/>
  <c r="K36" i="74"/>
  <c r="N13" i="74"/>
  <c r="N93" i="74"/>
  <c r="M109" i="74"/>
  <c r="J76" i="74"/>
  <c r="J108" i="74"/>
  <c r="M56" i="74"/>
  <c r="M10" i="74"/>
  <c r="L143" i="74"/>
  <c r="M91" i="74"/>
  <c r="J114" i="74"/>
  <c r="K53" i="74"/>
  <c r="N46" i="74"/>
  <c r="L13" i="74"/>
  <c r="J75" i="74"/>
  <c r="K84" i="74"/>
  <c r="N84" i="74"/>
  <c r="N81" i="74"/>
  <c r="J13" i="74"/>
  <c r="L134" i="74"/>
  <c r="H84" i="74"/>
  <c r="N62" i="74"/>
  <c r="H35" i="74"/>
  <c r="M70" i="74"/>
  <c r="K92" i="74"/>
  <c r="K34" i="74"/>
  <c r="H72" i="74"/>
  <c r="L85" i="74"/>
  <c r="N107" i="74"/>
  <c r="N120" i="74"/>
  <c r="N118" i="74"/>
  <c r="M31" i="74"/>
  <c r="K110" i="74"/>
  <c r="J29" i="74"/>
  <c r="K43" i="74"/>
  <c r="Q43" i="74" s="1"/>
  <c r="W43" i="74" s="1"/>
  <c r="J23" i="74"/>
  <c r="M33" i="74"/>
  <c r="K47" i="74"/>
  <c r="J134" i="74"/>
  <c r="K37" i="74"/>
  <c r="N23" i="74"/>
  <c r="N127" i="74"/>
  <c r="N75" i="74"/>
  <c r="H24" i="74"/>
  <c r="L122" i="74"/>
  <c r="L11" i="74"/>
  <c r="L77" i="74"/>
  <c r="J144" i="74"/>
  <c r="H63" i="74"/>
  <c r="L114" i="74"/>
  <c r="K125" i="74"/>
  <c r="K5" i="74"/>
  <c r="N4" i="74"/>
  <c r="N115" i="74"/>
  <c r="N101" i="74"/>
  <c r="K40" i="74"/>
  <c r="K25" i="74"/>
  <c r="M72" i="74"/>
  <c r="S72" i="74" s="1"/>
  <c r="K61" i="74"/>
  <c r="K99" i="74"/>
  <c r="M81" i="74"/>
  <c r="H55" i="74"/>
  <c r="M23" i="74"/>
  <c r="J96" i="74"/>
  <c r="N47" i="74"/>
  <c r="N132" i="74"/>
  <c r="N43" i="74"/>
  <c r="N27" i="74"/>
  <c r="N130" i="74"/>
  <c r="L57" i="74"/>
  <c r="X88" i="74"/>
  <c r="T88" i="74"/>
  <c r="M100" i="74"/>
  <c r="H145" i="74"/>
  <c r="K140" i="74"/>
  <c r="K13" i="74"/>
  <c r="H15" i="74"/>
  <c r="J110" i="74"/>
  <c r="H8" i="74"/>
  <c r="L71" i="74"/>
  <c r="J15" i="74"/>
  <c r="L119" i="74"/>
  <c r="J125" i="74"/>
  <c r="J54" i="74"/>
  <c r="L82" i="74"/>
  <c r="M115" i="74"/>
  <c r="L88" i="74"/>
  <c r="L117" i="74"/>
  <c r="J131" i="74"/>
  <c r="J63" i="74"/>
  <c r="L24" i="74"/>
  <c r="K81" i="74"/>
  <c r="M122" i="74"/>
  <c r="M112" i="74"/>
  <c r="H105" i="74"/>
  <c r="T53" i="74"/>
  <c r="Q53" i="74"/>
  <c r="W53" i="74" s="1"/>
  <c r="X53" i="74"/>
  <c r="S53" i="74"/>
  <c r="M126" i="74"/>
  <c r="J64" i="74"/>
  <c r="L93" i="74"/>
  <c r="K49" i="74"/>
  <c r="K51" i="74"/>
  <c r="J52" i="74"/>
  <c r="K85" i="74"/>
  <c r="L133" i="74"/>
  <c r="N143" i="74"/>
  <c r="N49" i="74"/>
  <c r="N112" i="74"/>
  <c r="N22" i="74"/>
  <c r="N91" i="74"/>
  <c r="N144" i="74"/>
  <c r="K31" i="74"/>
  <c r="L17" i="74"/>
  <c r="J97" i="74"/>
  <c r="T127" i="74"/>
  <c r="Q127" i="74"/>
  <c r="W127" i="74" s="1"/>
  <c r="X127" i="74"/>
  <c r="S127" i="74"/>
  <c r="M142" i="74"/>
  <c r="Q4" i="74"/>
  <c r="W4" i="74" s="1"/>
  <c r="X4" i="74"/>
  <c r="S4" i="74"/>
  <c r="T4" i="74"/>
  <c r="J86" i="74"/>
  <c r="J66" i="74"/>
  <c r="H86" i="74"/>
  <c r="L18" i="74"/>
  <c r="L9" i="74"/>
  <c r="L44" i="74"/>
  <c r="X18" i="74"/>
  <c r="T18" i="74"/>
  <c r="X14" i="74"/>
  <c r="S14" i="74"/>
  <c r="T14" i="74"/>
  <c r="Q14" i="74"/>
  <c r="W14" i="74" s="1"/>
  <c r="K98" i="74"/>
  <c r="H127" i="74"/>
  <c r="H117" i="74"/>
  <c r="K44" i="74"/>
  <c r="H139" i="74"/>
  <c r="L15" i="74"/>
  <c r="J78" i="74"/>
  <c r="M9" i="74"/>
  <c r="M48" i="74"/>
  <c r="J138" i="74"/>
  <c r="K38" i="74"/>
  <c r="K11" i="74"/>
  <c r="J56" i="74"/>
  <c r="L36" i="74"/>
  <c r="J36" i="74"/>
  <c r="H4" i="74"/>
  <c r="N8" i="74"/>
  <c r="N11" i="74"/>
  <c r="N124" i="74"/>
  <c r="N37" i="74"/>
  <c r="H104" i="74"/>
  <c r="Q114" i="74"/>
  <c r="W114" i="74" s="1"/>
  <c r="X114" i="74"/>
  <c r="T114" i="74"/>
  <c r="S114" i="74"/>
  <c r="M87" i="74"/>
  <c r="S87" i="74" s="1"/>
  <c r="M134" i="74"/>
  <c r="L68" i="74"/>
  <c r="X135" i="74"/>
  <c r="T135" i="74"/>
  <c r="K146" i="74"/>
  <c r="L110" i="74"/>
  <c r="J146" i="74"/>
  <c r="M34" i="74"/>
  <c r="Q34" i="74" s="1"/>
  <c r="W34" i="74" s="1"/>
  <c r="M141" i="74"/>
  <c r="H41" i="74"/>
  <c r="J83" i="74"/>
  <c r="J49" i="74"/>
  <c r="K82" i="74"/>
  <c r="J106" i="74"/>
  <c r="J48" i="74"/>
  <c r="J10" i="74"/>
  <c r="K123" i="74"/>
  <c r="K29" i="74"/>
  <c r="M24" i="74"/>
  <c r="J30" i="74"/>
  <c r="J99" i="74"/>
  <c r="K130" i="74"/>
  <c r="M76" i="74"/>
  <c r="L89" i="74"/>
  <c r="M77" i="74"/>
  <c r="L41" i="74"/>
  <c r="J130" i="74"/>
  <c r="J145" i="74"/>
  <c r="M26" i="74"/>
  <c r="L131" i="74"/>
  <c r="H81" i="74"/>
  <c r="J57" i="74"/>
  <c r="M42" i="74"/>
  <c r="J101" i="74"/>
  <c r="X84" i="74"/>
  <c r="T84" i="74"/>
  <c r="N24" i="74"/>
  <c r="N19" i="74"/>
  <c r="N15" i="74"/>
  <c r="N106" i="74"/>
  <c r="N14" i="74"/>
  <c r="N114" i="74"/>
  <c r="N136" i="74"/>
  <c r="N126" i="74"/>
  <c r="N57" i="74"/>
  <c r="T110" i="74"/>
  <c r="X110" i="74"/>
  <c r="K77" i="74"/>
  <c r="M104" i="74"/>
  <c r="M140" i="74"/>
  <c r="X35" i="74"/>
  <c r="T35" i="74"/>
  <c r="J33" i="74"/>
  <c r="L7" i="74"/>
  <c r="Q129" i="74"/>
  <c r="W129" i="74" s="1"/>
  <c r="X129" i="74"/>
  <c r="S129" i="74"/>
  <c r="T129" i="74"/>
  <c r="H34" i="74"/>
  <c r="L42" i="74"/>
  <c r="L100" i="74"/>
  <c r="M95" i="74"/>
  <c r="L25" i="74"/>
  <c r="H39" i="74"/>
  <c r="L103" i="74"/>
  <c r="L98" i="74"/>
  <c r="H49" i="74"/>
  <c r="J90" i="74"/>
  <c r="M92" i="74"/>
  <c r="S92" i="74" s="1"/>
  <c r="L120" i="74"/>
  <c r="J79" i="74"/>
  <c r="J137" i="74"/>
  <c r="K63" i="74"/>
  <c r="H57" i="74"/>
  <c r="M63" i="74"/>
  <c r="H130" i="74"/>
  <c r="M97" i="74"/>
  <c r="H50" i="74"/>
  <c r="L4" i="74"/>
  <c r="M19" i="74"/>
  <c r="S19" i="74" s="1"/>
  <c r="H61" i="74"/>
  <c r="L84" i="74"/>
  <c r="N134" i="74"/>
  <c r="N145" i="74"/>
  <c r="N138" i="74"/>
  <c r="N71" i="74"/>
  <c r="X143" i="74"/>
  <c r="T143" i="74"/>
  <c r="S143" i="74"/>
  <c r="Q143" i="74"/>
  <c r="W143" i="74" s="1"/>
  <c r="J115" i="74"/>
  <c r="S79" i="74"/>
  <c r="X79" i="74"/>
  <c r="T79" i="74"/>
  <c r="Q79" i="74"/>
  <c r="W79" i="74" s="1"/>
  <c r="L48" i="74"/>
  <c r="H13" i="74"/>
  <c r="M49" i="74"/>
  <c r="L141" i="74"/>
  <c r="K15" i="74"/>
  <c r="H103" i="74"/>
  <c r="H31" i="74"/>
  <c r="L20" i="74"/>
  <c r="J26" i="74"/>
  <c r="J35" i="74"/>
  <c r="K104" i="74"/>
  <c r="L40" i="74"/>
  <c r="M88" i="74"/>
  <c r="Q88" i="74" s="1"/>
  <c r="W88" i="74" s="1"/>
  <c r="H112" i="74"/>
  <c r="K75" i="74"/>
  <c r="M67" i="74"/>
  <c r="J11" i="74"/>
  <c r="J92" i="74"/>
  <c r="M60" i="74"/>
  <c r="J117" i="74"/>
  <c r="L121" i="74"/>
  <c r="M128" i="74"/>
  <c r="H93" i="74"/>
  <c r="L137" i="74"/>
  <c r="J19" i="74"/>
  <c r="K59" i="74"/>
  <c r="H147" i="74"/>
  <c r="L69" i="74"/>
  <c r="M110" i="74"/>
  <c r="Q110" i="74" s="1"/>
  <c r="W110" i="74" s="1"/>
  <c r="J104" i="74"/>
  <c r="J98" i="74"/>
  <c r="H27" i="74"/>
  <c r="H21" i="74"/>
  <c r="H36" i="74"/>
  <c r="N45" i="74"/>
  <c r="N10" i="74"/>
  <c r="N25" i="74"/>
  <c r="N95" i="74"/>
  <c r="N79" i="74"/>
  <c r="J47" i="74"/>
  <c r="M15" i="74"/>
  <c r="T131" i="74"/>
  <c r="X131" i="74"/>
  <c r="X22" i="74"/>
  <c r="T22" i="74"/>
  <c r="T134" i="74"/>
  <c r="X134" i="74"/>
  <c r="Q134" i="74"/>
  <c r="W134" i="74" s="1"/>
  <c r="S134" i="74"/>
  <c r="M105" i="74"/>
  <c r="J45" i="74"/>
  <c r="J72" i="74"/>
  <c r="L86" i="74"/>
  <c r="K118" i="74"/>
  <c r="J102" i="74"/>
  <c r="M28" i="74"/>
  <c r="H87" i="74"/>
  <c r="H82" i="74"/>
  <c r="L64" i="74"/>
  <c r="L50" i="74"/>
  <c r="M80" i="74"/>
  <c r="T87" i="74"/>
  <c r="X87" i="74"/>
  <c r="L26" i="74"/>
  <c r="J58" i="74"/>
  <c r="H75" i="74"/>
  <c r="L109" i="74"/>
  <c r="M25" i="74"/>
  <c r="S25" i="74" s="1"/>
  <c r="K112" i="74"/>
  <c r="K109" i="74"/>
  <c r="M125" i="74"/>
  <c r="Q125" i="74" s="1"/>
  <c r="W125" i="74" s="1"/>
  <c r="L107" i="74"/>
  <c r="H67" i="74"/>
  <c r="K41" i="74"/>
  <c r="L59" i="74"/>
  <c r="L38" i="74"/>
  <c r="M145" i="74"/>
  <c r="Q145" i="74" s="1"/>
  <c r="H64" i="74"/>
  <c r="K67" i="74"/>
  <c r="J80" i="74"/>
  <c r="L37" i="74"/>
  <c r="J85" i="74"/>
  <c r="N32" i="74"/>
  <c r="N38" i="74"/>
  <c r="N29" i="74"/>
  <c r="N142" i="74"/>
  <c r="N121" i="74"/>
  <c r="N72" i="74"/>
  <c r="N122" i="74"/>
  <c r="N64" i="74"/>
  <c r="Q107" i="74"/>
  <c r="W107" i="74" s="1"/>
  <c r="S107" i="74"/>
  <c r="T107" i="74"/>
  <c r="X107" i="74"/>
  <c r="Q111" i="74"/>
  <c r="W111" i="74" s="1"/>
  <c r="X111" i="74"/>
  <c r="S111" i="74"/>
  <c r="T111" i="74"/>
  <c r="L91" i="74"/>
  <c r="M94" i="74"/>
  <c r="T24" i="74"/>
  <c r="Q24" i="74"/>
  <c r="W24" i="74" s="1"/>
  <c r="S24" i="74"/>
  <c r="X24" i="74"/>
  <c r="M32" i="74"/>
  <c r="L62" i="74"/>
  <c r="M124" i="74"/>
  <c r="M11" i="74"/>
  <c r="T64" i="74"/>
  <c r="X64" i="74"/>
  <c r="T92" i="74"/>
  <c r="X92" i="74"/>
  <c r="J136" i="74"/>
  <c r="M61" i="74"/>
  <c r="M101" i="74"/>
  <c r="Q101" i="74" s="1"/>
  <c r="W101" i="74" s="1"/>
  <c r="L115" i="74"/>
  <c r="K27" i="74"/>
  <c r="S52" i="74"/>
  <c r="Q52" i="74"/>
  <c r="W52" i="74" s="1"/>
  <c r="X52" i="74"/>
  <c r="T52" i="74"/>
  <c r="X34" i="74"/>
  <c r="T34" i="74"/>
  <c r="H100" i="74"/>
  <c r="M8" i="74"/>
  <c r="J128" i="74"/>
  <c r="N141" i="74"/>
  <c r="N109" i="74"/>
  <c r="T19" i="74"/>
  <c r="X19" i="74"/>
  <c r="X83" i="74"/>
  <c r="T83" i="74"/>
  <c r="J105" i="74"/>
  <c r="M90" i="74"/>
  <c r="S86" i="74"/>
  <c r="Q86" i="74"/>
  <c r="W86" i="74" s="1"/>
  <c r="X86" i="74"/>
  <c r="T86" i="74"/>
  <c r="X100" i="74"/>
  <c r="Q100" i="74"/>
  <c r="W100" i="74" s="1"/>
  <c r="Y100" i="74" s="1"/>
  <c r="T100" i="74"/>
  <c r="S100" i="74"/>
  <c r="J8" i="74"/>
  <c r="H95" i="74"/>
  <c r="J103" i="74"/>
  <c r="L92" i="74"/>
  <c r="J27" i="74"/>
  <c r="M47" i="74"/>
  <c r="S47" i="74" s="1"/>
  <c r="M135" i="74"/>
  <c r="Q135" i="74" s="1"/>
  <c r="W135" i="74" s="1"/>
  <c r="Y135" i="74" s="1"/>
  <c r="M120" i="74"/>
  <c r="X47" i="74"/>
  <c r="T47" i="74"/>
  <c r="M18" i="74"/>
  <c r="S18" i="74" s="1"/>
  <c r="U18" i="74" s="1"/>
  <c r="L23" i="74"/>
  <c r="M46" i="74"/>
  <c r="L139" i="74"/>
  <c r="K50" i="74"/>
  <c r="M40" i="74"/>
  <c r="S40" i="74" s="1"/>
  <c r="L128" i="74"/>
  <c r="X37" i="74"/>
  <c r="T37" i="74"/>
  <c r="N42" i="74"/>
  <c r="N31" i="74"/>
  <c r="N76" i="74"/>
  <c r="T73" i="74"/>
  <c r="S73" i="74"/>
  <c r="Q73" i="74"/>
  <c r="W73" i="74" s="1"/>
  <c r="X73" i="74"/>
  <c r="X16" i="74"/>
  <c r="T16" i="74"/>
  <c r="M121" i="74"/>
  <c r="Q121" i="74" s="1"/>
  <c r="W121" i="74" s="1"/>
  <c r="J51" i="74"/>
  <c r="J95" i="74"/>
  <c r="T97" i="74"/>
  <c r="Q97" i="74"/>
  <c r="X97" i="74"/>
  <c r="H62" i="74"/>
  <c r="T125" i="74"/>
  <c r="X125" i="74"/>
  <c r="T5" i="74"/>
  <c r="X5" i="74"/>
  <c r="Q5" i="74"/>
  <c r="W5" i="74" s="1"/>
  <c r="S5" i="74"/>
  <c r="M16" i="74"/>
  <c r="AC16" i="74" s="1"/>
  <c r="AD16" i="74" s="1"/>
  <c r="M44" i="74"/>
  <c r="K136" i="74"/>
  <c r="K7" i="74"/>
  <c r="X36" i="74"/>
  <c r="T36" i="74"/>
  <c r="X133" i="74"/>
  <c r="T133" i="74"/>
  <c r="X39" i="74"/>
  <c r="S39" i="74"/>
  <c r="Q39" i="74"/>
  <c r="W39" i="74" s="1"/>
  <c r="T39" i="74"/>
  <c r="H47" i="74"/>
  <c r="X40" i="74"/>
  <c r="T40" i="74"/>
  <c r="T145" i="74"/>
  <c r="X145" i="74"/>
  <c r="X101" i="74"/>
  <c r="T101" i="74"/>
  <c r="J43" i="74"/>
  <c r="M136" i="74"/>
  <c r="J9" i="74"/>
  <c r="J61" i="74"/>
  <c r="J107" i="74"/>
  <c r="H133" i="74"/>
  <c r="K147" i="74"/>
  <c r="X25" i="74"/>
  <c r="T25" i="74"/>
  <c r="L96" i="74"/>
  <c r="T121" i="74"/>
  <c r="X121" i="74"/>
  <c r="L6" i="74"/>
  <c r="L136" i="74"/>
  <c r="T72" i="74"/>
  <c r="X72" i="74"/>
  <c r="L73" i="74"/>
  <c r="K91" i="74"/>
  <c r="K66" i="74"/>
  <c r="K8" i="74"/>
  <c r="L47" i="74"/>
  <c r="H91" i="74"/>
  <c r="L135" i="74"/>
  <c r="L127" i="74"/>
  <c r="L78" i="74"/>
  <c r="K62" i="74"/>
  <c r="T139" i="74"/>
  <c r="X139" i="74"/>
  <c r="Q139" i="74"/>
  <c r="W139" i="74" s="1"/>
  <c r="S139" i="74"/>
  <c r="L66" i="74"/>
  <c r="L111" i="74"/>
  <c r="J32" i="74"/>
  <c r="M22" i="74"/>
  <c r="S22" i="74" s="1"/>
  <c r="L80" i="74"/>
  <c r="H146" i="74"/>
  <c r="X89" i="74"/>
  <c r="T89" i="74"/>
  <c r="M30" i="74"/>
  <c r="H137" i="74"/>
  <c r="J112" i="74"/>
  <c r="L63" i="74"/>
  <c r="L130" i="74"/>
  <c r="L129" i="74"/>
  <c r="K137" i="74"/>
  <c r="K115" i="74"/>
  <c r="J70" i="74"/>
  <c r="L145" i="74"/>
  <c r="K120" i="74"/>
  <c r="M64" i="74"/>
  <c r="Q64" i="74" s="1"/>
  <c r="K70" i="74"/>
  <c r="L113" i="74"/>
  <c r="L14" i="74"/>
  <c r="H89" i="74"/>
  <c r="J124" i="74"/>
  <c r="J121" i="74"/>
  <c r="J53" i="74"/>
  <c r="K95" i="74"/>
  <c r="J122" i="74"/>
  <c r="J143" i="74"/>
  <c r="J4" i="74"/>
  <c r="J74" i="74"/>
  <c r="J67" i="74"/>
  <c r="X132" i="74"/>
  <c r="T132" i="74"/>
  <c r="H132" i="74"/>
  <c r="N123" i="74"/>
  <c r="N104" i="74"/>
  <c r="N105" i="74"/>
  <c r="N40" i="74"/>
  <c r="N103" i="74"/>
  <c r="N140" i="74"/>
  <c r="N86" i="74"/>
  <c r="N94" i="74"/>
  <c r="AB289" i="66"/>
  <c r="AC289" i="66" s="1"/>
  <c r="AB97" i="66"/>
  <c r="AC97" i="66" s="1"/>
  <c r="AB145" i="66"/>
  <c r="AC145" i="66" s="1"/>
  <c r="AB256" i="66"/>
  <c r="AC256" i="66" s="1"/>
  <c r="AB241" i="66"/>
  <c r="AC241" i="66" s="1"/>
  <c r="AB16" i="66"/>
  <c r="AC16" i="66" s="1"/>
  <c r="AB49" i="66"/>
  <c r="AC49" i="66" s="1"/>
  <c r="AB193" i="66"/>
  <c r="AC193" i="66" s="1"/>
  <c r="AB112" i="66"/>
  <c r="AC112" i="66" s="1"/>
  <c r="AB208" i="66"/>
  <c r="AC208" i="66" s="1"/>
  <c r="AB160" i="66"/>
  <c r="AC160" i="66" s="1"/>
  <c r="AB64" i="66"/>
  <c r="AC64" i="66" s="1"/>
  <c r="D44" i="72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196" i="72" a="1"/>
  <c r="D196" i="72" s="1"/>
  <c r="G26" i="39"/>
  <c r="F26" i="39"/>
  <c r="X276" i="66"/>
  <c r="T276" i="66"/>
  <c r="T36" i="66"/>
  <c r="X36" i="66"/>
  <c r="X85" i="66"/>
  <c r="T85" i="66"/>
  <c r="X228" i="66"/>
  <c r="T228" i="66"/>
  <c r="T84" i="66"/>
  <c r="X84" i="66"/>
  <c r="T181" i="66"/>
  <c r="X181" i="66"/>
  <c r="T277" i="66"/>
  <c r="X277" i="66"/>
  <c r="T180" i="66"/>
  <c r="X180" i="66"/>
  <c r="X229" i="66"/>
  <c r="T229" i="66"/>
  <c r="T133" i="66"/>
  <c r="X133" i="66"/>
  <c r="X37" i="66"/>
  <c r="T37" i="66"/>
  <c r="T132" i="66"/>
  <c r="X132" i="66"/>
  <c r="O145" i="66"/>
  <c r="O97" i="66"/>
  <c r="Q280" i="66"/>
  <c r="Q134" i="66"/>
  <c r="W134" i="66" s="1"/>
  <c r="X134" i="66"/>
  <c r="Q39" i="66"/>
  <c r="X177" i="66"/>
  <c r="Q177" i="66"/>
  <c r="W177" i="66" s="1"/>
  <c r="X236" i="66"/>
  <c r="Q236" i="66"/>
  <c r="W236" i="66" s="1"/>
  <c r="X66" i="66"/>
  <c r="Q66" i="66"/>
  <c r="W66" i="66" s="1"/>
  <c r="Q169" i="66"/>
  <c r="Q100" i="66"/>
  <c r="W100" i="66" s="1"/>
  <c r="X100" i="66"/>
  <c r="Q206" i="66"/>
  <c r="W206" i="66" s="1"/>
  <c r="X206" i="66"/>
  <c r="X14" i="66"/>
  <c r="Q14" i="66"/>
  <c r="W14" i="66" s="1"/>
  <c r="O16" i="66"/>
  <c r="Q219" i="66"/>
  <c r="W219" i="66" s="1"/>
  <c r="X219" i="66"/>
  <c r="X262" i="66"/>
  <c r="Q262" i="66"/>
  <c r="W262" i="66" s="1"/>
  <c r="Q64" i="66"/>
  <c r="Q81" i="66"/>
  <c r="W81" i="66" s="1"/>
  <c r="X81" i="66"/>
  <c r="Q271" i="66"/>
  <c r="W271" i="66" s="1"/>
  <c r="X271" i="66"/>
  <c r="Q136" i="66"/>
  <c r="Q11" i="66"/>
  <c r="W11" i="66" s="1"/>
  <c r="X11" i="66"/>
  <c r="Q67" i="66"/>
  <c r="W67" i="66" s="1"/>
  <c r="X67" i="66"/>
  <c r="X103" i="66"/>
  <c r="X259" i="66"/>
  <c r="Q259" i="66"/>
  <c r="W259" i="66" s="1"/>
  <c r="X72" i="66"/>
  <c r="Q72" i="66"/>
  <c r="W72" i="66" s="1"/>
  <c r="Q239" i="66"/>
  <c r="W239" i="66" s="1"/>
  <c r="X239" i="66"/>
  <c r="X151" i="66"/>
  <c r="X171" i="66"/>
  <c r="Q171" i="66"/>
  <c r="W171" i="66" s="1"/>
  <c r="Q8" i="66"/>
  <c r="W8" i="66" s="1"/>
  <c r="X8" i="66"/>
  <c r="Q232" i="66"/>
  <c r="Q33" i="66"/>
  <c r="W33" i="66" s="1"/>
  <c r="X33" i="66"/>
  <c r="Q25" i="66"/>
  <c r="X18" i="66"/>
  <c r="Q18" i="66"/>
  <c r="W18" i="66" s="1"/>
  <c r="Q158" i="66"/>
  <c r="W158" i="66" s="1"/>
  <c r="X158" i="66"/>
  <c r="Q251" i="66"/>
  <c r="W251" i="66" s="1"/>
  <c r="X251" i="66"/>
  <c r="Q265" i="66"/>
  <c r="Q264" i="66"/>
  <c r="W264" i="66" s="1"/>
  <c r="X264" i="66"/>
  <c r="Q287" i="66"/>
  <c r="W287" i="66" s="1"/>
  <c r="X287" i="66"/>
  <c r="X95" i="66"/>
  <c r="Q95" i="66"/>
  <c r="W95" i="66" s="1"/>
  <c r="Q143" i="66"/>
  <c r="W143" i="66" s="1"/>
  <c r="X143" i="66"/>
  <c r="X247" i="66"/>
  <c r="Q15" i="66"/>
  <c r="W15" i="66" s="1"/>
  <c r="X15" i="66"/>
  <c r="Q4" i="66"/>
  <c r="W4" i="66" s="1"/>
  <c r="X4" i="66"/>
  <c r="X223" i="66"/>
  <c r="Q223" i="66"/>
  <c r="W223" i="66" s="1"/>
  <c r="X63" i="66"/>
  <c r="Q63" i="66"/>
  <c r="W63" i="66" s="1"/>
  <c r="X92" i="66"/>
  <c r="Q92" i="66"/>
  <c r="W92" i="66" s="1"/>
  <c r="X130" i="66"/>
  <c r="Q130" i="66"/>
  <c r="W130" i="66" s="1"/>
  <c r="X44" i="66"/>
  <c r="Q44" i="66"/>
  <c r="W44" i="66" s="1"/>
  <c r="X99" i="66"/>
  <c r="Q47" i="66"/>
  <c r="W47" i="66" s="1"/>
  <c r="X47" i="66"/>
  <c r="Q53" i="66"/>
  <c r="X199" i="66"/>
  <c r="X38" i="66"/>
  <c r="Q38" i="66"/>
  <c r="W38" i="66" s="1"/>
  <c r="X284" i="66"/>
  <c r="Q284" i="66"/>
  <c r="W284" i="66" s="1"/>
  <c r="Q79" i="66"/>
  <c r="W79" i="66" s="1"/>
  <c r="X79" i="66"/>
  <c r="Q152" i="66"/>
  <c r="W152" i="66" s="1"/>
  <c r="X152" i="66"/>
  <c r="Q140" i="66"/>
  <c r="W140" i="66" s="1"/>
  <c r="X140" i="66"/>
  <c r="Q188" i="66"/>
  <c r="W188" i="66" s="1"/>
  <c r="X188" i="66"/>
  <c r="Q118" i="66"/>
  <c r="W118" i="66" s="1"/>
  <c r="X118" i="66"/>
  <c r="X243" i="66"/>
  <c r="Q210" i="66"/>
  <c r="W210" i="66" s="1"/>
  <c r="X210" i="66"/>
  <c r="Q139" i="66"/>
  <c r="W139" i="66" s="1"/>
  <c r="X139" i="66"/>
  <c r="Q87" i="66"/>
  <c r="Q24" i="66"/>
  <c r="W24" i="66" s="1"/>
  <c r="X24" i="66"/>
  <c r="Q217" i="66"/>
  <c r="Q269" i="66"/>
  <c r="W269" i="66" s="1"/>
  <c r="X269" i="66"/>
  <c r="Q61" i="66"/>
  <c r="W61" i="66" s="1"/>
  <c r="X61" i="66"/>
  <c r="X205" i="66"/>
  <c r="Q205" i="66"/>
  <c r="W205" i="66" s="1"/>
  <c r="Q160" i="66"/>
  <c r="Q125" i="66"/>
  <c r="W125" i="66" s="1"/>
  <c r="X125" i="66"/>
  <c r="X27" i="66"/>
  <c r="Q27" i="66"/>
  <c r="W27" i="66" s="1"/>
  <c r="Q208" i="66"/>
  <c r="X7" i="66"/>
  <c r="Q88" i="66"/>
  <c r="Q193" i="66"/>
  <c r="W193" i="66" s="1"/>
  <c r="X193" i="66"/>
  <c r="X203" i="66"/>
  <c r="Q203" i="66"/>
  <c r="W203" i="66" s="1"/>
  <c r="Q29" i="66"/>
  <c r="W29" i="66" s="1"/>
  <c r="X29" i="66"/>
  <c r="X77" i="66"/>
  <c r="Q77" i="66"/>
  <c r="W77" i="66" s="1"/>
  <c r="Q216" i="66"/>
  <c r="W216" i="66" s="1"/>
  <c r="X216" i="66"/>
  <c r="Q253" i="66"/>
  <c r="W253" i="66" s="1"/>
  <c r="X253" i="66"/>
  <c r="Q148" i="66"/>
  <c r="W148" i="66" s="1"/>
  <c r="X148" i="66"/>
  <c r="Q34" i="66"/>
  <c r="W34" i="66" s="1"/>
  <c r="X34" i="66"/>
  <c r="Q226" i="66"/>
  <c r="W226" i="66" s="1"/>
  <c r="X226" i="66"/>
  <c r="X291" i="66"/>
  <c r="Q135" i="66"/>
  <c r="X157" i="66"/>
  <c r="Q157" i="66"/>
  <c r="W157" i="66" s="1"/>
  <c r="X111" i="66"/>
  <c r="Q111" i="66"/>
  <c r="W111" i="66" s="1"/>
  <c r="Q56" i="66"/>
  <c r="W56" i="66" s="1"/>
  <c r="X56" i="66"/>
  <c r="Q187" i="66"/>
  <c r="W187" i="66" s="1"/>
  <c r="X187" i="66"/>
  <c r="Q162" i="66"/>
  <c r="W162" i="66" s="1"/>
  <c r="X162" i="66"/>
  <c r="Q191" i="66"/>
  <c r="W191" i="66" s="1"/>
  <c r="X191" i="66"/>
  <c r="Q279" i="66"/>
  <c r="Q256" i="66"/>
  <c r="Q197" i="66"/>
  <c r="Q254" i="66"/>
  <c r="W254" i="66" s="1"/>
  <c r="X254" i="66"/>
  <c r="Q173" i="66"/>
  <c r="W173" i="66" s="1"/>
  <c r="X173" i="66"/>
  <c r="X43" i="66"/>
  <c r="Q43" i="66"/>
  <c r="W43" i="66" s="1"/>
  <c r="Q214" i="66"/>
  <c r="W214" i="66" s="1"/>
  <c r="X214" i="66"/>
  <c r="Q104" i="66"/>
  <c r="W104" i="66" s="1"/>
  <c r="X104" i="66"/>
  <c r="Q163" i="66"/>
  <c r="W163" i="66" s="1"/>
  <c r="X163" i="66"/>
  <c r="Q178" i="66"/>
  <c r="W178" i="66" s="1"/>
  <c r="X178" i="66"/>
  <c r="X75" i="66"/>
  <c r="Q75" i="66"/>
  <c r="W75" i="66" s="1"/>
  <c r="Q121" i="66"/>
  <c r="X200" i="66"/>
  <c r="Q200" i="66"/>
  <c r="W200" i="66" s="1"/>
  <c r="X109" i="66"/>
  <c r="Q109" i="66"/>
  <c r="W109" i="66" s="1"/>
  <c r="Q196" i="66"/>
  <c r="W196" i="66" s="1"/>
  <c r="X196" i="66"/>
  <c r="Q129" i="66"/>
  <c r="W129" i="66" s="1"/>
  <c r="X129" i="66"/>
  <c r="O193" i="66"/>
  <c r="Q159" i="66"/>
  <c r="W159" i="66" s="1"/>
  <c r="X159" i="66"/>
  <c r="X147" i="66"/>
  <c r="X207" i="66"/>
  <c r="Q207" i="66"/>
  <c r="W207" i="66" s="1"/>
  <c r="X31" i="66"/>
  <c r="Q31" i="66"/>
  <c r="W31" i="66" s="1"/>
  <c r="Q86" i="66"/>
  <c r="W86" i="66" s="1"/>
  <c r="X86" i="66"/>
  <c r="X267" i="66"/>
  <c r="Q267" i="66"/>
  <c r="W267" i="66" s="1"/>
  <c r="Q231" i="66"/>
  <c r="X97" i="66"/>
  <c r="Q97" i="66"/>
  <c r="Q283" i="66"/>
  <c r="W283" i="66" s="1"/>
  <c r="X283" i="66"/>
  <c r="O208" i="66"/>
  <c r="Q51" i="66"/>
  <c r="W51" i="66" s="1"/>
  <c r="X51" i="66"/>
  <c r="Q184" i="66"/>
  <c r="Q110" i="66"/>
  <c r="W110" i="66" s="1"/>
  <c r="X110" i="66"/>
  <c r="Q40" i="66"/>
  <c r="X274" i="66"/>
  <c r="Q274" i="66"/>
  <c r="W274" i="66" s="1"/>
  <c r="O256" i="66"/>
  <c r="Q101" i="66"/>
  <c r="O49" i="66"/>
  <c r="O241" i="66"/>
  <c r="X166" i="66"/>
  <c r="Q166" i="66"/>
  <c r="W166" i="66" s="1"/>
  <c r="Q5" i="66"/>
  <c r="O160" i="66"/>
  <c r="Q183" i="66"/>
  <c r="Q273" i="66"/>
  <c r="W273" i="66" s="1"/>
  <c r="X273" i="66"/>
  <c r="O64" i="66"/>
  <c r="Q22" i="66"/>
  <c r="W22" i="66" s="1"/>
  <c r="X22" i="66"/>
  <c r="X13" i="66"/>
  <c r="Q13" i="66"/>
  <c r="W13" i="66" s="1"/>
  <c r="Q91" i="66"/>
  <c r="W91" i="66" s="1"/>
  <c r="X91" i="66"/>
  <c r="Q73" i="66"/>
  <c r="X114" i="66"/>
  <c r="Q114" i="66"/>
  <c r="W114" i="66" s="1"/>
  <c r="Q123" i="66"/>
  <c r="W123" i="66" s="1"/>
  <c r="X123" i="66"/>
  <c r="Q235" i="66"/>
  <c r="W235" i="66" s="1"/>
  <c r="X235" i="66"/>
  <c r="Q168" i="66"/>
  <c r="W168" i="66" s="1"/>
  <c r="X168" i="66"/>
  <c r="Q149" i="66"/>
  <c r="Q112" i="66"/>
  <c r="Q255" i="66"/>
  <c r="W255" i="66" s="1"/>
  <c r="X255" i="66"/>
  <c r="Q59" i="66"/>
  <c r="W59" i="66" s="1"/>
  <c r="X59" i="66"/>
  <c r="X258" i="66"/>
  <c r="Q258" i="66"/>
  <c r="W258" i="66" s="1"/>
  <c r="Q244" i="66"/>
  <c r="W244" i="66" s="1"/>
  <c r="X244" i="66"/>
  <c r="X225" i="66"/>
  <c r="Q225" i="66"/>
  <c r="W225" i="66" s="1"/>
  <c r="X107" i="66"/>
  <c r="Q107" i="66"/>
  <c r="W107" i="66" s="1"/>
  <c r="X211" i="66"/>
  <c r="Q211" i="66"/>
  <c r="W211" i="66" s="1"/>
  <c r="Q221" i="66"/>
  <c r="W221" i="66" s="1"/>
  <c r="X221" i="66"/>
  <c r="X195" i="66"/>
  <c r="Q155" i="66"/>
  <c r="W155" i="66" s="1"/>
  <c r="X155" i="66"/>
  <c r="Q16" i="66"/>
  <c r="O112" i="66"/>
  <c r="X289" i="66"/>
  <c r="Q289" i="66"/>
  <c r="Q278" i="66"/>
  <c r="W278" i="66" s="1"/>
  <c r="X278" i="66"/>
  <c r="Q241" i="66"/>
  <c r="X241" i="66"/>
  <c r="X120" i="66"/>
  <c r="Q120" i="66"/>
  <c r="W120" i="66" s="1"/>
  <c r="Q70" i="66"/>
  <c r="W70" i="66" s="1"/>
  <c r="X70" i="66"/>
  <c r="Q245" i="66"/>
  <c r="Q52" i="66"/>
  <c r="W52" i="66" s="1"/>
  <c r="X52" i="66"/>
  <c r="X49" i="66"/>
  <c r="Q49" i="66"/>
  <c r="W49" i="66" s="1"/>
  <c r="Q248" i="66"/>
  <c r="W248" i="66" s="1"/>
  <c r="X248" i="66"/>
  <c r="Q175" i="66"/>
  <c r="W175" i="66" s="1"/>
  <c r="X175" i="66"/>
  <c r="X55" i="66"/>
  <c r="O289" i="66"/>
  <c r="X19" i="66"/>
  <c r="Q19" i="66"/>
  <c r="W19" i="66" s="1"/>
  <c r="Q127" i="66"/>
  <c r="W127" i="66" s="1"/>
  <c r="X127" i="66"/>
  <c r="X145" i="66"/>
  <c r="Q145" i="66"/>
  <c r="Q82" i="66"/>
  <c r="W82" i="66" s="1"/>
  <c r="X82" i="66"/>
  <c r="Q62" i="66"/>
  <c r="W62" i="66" s="1"/>
  <c r="X62" i="66"/>
  <c r="Q182" i="66"/>
  <c r="W182" i="66" s="1"/>
  <c r="X182" i="66"/>
  <c r="Q230" i="66"/>
  <c r="W230" i="66" s="1"/>
  <c r="X230" i="66"/>
  <c r="X115" i="66"/>
  <c r="Q115" i="66"/>
  <c r="W115" i="66" s="1"/>
  <c r="Q72" i="74" l="1"/>
  <c r="W72" i="74" s="1"/>
  <c r="Y114" i="74"/>
  <c r="Q33" i="74"/>
  <c r="W33" i="74" s="1"/>
  <c r="T33" i="74"/>
  <c r="AC97" i="74"/>
  <c r="AD97" i="74" s="1"/>
  <c r="X33" i="74"/>
  <c r="U53" i="74"/>
  <c r="S125" i="74"/>
  <c r="U125" i="74" s="1"/>
  <c r="S34" i="74"/>
  <c r="U22" i="74"/>
  <c r="Q19" i="74"/>
  <c r="W19" i="74" s="1"/>
  <c r="Y5" i="74"/>
  <c r="U40" i="74"/>
  <c r="Y53" i="74"/>
  <c r="U100" i="74"/>
  <c r="U111" i="74"/>
  <c r="U87" i="74"/>
  <c r="Q61" i="74"/>
  <c r="W61" i="74" s="1"/>
  <c r="Y61" i="74" s="1"/>
  <c r="Y134" i="74"/>
  <c r="U92" i="74"/>
  <c r="U129" i="74"/>
  <c r="U79" i="74"/>
  <c r="U107" i="74"/>
  <c r="U25" i="74"/>
  <c r="Y129" i="74"/>
  <c r="U47" i="74"/>
  <c r="Y86" i="74"/>
  <c r="Y101" i="74"/>
  <c r="Y143" i="74"/>
  <c r="Y14" i="74"/>
  <c r="Q16" i="74"/>
  <c r="W16" i="74" s="1"/>
  <c r="Y16" i="74" s="1"/>
  <c r="U139" i="74"/>
  <c r="S61" i="74"/>
  <c r="U61" i="74" s="1"/>
  <c r="S43" i="74"/>
  <c r="U43" i="74" s="1"/>
  <c r="Q25" i="74"/>
  <c r="W25" i="74" s="1"/>
  <c r="Y25" i="74" s="1"/>
  <c r="X61" i="74"/>
  <c r="T43" i="74"/>
  <c r="Q87" i="74"/>
  <c r="W87" i="74" s="1"/>
  <c r="Y87" i="74" s="1"/>
  <c r="T61" i="74"/>
  <c r="X43" i="74"/>
  <c r="S135" i="74"/>
  <c r="U135" i="74" s="1"/>
  <c r="U33" i="74"/>
  <c r="Y111" i="74"/>
  <c r="Y125" i="74"/>
  <c r="U134" i="74"/>
  <c r="Y88" i="74"/>
  <c r="Y72" i="74"/>
  <c r="S110" i="74"/>
  <c r="U110" i="74" s="1"/>
  <c r="U127" i="74"/>
  <c r="Y73" i="74"/>
  <c r="Y127" i="74"/>
  <c r="S121" i="74"/>
  <c r="U121" i="74" s="1"/>
  <c r="Y34" i="74"/>
  <c r="Q40" i="74"/>
  <c r="W40" i="74" s="1"/>
  <c r="Y40" i="74" s="1"/>
  <c r="Q92" i="74"/>
  <c r="W92" i="74" s="1"/>
  <c r="Y92" i="74" s="1"/>
  <c r="Y110" i="74"/>
  <c r="O97" i="74"/>
  <c r="P97" i="74" s="1"/>
  <c r="X49" i="74"/>
  <c r="Q49" i="74"/>
  <c r="W49" i="74" s="1"/>
  <c r="T49" i="74"/>
  <c r="S49" i="74"/>
  <c r="Q95" i="74"/>
  <c r="W95" i="74" s="1"/>
  <c r="X95" i="74"/>
  <c r="S95" i="74"/>
  <c r="T95" i="74"/>
  <c r="T115" i="74"/>
  <c r="Q115" i="74"/>
  <c r="W115" i="74" s="1"/>
  <c r="X115" i="74"/>
  <c r="S115" i="74"/>
  <c r="S16" i="74"/>
  <c r="U16" i="74" s="1"/>
  <c r="Q118" i="74"/>
  <c r="W118" i="74" s="1"/>
  <c r="X118" i="74"/>
  <c r="S118" i="74"/>
  <c r="T118" i="74"/>
  <c r="S77" i="74"/>
  <c r="Q77" i="74"/>
  <c r="W77" i="74" s="1"/>
  <c r="T77" i="74"/>
  <c r="X77" i="74"/>
  <c r="U14" i="74"/>
  <c r="S31" i="74"/>
  <c r="X31" i="74"/>
  <c r="T31" i="74"/>
  <c r="Q31" i="74"/>
  <c r="W31" i="74" s="1"/>
  <c r="X137" i="74"/>
  <c r="T137" i="74"/>
  <c r="Q22" i="74"/>
  <c r="W22" i="74" s="1"/>
  <c r="Y22" i="74" s="1"/>
  <c r="X82" i="74"/>
  <c r="T82" i="74"/>
  <c r="S82" i="74"/>
  <c r="Q82" i="74"/>
  <c r="W82" i="74" s="1"/>
  <c r="U4" i="74"/>
  <c r="X38" i="74"/>
  <c r="Q38" i="74"/>
  <c r="W38" i="74" s="1"/>
  <c r="T38" i="74"/>
  <c r="S38" i="74"/>
  <c r="U86" i="74"/>
  <c r="Y43" i="74"/>
  <c r="Y52" i="74"/>
  <c r="X41" i="74"/>
  <c r="T41" i="74"/>
  <c r="O16" i="74"/>
  <c r="Q13" i="74"/>
  <c r="W13" i="74" s="1"/>
  <c r="T13" i="74"/>
  <c r="S13" i="74"/>
  <c r="X13" i="74"/>
  <c r="X66" i="74"/>
  <c r="Q66" i="74"/>
  <c r="W66" i="74" s="1"/>
  <c r="T66" i="74"/>
  <c r="S66" i="74"/>
  <c r="Y121" i="74"/>
  <c r="U52" i="74"/>
  <c r="O49" i="74"/>
  <c r="AC49" i="74"/>
  <c r="AD49" i="74" s="1"/>
  <c r="Y4" i="74"/>
  <c r="Q140" i="74"/>
  <c r="W140" i="74" s="1"/>
  <c r="X140" i="74"/>
  <c r="T140" i="74"/>
  <c r="S140" i="74"/>
  <c r="X91" i="74"/>
  <c r="T91" i="74"/>
  <c r="Q91" i="74"/>
  <c r="W91" i="74" s="1"/>
  <c r="S91" i="74"/>
  <c r="Q27" i="74"/>
  <c r="W27" i="74" s="1"/>
  <c r="X27" i="74"/>
  <c r="T27" i="74"/>
  <c r="S27" i="74"/>
  <c r="X15" i="74"/>
  <c r="T15" i="74"/>
  <c r="S15" i="74"/>
  <c r="Q15" i="74"/>
  <c r="W15" i="74" s="1"/>
  <c r="X130" i="74"/>
  <c r="T130" i="74"/>
  <c r="S130" i="74"/>
  <c r="Q18" i="74"/>
  <c r="W18" i="74" s="1"/>
  <c r="Y18" i="74" s="1"/>
  <c r="O145" i="74"/>
  <c r="AC145" i="74"/>
  <c r="AD145" i="74" s="1"/>
  <c r="Y139" i="74"/>
  <c r="Q136" i="74"/>
  <c r="W136" i="74" s="1"/>
  <c r="S136" i="74"/>
  <c r="T136" i="74"/>
  <c r="X136" i="74"/>
  <c r="U73" i="74"/>
  <c r="U143" i="74"/>
  <c r="U114" i="74"/>
  <c r="X75" i="74"/>
  <c r="Q75" i="74"/>
  <c r="W75" i="74" s="1"/>
  <c r="T75" i="74"/>
  <c r="S75" i="74"/>
  <c r="X44" i="74"/>
  <c r="T44" i="74"/>
  <c r="S44" i="74"/>
  <c r="Q44" i="74"/>
  <c r="W44" i="74" s="1"/>
  <c r="T70" i="74"/>
  <c r="X70" i="74"/>
  <c r="S70" i="74"/>
  <c r="Q70" i="74"/>
  <c r="W70" i="74" s="1"/>
  <c r="Q47" i="74"/>
  <c r="W47" i="74" s="1"/>
  <c r="Y47" i="74" s="1"/>
  <c r="Q112" i="74"/>
  <c r="X112" i="74"/>
  <c r="T112" i="74"/>
  <c r="S59" i="74"/>
  <c r="Q59" i="74"/>
  <c r="W59" i="74" s="1"/>
  <c r="X59" i="74"/>
  <c r="T59" i="74"/>
  <c r="O112" i="74"/>
  <c r="AC112" i="74"/>
  <c r="AD112" i="74" s="1"/>
  <c r="X109" i="74"/>
  <c r="Q109" i="74"/>
  <c r="W109" i="74" s="1"/>
  <c r="T109" i="74"/>
  <c r="S109" i="74"/>
  <c r="T62" i="74"/>
  <c r="Q62" i="74"/>
  <c r="W62" i="74" s="1"/>
  <c r="X62" i="74"/>
  <c r="S62" i="74"/>
  <c r="U72" i="74"/>
  <c r="S101" i="74"/>
  <c r="U101" i="74" s="1"/>
  <c r="U5" i="74"/>
  <c r="Y19" i="74"/>
  <c r="U34" i="74"/>
  <c r="S29" i="74"/>
  <c r="X29" i="74"/>
  <c r="T29" i="74"/>
  <c r="Q29" i="74"/>
  <c r="W29" i="74" s="1"/>
  <c r="X85" i="74"/>
  <c r="T85" i="74"/>
  <c r="S88" i="74"/>
  <c r="U88" i="74" s="1"/>
  <c r="T120" i="74"/>
  <c r="X120" i="74"/>
  <c r="Q120" i="74"/>
  <c r="W120" i="74" s="1"/>
  <c r="S120" i="74"/>
  <c r="U24" i="74"/>
  <c r="Y107" i="74"/>
  <c r="X67" i="74"/>
  <c r="Q67" i="74"/>
  <c r="W67" i="74" s="1"/>
  <c r="S67" i="74"/>
  <c r="T67" i="74"/>
  <c r="Y79" i="74"/>
  <c r="T63" i="74"/>
  <c r="X63" i="74"/>
  <c r="Q63" i="74"/>
  <c r="W63" i="74" s="1"/>
  <c r="S63" i="74"/>
  <c r="Q123" i="74"/>
  <c r="W123" i="74" s="1"/>
  <c r="X123" i="74"/>
  <c r="T123" i="74"/>
  <c r="S123" i="74"/>
  <c r="Y33" i="74"/>
  <c r="Y39" i="74"/>
  <c r="U39" i="74"/>
  <c r="U19" i="74"/>
  <c r="Y24" i="74"/>
  <c r="O64" i="74"/>
  <c r="AC64" i="74"/>
  <c r="AD64" i="74" s="1"/>
  <c r="X11" i="74"/>
  <c r="T11" i="74"/>
  <c r="Q11" i="74"/>
  <c r="W11" i="74" s="1"/>
  <c r="S11" i="74"/>
  <c r="Q130" i="74"/>
  <c r="W130" i="74" s="1"/>
  <c r="Q81" i="74"/>
  <c r="W81" i="74" s="1"/>
  <c r="X81" i="74"/>
  <c r="S81" i="74"/>
  <c r="T81" i="74"/>
  <c r="D197" i="72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P289" i="66"/>
  <c r="W289" i="66" s="1"/>
  <c r="Y289" i="66" s="1"/>
  <c r="AA49" i="66"/>
  <c r="AA193" i="66"/>
  <c r="AA256" i="66"/>
  <c r="AA112" i="66"/>
  <c r="AA64" i="66"/>
  <c r="AA208" i="66"/>
  <c r="AA160" i="66"/>
  <c r="AA16" i="66"/>
  <c r="AA241" i="66"/>
  <c r="AA97" i="66"/>
  <c r="AA145" i="66"/>
  <c r="AA289" i="66"/>
  <c r="Z64" i="66"/>
  <c r="Z208" i="66"/>
  <c r="Z289" i="66"/>
  <c r="Z145" i="66"/>
  <c r="Z49" i="66"/>
  <c r="Z193" i="66"/>
  <c r="P160" i="66"/>
  <c r="Z112" i="66"/>
  <c r="Z256" i="66"/>
  <c r="Z97" i="66"/>
  <c r="Z241" i="66"/>
  <c r="Z160" i="66"/>
  <c r="Z16" i="66"/>
  <c r="Y130" i="66"/>
  <c r="Y31" i="66"/>
  <c r="Y24" i="66"/>
  <c r="Y62" i="66"/>
  <c r="P112" i="66"/>
  <c r="Y109" i="66"/>
  <c r="Y4" i="66"/>
  <c r="Y254" i="66"/>
  <c r="Y34" i="66"/>
  <c r="Y158" i="66"/>
  <c r="Y168" i="66"/>
  <c r="Y11" i="66"/>
  <c r="Y206" i="66"/>
  <c r="Y219" i="66"/>
  <c r="P241" i="66"/>
  <c r="W241" i="66" s="1"/>
  <c r="Y241" i="66" s="1"/>
  <c r="Y171" i="66"/>
  <c r="Y111" i="66"/>
  <c r="Y70" i="66"/>
  <c r="Y118" i="66"/>
  <c r="Y120" i="66"/>
  <c r="Y49" i="66"/>
  <c r="Y81" i="66"/>
  <c r="Y134" i="66"/>
  <c r="Y248" i="66"/>
  <c r="P193" i="66"/>
  <c r="Y196" i="66"/>
  <c r="Y258" i="66"/>
  <c r="Y207" i="66"/>
  <c r="Y205" i="66"/>
  <c r="Y77" i="66"/>
  <c r="Y47" i="66"/>
  <c r="Y259" i="66"/>
  <c r="Y66" i="66"/>
  <c r="Y221" i="66"/>
  <c r="Y107" i="66"/>
  <c r="Y13" i="66"/>
  <c r="Y110" i="66"/>
  <c r="Y214" i="66"/>
  <c r="Y216" i="66"/>
  <c r="Y152" i="66"/>
  <c r="Y193" i="66"/>
  <c r="P64" i="66"/>
  <c r="Y226" i="66"/>
  <c r="Y100" i="66"/>
  <c r="Y125" i="66"/>
  <c r="Y8" i="66"/>
  <c r="Y239" i="66"/>
  <c r="Y43" i="66"/>
  <c r="Y56" i="66"/>
  <c r="Y143" i="66"/>
  <c r="Y95" i="66"/>
  <c r="Y203" i="66"/>
  <c r="Y51" i="66"/>
  <c r="Y157" i="66"/>
  <c r="Y82" i="66"/>
  <c r="Y225" i="66"/>
  <c r="Y92" i="66"/>
  <c r="Y264" i="66"/>
  <c r="Y211" i="66"/>
  <c r="Y255" i="66"/>
  <c r="Y173" i="66"/>
  <c r="Y230" i="66"/>
  <c r="Y19" i="66"/>
  <c r="Y52" i="66"/>
  <c r="Y244" i="66"/>
  <c r="Y59" i="66"/>
  <c r="Y166" i="66"/>
  <c r="Y283" i="66"/>
  <c r="Y267" i="66"/>
  <c r="Y86" i="66"/>
  <c r="Y129" i="66"/>
  <c r="Y61" i="66"/>
  <c r="Y251" i="66"/>
  <c r="Y33" i="66"/>
  <c r="Y67" i="66"/>
  <c r="Y175" i="66"/>
  <c r="Y163" i="66"/>
  <c r="Y188" i="66"/>
  <c r="Y38" i="66"/>
  <c r="Y44" i="66"/>
  <c r="Y123" i="66"/>
  <c r="Y278" i="66"/>
  <c r="Y115" i="66"/>
  <c r="Y114" i="66"/>
  <c r="Y200" i="66"/>
  <c r="P145" i="66"/>
  <c r="Y75" i="66"/>
  <c r="Y148" i="66"/>
  <c r="Y27" i="66"/>
  <c r="Y139" i="66"/>
  <c r="Y140" i="66"/>
  <c r="Y79" i="66"/>
  <c r="Y271" i="66"/>
  <c r="Y262" i="66"/>
  <c r="Y177" i="66"/>
  <c r="Y162" i="66"/>
  <c r="Y72" i="66"/>
  <c r="P97" i="66"/>
  <c r="Y63" i="66"/>
  <c r="Y15" i="66"/>
  <c r="Y287" i="66"/>
  <c r="Y182" i="66"/>
  <c r="Y155" i="66"/>
  <c r="Y235" i="66"/>
  <c r="Y22" i="66"/>
  <c r="P49" i="66"/>
  <c r="P256" i="66"/>
  <c r="Y274" i="66"/>
  <c r="P208" i="66"/>
  <c r="Y159" i="66"/>
  <c r="Y104" i="66"/>
  <c r="Y191" i="66"/>
  <c r="Y253" i="66"/>
  <c r="Y127" i="66"/>
  <c r="Y284" i="66"/>
  <c r="Y18" i="66"/>
  <c r="P16" i="66"/>
  <c r="Y223" i="66"/>
  <c r="Y91" i="66"/>
  <c r="Y273" i="66"/>
  <c r="Y178" i="66"/>
  <c r="Y187" i="66"/>
  <c r="Y29" i="66"/>
  <c r="Y269" i="66"/>
  <c r="Y210" i="66"/>
  <c r="Y14" i="66"/>
  <c r="Y236" i="66"/>
  <c r="U136" i="74" l="1"/>
  <c r="U118" i="74"/>
  <c r="U77" i="74"/>
  <c r="U66" i="74"/>
  <c r="U31" i="74"/>
  <c r="Y63" i="74"/>
  <c r="U130" i="74"/>
  <c r="U120" i="74"/>
  <c r="U81" i="74"/>
  <c r="Y62" i="74"/>
  <c r="Z97" i="74"/>
  <c r="AA97" i="74"/>
  <c r="Y123" i="74"/>
  <c r="Y44" i="74"/>
  <c r="Y59" i="74"/>
  <c r="U15" i="74"/>
  <c r="U140" i="74"/>
  <c r="Y66" i="74"/>
  <c r="U38" i="74"/>
  <c r="Y49" i="74"/>
  <c r="Y109" i="74"/>
  <c r="Y27" i="74"/>
  <c r="U82" i="74"/>
  <c r="Y91" i="74"/>
  <c r="Y95" i="74"/>
  <c r="U62" i="74"/>
  <c r="Y118" i="74"/>
  <c r="Y38" i="74"/>
  <c r="U115" i="74"/>
  <c r="Y29" i="74"/>
  <c r="Y81" i="74"/>
  <c r="Y67" i="74"/>
  <c r="U109" i="74"/>
  <c r="Y115" i="74"/>
  <c r="U67" i="74"/>
  <c r="Y136" i="74"/>
  <c r="U27" i="74"/>
  <c r="Y140" i="74"/>
  <c r="U13" i="74"/>
  <c r="V97" i="74"/>
  <c r="R97" i="74"/>
  <c r="S97" i="74" s="1"/>
  <c r="U97" i="74" s="1"/>
  <c r="W97" i="74"/>
  <c r="Y97" i="74" s="1"/>
  <c r="Y130" i="74"/>
  <c r="U123" i="74"/>
  <c r="U75" i="74"/>
  <c r="Y13" i="74"/>
  <c r="Y82" i="74"/>
  <c r="U11" i="74"/>
  <c r="U29" i="74"/>
  <c r="Y70" i="74"/>
  <c r="P145" i="74"/>
  <c r="AA145" i="74"/>
  <c r="Z145" i="74"/>
  <c r="P49" i="74"/>
  <c r="AA49" i="74"/>
  <c r="Z49" i="74"/>
  <c r="P16" i="74"/>
  <c r="Z16" i="74"/>
  <c r="AA16" i="74"/>
  <c r="Y11" i="74"/>
  <c r="U70" i="74"/>
  <c r="Y75" i="74"/>
  <c r="Y77" i="74"/>
  <c r="U95" i="74"/>
  <c r="U91" i="74"/>
  <c r="U63" i="74"/>
  <c r="Y120" i="74"/>
  <c r="P112" i="74"/>
  <c r="AA112" i="74"/>
  <c r="Z112" i="74"/>
  <c r="U49" i="74"/>
  <c r="P64" i="74"/>
  <c r="AA64" i="74"/>
  <c r="Z64" i="74"/>
  <c r="U44" i="74"/>
  <c r="Y15" i="74"/>
  <c r="Y31" i="74"/>
  <c r="U59" i="74"/>
  <c r="V289" i="66"/>
  <c r="V193" i="66"/>
  <c r="V241" i="66"/>
  <c r="W145" i="66"/>
  <c r="Y145" i="66" s="1"/>
  <c r="V145" i="66"/>
  <c r="W97" i="66"/>
  <c r="Y97" i="66" s="1"/>
  <c r="V97" i="66"/>
  <c r="V49" i="66"/>
  <c r="W64" i="74" l="1"/>
  <c r="Y64" i="74" s="1"/>
  <c r="V64" i="74"/>
  <c r="R64" i="74"/>
  <c r="S64" i="74" s="1"/>
  <c r="U64" i="74" s="1"/>
  <c r="R145" i="74"/>
  <c r="S145" i="74" s="1"/>
  <c r="U145" i="74" s="1"/>
  <c r="V145" i="74"/>
  <c r="W145" i="74"/>
  <c r="Y145" i="74" s="1"/>
  <c r="V16" i="74"/>
  <c r="R16" i="74"/>
  <c r="V112" i="74"/>
  <c r="R112" i="74"/>
  <c r="S112" i="74" s="1"/>
  <c r="U112" i="74" s="1"/>
  <c r="W112" i="74"/>
  <c r="Y112" i="74" s="1"/>
  <c r="V49" i="74"/>
  <c r="R49" i="74"/>
  <c r="E18" i="34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X89" i="66"/>
  <c r="X41" i="66"/>
  <c r="X281" i="66"/>
  <c r="X137" i="66"/>
  <c r="X185" i="66"/>
  <c r="X233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E11" i="17" s="1"/>
  <c r="D11" i="17" l="1"/>
  <c r="H24" i="20"/>
  <c r="E24" i="20"/>
  <c r="H125" i="37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J132" i="58" s="1"/>
  <c r="I182" i="35"/>
  <c r="J134" i="58" s="1"/>
  <c r="H182" i="35"/>
  <c r="I136" i="58" s="1"/>
  <c r="H180" i="35"/>
  <c r="I131" i="58" s="1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R177" i="66"/>
  <c r="R239" i="66"/>
  <c r="S239" i="66" s="1"/>
  <c r="R158" i="66"/>
  <c r="R271" i="66"/>
  <c r="S271" i="66" s="1"/>
  <c r="R75" i="66"/>
  <c r="S75" i="66" s="1"/>
  <c r="R81" i="66"/>
  <c r="S81" i="66" s="1"/>
  <c r="R155" i="66"/>
  <c r="R43" i="66"/>
  <c r="R147" i="66"/>
  <c r="R197" i="66"/>
  <c r="S197" i="66" s="1"/>
  <c r="R183" i="66"/>
  <c r="R262" i="66"/>
  <c r="S262" i="66" s="1"/>
  <c r="R44" i="66"/>
  <c r="R87" i="66"/>
  <c r="S87" i="66" s="1"/>
  <c r="R129" i="66"/>
  <c r="S129" i="66" s="1"/>
  <c r="R259" i="66"/>
  <c r="S259" i="66" s="1"/>
  <c r="R143" i="66"/>
  <c r="S143" i="66" s="1"/>
  <c r="R34" i="66"/>
  <c r="R168" i="66"/>
  <c r="R111" i="66"/>
  <c r="S111" i="66" s="1"/>
  <c r="R62" i="66"/>
  <c r="S62" i="66" s="1"/>
  <c r="R235" i="66"/>
  <c r="S235" i="66" s="1"/>
  <c r="R38" i="66"/>
  <c r="R223" i="66"/>
  <c r="S223" i="66" s="1"/>
  <c r="R251" i="66"/>
  <c r="S251" i="66" s="1"/>
  <c r="R178" i="66"/>
  <c r="R216" i="66"/>
  <c r="S216" i="66" s="1"/>
  <c r="R136" i="66"/>
  <c r="S136" i="66" s="1"/>
  <c r="R273" i="66"/>
  <c r="S273" i="66" s="1"/>
  <c r="R114" i="66"/>
  <c r="S114" i="66" s="1"/>
  <c r="R207" i="66"/>
  <c r="S207" i="66" s="1"/>
  <c r="R214" i="66"/>
  <c r="S214" i="66" s="1"/>
  <c r="R184" i="66"/>
  <c r="R287" i="66"/>
  <c r="S287" i="66" s="1"/>
  <c r="R171" i="66"/>
  <c r="R91" i="66"/>
  <c r="S91" i="66" s="1"/>
  <c r="R280" i="66"/>
  <c r="S280" i="66" s="1"/>
  <c r="R245" i="66"/>
  <c r="S245" i="66" s="1"/>
  <c r="R15" i="66"/>
  <c r="R274" i="66"/>
  <c r="S274" i="66" s="1"/>
  <c r="R175" i="66"/>
  <c r="R265" i="66"/>
  <c r="S265" i="66" s="1"/>
  <c r="R88" i="66"/>
  <c r="S88" i="66" s="1"/>
  <c r="R109" i="66"/>
  <c r="S109" i="66" s="1"/>
  <c r="R118" i="66"/>
  <c r="S118" i="66" s="1"/>
  <c r="R258" i="66"/>
  <c r="S258" i="66" s="1"/>
  <c r="R166" i="66"/>
  <c r="R73" i="66"/>
  <c r="S73" i="66" s="1"/>
  <c r="R33" i="66"/>
  <c r="R70" i="66"/>
  <c r="S70" i="66" s="1"/>
  <c r="R120" i="66"/>
  <c r="S120" i="66" s="1"/>
  <c r="R139" i="66"/>
  <c r="S139" i="66" s="1"/>
  <c r="R225" i="66"/>
  <c r="S225" i="66" s="1"/>
  <c r="R107" i="66"/>
  <c r="S107" i="66" s="1"/>
  <c r="R140" i="66"/>
  <c r="S140" i="66" s="1"/>
  <c r="R79" i="66"/>
  <c r="S79" i="66" s="1"/>
  <c r="R67" i="66"/>
  <c r="S67" i="66" s="1"/>
  <c r="R13" i="66"/>
  <c r="R195" i="66"/>
  <c r="R11" i="66"/>
  <c r="R31" i="66"/>
  <c r="R231" i="66"/>
  <c r="S231" i="66" s="1"/>
  <c r="R149" i="66"/>
  <c r="R221" i="66"/>
  <c r="S221" i="66" s="1"/>
  <c r="R104" i="66"/>
  <c r="S104" i="66" s="1"/>
  <c r="R188" i="66"/>
  <c r="R278" i="66"/>
  <c r="S278" i="66" s="1"/>
  <c r="R157" i="66"/>
  <c r="R123" i="66"/>
  <c r="S123" i="66" s="1"/>
  <c r="R100" i="66"/>
  <c r="S100" i="66" s="1"/>
  <c r="R63" i="66"/>
  <c r="S63" i="66" s="1"/>
  <c r="R101" i="66"/>
  <c r="S101" i="66" s="1"/>
  <c r="R56" i="66"/>
  <c r="S56" i="66" s="1"/>
  <c r="R86" i="66"/>
  <c r="S86" i="66" s="1"/>
  <c r="R196" i="66"/>
  <c r="S196" i="66" s="1"/>
  <c r="R134" i="66"/>
  <c r="S134" i="66" s="1"/>
  <c r="R148" i="66"/>
  <c r="R77" i="66"/>
  <c r="S77" i="66" s="1"/>
  <c r="R284" i="66"/>
  <c r="S284" i="66" s="1"/>
  <c r="R219" i="66"/>
  <c r="S219" i="66" s="1"/>
  <c r="R19" i="66"/>
  <c r="R72" i="66"/>
  <c r="S72" i="66" s="1"/>
  <c r="R210" i="66"/>
  <c r="S210" i="66" s="1"/>
  <c r="R191" i="66"/>
  <c r="R182" i="66"/>
  <c r="R230" i="66"/>
  <c r="S230" i="66" s="1"/>
  <c r="R110" i="66"/>
  <c r="S110" i="66" s="1"/>
  <c r="R39" i="66"/>
  <c r="R254" i="66"/>
  <c r="S254" i="66" s="1"/>
  <c r="R18" i="66"/>
  <c r="R232" i="66"/>
  <c r="S232" i="66" s="1"/>
  <c r="R200" i="66"/>
  <c r="S200" i="66" s="1"/>
  <c r="R187" i="66"/>
  <c r="R205" i="66"/>
  <c r="S205" i="66" s="1"/>
  <c r="R92" i="66"/>
  <c r="S92" i="66" s="1"/>
  <c r="R173" i="66"/>
  <c r="R248" i="66"/>
  <c r="S248" i="66" s="1"/>
  <c r="R163" i="66"/>
  <c r="R66" i="66"/>
  <c r="S66" i="66" s="1"/>
  <c r="R53" i="66"/>
  <c r="S53" i="66" s="1"/>
  <c r="R22" i="66"/>
  <c r="R264" i="66"/>
  <c r="S264" i="66" s="1"/>
  <c r="R14" i="66"/>
  <c r="R269" i="66"/>
  <c r="S269" i="66" s="1"/>
  <c r="R152" i="66"/>
  <c r="R279" i="66"/>
  <c r="S279" i="66" s="1"/>
  <c r="R236" i="66"/>
  <c r="S236" i="66" s="1"/>
  <c r="R61" i="66"/>
  <c r="S61" i="66" s="1"/>
  <c r="R244" i="66"/>
  <c r="S244" i="66" s="1"/>
  <c r="R203" i="66"/>
  <c r="S203" i="66" s="1"/>
  <c r="R267" i="66"/>
  <c r="S267" i="66" s="1"/>
  <c r="R135" i="66"/>
  <c r="S135" i="66" s="1"/>
  <c r="R159" i="66"/>
  <c r="R47" i="66"/>
  <c r="R125" i="66"/>
  <c r="S125" i="66" s="1"/>
  <c r="R291" i="66"/>
  <c r="R130" i="66"/>
  <c r="S130" i="66" s="1"/>
  <c r="R127" i="66"/>
  <c r="S127" i="66" s="1"/>
  <c r="R217" i="66"/>
  <c r="S217" i="66" s="1"/>
  <c r="R243" i="66"/>
  <c r="R211" i="66"/>
  <c r="S211" i="66" s="1"/>
  <c r="R226" i="66"/>
  <c r="S226" i="66" s="1"/>
  <c r="R29" i="66"/>
  <c r="R27" i="66"/>
  <c r="R25" i="66"/>
  <c r="R5" i="66"/>
  <c r="R169" i="66"/>
  <c r="R4" i="66"/>
  <c r="R24" i="66"/>
  <c r="R162" i="66"/>
  <c r="R115" i="66"/>
  <c r="S115" i="66" s="1"/>
  <c r="R99" i="66"/>
  <c r="R52" i="66"/>
  <c r="S52" i="66" s="1"/>
  <c r="R283" i="66"/>
  <c r="S283" i="66" s="1"/>
  <c r="R40" i="66"/>
  <c r="R8" i="66"/>
  <c r="R82" i="66"/>
  <c r="S82" i="66" s="1"/>
  <c r="R255" i="66"/>
  <c r="S255" i="66" s="1"/>
  <c r="R51" i="66"/>
  <c r="R121" i="66"/>
  <c r="S121" i="66" s="1"/>
  <c r="R95" i="66"/>
  <c r="S95" i="66" s="1"/>
  <c r="R253" i="66"/>
  <c r="S253" i="66" s="1"/>
  <c r="R206" i="66"/>
  <c r="S206" i="66" s="1"/>
  <c r="R59" i="66"/>
  <c r="S59" i="66" s="1"/>
  <c r="S177" i="66"/>
  <c r="T169" i="66"/>
  <c r="T264" i="66"/>
  <c r="S4" i="66"/>
  <c r="S27" i="66"/>
  <c r="S148" i="66"/>
  <c r="T274" i="66"/>
  <c r="T14" i="66"/>
  <c r="T64" i="66"/>
  <c r="T259" i="66"/>
  <c r="T4" i="66"/>
  <c r="T92" i="66"/>
  <c r="T99" i="66"/>
  <c r="T38" i="66"/>
  <c r="T217" i="66"/>
  <c r="T205" i="66"/>
  <c r="T27" i="66"/>
  <c r="T148" i="66"/>
  <c r="T111" i="66"/>
  <c r="S173" i="66"/>
  <c r="T104" i="66"/>
  <c r="T159" i="66"/>
  <c r="T31" i="66"/>
  <c r="T51" i="66"/>
  <c r="T273" i="66"/>
  <c r="S13" i="66"/>
  <c r="S168" i="66"/>
  <c r="S16" i="66"/>
  <c r="T241" i="66"/>
  <c r="T19" i="66"/>
  <c r="S159" i="66"/>
  <c r="S31" i="66"/>
  <c r="T184" i="66"/>
  <c r="T166" i="66"/>
  <c r="T50" i="66"/>
  <c r="T149" i="66"/>
  <c r="T225" i="66"/>
  <c r="T16" i="66"/>
  <c r="T248" i="66"/>
  <c r="T127" i="66"/>
  <c r="T115" i="66"/>
  <c r="T280" i="66"/>
  <c r="S169" i="66"/>
  <c r="S14" i="66"/>
  <c r="T171" i="66"/>
  <c r="T33" i="66"/>
  <c r="T158" i="66"/>
  <c r="S38" i="66"/>
  <c r="T152" i="66"/>
  <c r="T139" i="66"/>
  <c r="T203" i="66"/>
  <c r="S162" i="66"/>
  <c r="T41" i="66"/>
  <c r="T173" i="66"/>
  <c r="T75" i="66"/>
  <c r="T123" i="66"/>
  <c r="T59" i="66"/>
  <c r="S19" i="66"/>
  <c r="T91" i="66"/>
  <c r="S149" i="66"/>
  <c r="T177" i="66"/>
  <c r="T11" i="66"/>
  <c r="S171" i="66"/>
  <c r="S33" i="66"/>
  <c r="S158" i="66"/>
  <c r="T287" i="66"/>
  <c r="T143" i="66"/>
  <c r="T223" i="66"/>
  <c r="S152" i="66"/>
  <c r="T118" i="66"/>
  <c r="T160" i="66"/>
  <c r="T208" i="66"/>
  <c r="T275" i="66"/>
  <c r="T281" i="66"/>
  <c r="T163" i="66"/>
  <c r="T196" i="66"/>
  <c r="T81" i="66"/>
  <c r="S11" i="66"/>
  <c r="T72" i="66"/>
  <c r="T130" i="66"/>
  <c r="S47" i="66"/>
  <c r="T269" i="66"/>
  <c r="S160" i="66"/>
  <c r="T7" i="66"/>
  <c r="U7" i="66" s="1"/>
  <c r="T216" i="66"/>
  <c r="T34" i="66"/>
  <c r="T135" i="66"/>
  <c r="T97" i="66"/>
  <c r="S184" i="66"/>
  <c r="T194" i="66"/>
  <c r="T5" i="66"/>
  <c r="T100" i="66"/>
  <c r="S25" i="66"/>
  <c r="T247" i="66"/>
  <c r="U247" i="66" s="1"/>
  <c r="T47" i="66"/>
  <c r="T284" i="66"/>
  <c r="S34" i="66"/>
  <c r="T191" i="66"/>
  <c r="T43" i="66"/>
  <c r="T121" i="66"/>
  <c r="T86" i="66"/>
  <c r="S5" i="66"/>
  <c r="T107" i="66"/>
  <c r="T175" i="66"/>
  <c r="T77" i="66"/>
  <c r="T233" i="66"/>
  <c r="S40" i="66"/>
  <c r="S49" i="66"/>
  <c r="T109" i="66"/>
  <c r="T98" i="66"/>
  <c r="T62" i="66"/>
  <c r="T134" i="66"/>
  <c r="T236" i="66"/>
  <c r="T25" i="66"/>
  <c r="T87" i="66"/>
  <c r="T137" i="66"/>
  <c r="T185" i="66"/>
  <c r="T56" i="66"/>
  <c r="T197" i="66"/>
  <c r="S43" i="66"/>
  <c r="S163" i="66"/>
  <c r="T147" i="66"/>
  <c r="T73" i="66"/>
  <c r="T112" i="66"/>
  <c r="T258" i="66"/>
  <c r="T195" i="66"/>
  <c r="T289" i="66"/>
  <c r="T120" i="66"/>
  <c r="T52" i="66"/>
  <c r="T265" i="66"/>
  <c r="T199" i="66"/>
  <c r="U199" i="66" s="1"/>
  <c r="T61" i="66"/>
  <c r="T70" i="66"/>
  <c r="T230" i="66"/>
  <c r="T66" i="66"/>
  <c r="T151" i="66"/>
  <c r="U151" i="66" s="1"/>
  <c r="T188" i="66"/>
  <c r="T162" i="66"/>
  <c r="T278" i="66"/>
  <c r="T168" i="66"/>
  <c r="T245" i="66"/>
  <c r="T219" i="66"/>
  <c r="S8" i="66"/>
  <c r="T242" i="66"/>
  <c r="T251" i="66"/>
  <c r="T53" i="66"/>
  <c r="T140" i="66"/>
  <c r="T243" i="66"/>
  <c r="T125" i="66"/>
  <c r="S157" i="66"/>
  <c r="S191" i="66"/>
  <c r="T267" i="66"/>
  <c r="T110" i="66"/>
  <c r="S22" i="66"/>
  <c r="T235" i="66"/>
  <c r="T227" i="66"/>
  <c r="T179" i="66"/>
  <c r="S175" i="66"/>
  <c r="T145" i="66"/>
  <c r="T182" i="66"/>
  <c r="T193" i="66"/>
  <c r="T83" i="66"/>
  <c r="T279" i="66"/>
  <c r="S178" i="66"/>
  <c r="T256" i="66"/>
  <c r="T13" i="66"/>
  <c r="T221" i="66"/>
  <c r="T271" i="66"/>
  <c r="T67" i="66"/>
  <c r="T8" i="66"/>
  <c r="S15" i="66"/>
  <c r="T63" i="66"/>
  <c r="T44" i="66"/>
  <c r="T79" i="66"/>
  <c r="S29" i="66"/>
  <c r="T253" i="66"/>
  <c r="S187" i="66"/>
  <c r="T200" i="66"/>
  <c r="T129" i="66"/>
  <c r="T207" i="66"/>
  <c r="T283" i="66"/>
  <c r="T101" i="66"/>
  <c r="T183" i="66"/>
  <c r="T22" i="66"/>
  <c r="T255" i="66"/>
  <c r="T211" i="66"/>
  <c r="T290" i="66"/>
  <c r="T49" i="66"/>
  <c r="T39" i="66"/>
  <c r="T136" i="66"/>
  <c r="S18" i="66"/>
  <c r="T131" i="66"/>
  <c r="S193" i="66"/>
  <c r="T231" i="66"/>
  <c r="T114" i="66"/>
  <c r="T206" i="66"/>
  <c r="T239" i="66"/>
  <c r="T95" i="66"/>
  <c r="T15" i="66"/>
  <c r="S44" i="66"/>
  <c r="S188" i="66"/>
  <c r="S24" i="66"/>
  <c r="T88" i="66"/>
  <c r="T29" i="66"/>
  <c r="T226" i="66"/>
  <c r="T157" i="66"/>
  <c r="T254" i="66"/>
  <c r="T214" i="66"/>
  <c r="T178" i="66"/>
  <c r="S183" i="66"/>
  <c r="T146" i="66"/>
  <c r="T89" i="66"/>
  <c r="T244" i="66"/>
  <c r="T155" i="66"/>
  <c r="T55" i="66"/>
  <c r="U55" i="66" s="1"/>
  <c r="S182" i="66"/>
  <c r="S39" i="66"/>
  <c r="T262" i="66"/>
  <c r="T103" i="66"/>
  <c r="U103" i="66" s="1"/>
  <c r="T232" i="66"/>
  <c r="T18" i="66"/>
  <c r="T24" i="66"/>
  <c r="T187" i="66"/>
  <c r="T40" i="66"/>
  <c r="T291" i="66"/>
  <c r="S155" i="66"/>
  <c r="T82" i="66"/>
  <c r="S166" i="66"/>
  <c r="T35" i="66"/>
  <c r="T210" i="66"/>
  <c r="S51" i="66"/>
  <c r="R289" i="66"/>
  <c r="S289" i="66" s="1"/>
  <c r="R160" i="66"/>
  <c r="R16" i="66"/>
  <c r="R64" i="66"/>
  <c r="S64" i="66" s="1"/>
  <c r="R193" i="66"/>
  <c r="R49" i="66"/>
  <c r="R112" i="66"/>
  <c r="S112" i="66" s="1"/>
  <c r="R208" i="66"/>
  <c r="S208" i="66" s="1"/>
  <c r="R241" i="66"/>
  <c r="S241" i="66" s="1"/>
  <c r="R97" i="66"/>
  <c r="S97" i="66" s="1"/>
  <c r="R145" i="66"/>
  <c r="S145" i="66" s="1"/>
  <c r="R256" i="66"/>
  <c r="S256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H12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H118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P8" i="18" l="1"/>
  <c r="Z3" i="20"/>
  <c r="Z6" i="20"/>
  <c r="P17" i="18"/>
  <c r="D24" i="20"/>
  <c r="G24" i="20"/>
  <c r="G272" i="66"/>
  <c r="I122" i="58"/>
  <c r="J129" i="58"/>
  <c r="J139" i="58"/>
  <c r="J138" i="58"/>
  <c r="J133" i="58"/>
  <c r="J120" i="58"/>
  <c r="J118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I99" i="41" s="1"/>
  <c r="I100" i="37"/>
  <c r="J139" i="37"/>
  <c r="J136" i="37"/>
  <c r="J138" i="37"/>
  <c r="J140" i="37"/>
  <c r="J133" i="37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4" i="37"/>
  <c r="J122" i="37"/>
  <c r="J122" i="41" s="1"/>
  <c r="J119" i="37"/>
  <c r="J123" i="37"/>
  <c r="J121" i="37"/>
  <c r="J117" i="37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U64" i="66"/>
  <c r="U241" i="66"/>
  <c r="H114" i="41"/>
  <c r="U111" i="66"/>
  <c r="U51" i="66"/>
  <c r="U206" i="66"/>
  <c r="U217" i="66"/>
  <c r="U166" i="66"/>
  <c r="U31" i="66"/>
  <c r="U139" i="66"/>
  <c r="U203" i="66"/>
  <c r="U182" i="66"/>
  <c r="U145" i="66"/>
  <c r="U184" i="66"/>
  <c r="U183" i="66"/>
  <c r="U216" i="66"/>
  <c r="U100" i="66"/>
  <c r="U273" i="66"/>
  <c r="U223" i="66"/>
  <c r="U289" i="66"/>
  <c r="U244" i="66"/>
  <c r="U264" i="66"/>
  <c r="U280" i="66"/>
  <c r="U73" i="66"/>
  <c r="U208" i="66"/>
  <c r="U44" i="66"/>
  <c r="U265" i="66"/>
  <c r="U11" i="66"/>
  <c r="U38" i="66"/>
  <c r="U82" i="66"/>
  <c r="U188" i="66"/>
  <c r="U175" i="66"/>
  <c r="U4" i="66"/>
  <c r="U160" i="66"/>
  <c r="U15" i="66"/>
  <c r="U115" i="66"/>
  <c r="U236" i="66"/>
  <c r="U92" i="66"/>
  <c r="U95" i="66"/>
  <c r="U101" i="66"/>
  <c r="U253" i="66"/>
  <c r="U279" i="66"/>
  <c r="U205" i="66"/>
  <c r="U72" i="66"/>
  <c r="U197" i="66"/>
  <c r="U214" i="66"/>
  <c r="U24" i="66"/>
  <c r="U29" i="66"/>
  <c r="U200" i="66"/>
  <c r="U123" i="66"/>
  <c r="U230" i="66"/>
  <c r="U191" i="66"/>
  <c r="U40" i="66"/>
  <c r="U127" i="66"/>
  <c r="U258" i="66"/>
  <c r="U287" i="66"/>
  <c r="U235" i="66"/>
  <c r="U63" i="66"/>
  <c r="U61" i="66"/>
  <c r="U114" i="66"/>
  <c r="U219" i="66"/>
  <c r="U19" i="66"/>
  <c r="U130" i="66"/>
  <c r="U67" i="66"/>
  <c r="U118" i="66"/>
  <c r="U62" i="66"/>
  <c r="U120" i="66"/>
  <c r="U135" i="66"/>
  <c r="U221" i="66"/>
  <c r="U152" i="66"/>
  <c r="U16" i="66"/>
  <c r="U110" i="66"/>
  <c r="U59" i="66"/>
  <c r="U168" i="66"/>
  <c r="U134" i="66"/>
  <c r="U104" i="66"/>
  <c r="U271" i="66"/>
  <c r="U22" i="66"/>
  <c r="U284" i="66"/>
  <c r="U259" i="66"/>
  <c r="U47" i="66"/>
  <c r="U267" i="66"/>
  <c r="U66" i="66"/>
  <c r="U129" i="66"/>
  <c r="U187" i="66"/>
  <c r="U283" i="66"/>
  <c r="U226" i="66"/>
  <c r="U86" i="66"/>
  <c r="U231" i="66"/>
  <c r="U70" i="66"/>
  <c r="U245" i="66"/>
  <c r="U87" i="66"/>
  <c r="U239" i="66"/>
  <c r="U207" i="66"/>
  <c r="U196" i="66"/>
  <c r="U159" i="66"/>
  <c r="U109" i="66"/>
  <c r="U158" i="66"/>
  <c r="U193" i="66"/>
  <c r="U210" i="66"/>
  <c r="U25" i="66"/>
  <c r="U121" i="66"/>
  <c r="U33" i="66"/>
  <c r="U13" i="66"/>
  <c r="U77" i="66"/>
  <c r="U148" i="66"/>
  <c r="U155" i="66"/>
  <c r="U8" i="66"/>
  <c r="U251" i="66"/>
  <c r="U171" i="66"/>
  <c r="U27" i="66"/>
  <c r="U88" i="66"/>
  <c r="U56" i="66"/>
  <c r="U81" i="66"/>
  <c r="U162" i="66"/>
  <c r="U14" i="66"/>
  <c r="U39" i="66"/>
  <c r="U125" i="66"/>
  <c r="U278" i="66"/>
  <c r="U163" i="66"/>
  <c r="U269" i="66"/>
  <c r="U169" i="66"/>
  <c r="U256" i="66"/>
  <c r="U232" i="66"/>
  <c r="U18" i="66"/>
  <c r="U43" i="66"/>
  <c r="U34" i="66"/>
  <c r="U149" i="66"/>
  <c r="U157" i="66"/>
  <c r="U52" i="66"/>
  <c r="U136" i="66"/>
  <c r="U97" i="66"/>
  <c r="U53" i="66"/>
  <c r="U262" i="66"/>
  <c r="U211" i="66"/>
  <c r="U91" i="66"/>
  <c r="U75" i="66"/>
  <c r="U177" i="66"/>
  <c r="U225" i="66"/>
  <c r="U255" i="66"/>
  <c r="U254" i="66"/>
  <c r="U178" i="66"/>
  <c r="U5" i="66"/>
  <c r="U274" i="66"/>
  <c r="U143" i="66"/>
  <c r="U248" i="66"/>
  <c r="U112" i="66"/>
  <c r="U79" i="66"/>
  <c r="U107" i="66"/>
  <c r="U49" i="66"/>
  <c r="U140" i="66"/>
  <c r="U173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G96" i="66"/>
  <c r="G96" i="74" s="1"/>
  <c r="I9" i="41"/>
  <c r="D55" i="39" s="1"/>
  <c r="E119" i="38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G240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G48" i="66"/>
  <c r="C164" i="41"/>
  <c r="C175" i="41"/>
  <c r="C247" i="41"/>
  <c r="C269" i="41"/>
  <c r="C289" i="41"/>
  <c r="C333" i="41"/>
  <c r="C390" i="41"/>
  <c r="C412" i="41"/>
  <c r="G192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G176" i="66"/>
  <c r="H7" i="41"/>
  <c r="C54" i="39" s="1"/>
  <c r="E101" i="38" s="1"/>
  <c r="G32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G80" i="66"/>
  <c r="C221" i="41"/>
  <c r="C330" i="41"/>
  <c r="C421" i="41"/>
  <c r="J9" i="41"/>
  <c r="E55" i="39" s="1"/>
  <c r="E136" i="38" s="1"/>
  <c r="G144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G224" i="66"/>
  <c r="G288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G128" i="66"/>
  <c r="G128" i="74" s="1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Y6" i="20" l="1"/>
  <c r="P14" i="18"/>
  <c r="P5" i="18"/>
  <c r="Y3" i="20"/>
  <c r="G144" i="74"/>
  <c r="G80" i="74"/>
  <c r="G32" i="74"/>
  <c r="G48" i="74"/>
  <c r="K96" i="66"/>
  <c r="Q96" i="66" s="1"/>
  <c r="K144" i="66"/>
  <c r="Q144" i="66" s="1"/>
  <c r="K80" i="66"/>
  <c r="T80" i="66" s="1"/>
  <c r="I122" i="41"/>
  <c r="J133" i="41"/>
  <c r="J129" i="41"/>
  <c r="J139" i="41"/>
  <c r="J138" i="41"/>
  <c r="E277" i="38"/>
  <c r="J117" i="41"/>
  <c r="J118" i="41"/>
  <c r="J120" i="41"/>
  <c r="J119" i="4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M55" i="39"/>
  <c r="E187" i="38" s="1"/>
  <c r="L55" i="39"/>
  <c r="E170" i="38" s="1"/>
  <c r="E54" i="39"/>
  <c r="E135" i="38" s="1"/>
  <c r="I130" i="41"/>
  <c r="H108" i="41"/>
  <c r="M4" i="41" s="1"/>
  <c r="K55" i="39"/>
  <c r="E153" i="38" s="1"/>
  <c r="J116" i="41"/>
  <c r="I116" i="41"/>
  <c r="I129" i="41"/>
  <c r="J115" i="41"/>
  <c r="I104" i="41"/>
  <c r="I135" i="41"/>
  <c r="J131" i="41"/>
  <c r="H140" i="41"/>
  <c r="I124" i="58"/>
  <c r="C43" i="63" s="1"/>
  <c r="K272" i="66"/>
  <c r="J128" i="58"/>
  <c r="J98" i="58"/>
  <c r="J124" i="58"/>
  <c r="H98" i="58"/>
  <c r="I98" i="58"/>
  <c r="I128" i="58"/>
  <c r="H97" i="58"/>
  <c r="H124" i="58"/>
  <c r="C33" i="63" s="1"/>
  <c r="H126" i="58"/>
  <c r="H477" i="37"/>
  <c r="J97" i="58"/>
  <c r="J475" i="37"/>
  <c r="J96" i="58"/>
  <c r="I97" i="58"/>
  <c r="I477" i="37"/>
  <c r="I126" i="58"/>
  <c r="I96" i="58"/>
  <c r="I475" i="37"/>
  <c r="J477" i="37"/>
  <c r="J126" i="58"/>
  <c r="H128" i="58"/>
  <c r="H96" i="58"/>
  <c r="K54" i="39"/>
  <c r="E152" i="38" s="1"/>
  <c r="K32" i="66"/>
  <c r="J137" i="41"/>
  <c r="K48" i="66"/>
  <c r="J123" i="41"/>
  <c r="I108" i="41"/>
  <c r="I107" i="41"/>
  <c r="J108" i="41"/>
  <c r="O4" i="41" s="1"/>
  <c r="H123" i="41"/>
  <c r="H137" i="41"/>
  <c r="H100" i="41"/>
  <c r="J432" i="58"/>
  <c r="J430" i="58"/>
  <c r="J433" i="58"/>
  <c r="J431" i="58"/>
  <c r="I95" i="41"/>
  <c r="I100" i="41"/>
  <c r="H132" i="41"/>
  <c r="I432" i="58"/>
  <c r="I433" i="58"/>
  <c r="I431" i="58"/>
  <c r="I430" i="58"/>
  <c r="H95" i="41"/>
  <c r="J103" i="41"/>
  <c r="H432" i="58"/>
  <c r="H430" i="58"/>
  <c r="H433" i="58"/>
  <c r="I140" i="41"/>
  <c r="J136" i="41"/>
  <c r="J140" i="41"/>
  <c r="O6" i="41" s="1"/>
  <c r="H115" i="41"/>
  <c r="H116" i="41"/>
  <c r="T96" i="66"/>
  <c r="J95" i="41"/>
  <c r="Q80" i="66" l="1"/>
  <c r="T144" i="66"/>
  <c r="K128" i="66"/>
  <c r="K128" i="74" s="1"/>
  <c r="H477" i="58"/>
  <c r="K288" i="66"/>
  <c r="K144" i="74" s="1"/>
  <c r="G148" i="66"/>
  <c r="O148" i="66" s="1"/>
  <c r="J477" i="58"/>
  <c r="K224" i="66"/>
  <c r="Q224" i="66" s="1"/>
  <c r="G196" i="66"/>
  <c r="O196" i="66" s="1"/>
  <c r="I475" i="58"/>
  <c r="I477" i="58"/>
  <c r="G191" i="66"/>
  <c r="O191" i="66" s="1"/>
  <c r="G287" i="66"/>
  <c r="AB287" i="66" s="1"/>
  <c r="AC287" i="66" s="1"/>
  <c r="K192" i="66"/>
  <c r="K48" i="74" s="1"/>
  <c r="G244" i="66"/>
  <c r="O244" i="66" s="1"/>
  <c r="J475" i="58"/>
  <c r="G239" i="66"/>
  <c r="O239" i="66" s="1"/>
  <c r="N4" i="41"/>
  <c r="M6" i="41"/>
  <c r="N6" i="41"/>
  <c r="K240" i="66"/>
  <c r="K96" i="74" s="1"/>
  <c r="I431" i="41"/>
  <c r="H127" i="58"/>
  <c r="J109" i="58"/>
  <c r="J112" i="58"/>
  <c r="J127" i="58"/>
  <c r="H105" i="58"/>
  <c r="J125" i="58"/>
  <c r="J105" i="58"/>
  <c r="H432" i="41"/>
  <c r="Q128" i="66"/>
  <c r="T128" i="66"/>
  <c r="H433" i="41"/>
  <c r="I476" i="37"/>
  <c r="I110" i="58"/>
  <c r="I432" i="41"/>
  <c r="K41" i="39"/>
  <c r="E139" i="38" s="1"/>
  <c r="G156" i="66"/>
  <c r="E370" i="38"/>
  <c r="I125" i="58"/>
  <c r="I430" i="41"/>
  <c r="G95" i="66"/>
  <c r="G95" i="74" s="1"/>
  <c r="AC95" i="74" s="1"/>
  <c r="AD95" i="74" s="1"/>
  <c r="J113" i="58"/>
  <c r="J110" i="58"/>
  <c r="J476" i="37"/>
  <c r="H113" i="58"/>
  <c r="I111" i="58"/>
  <c r="J431" i="41"/>
  <c r="H125" i="58"/>
  <c r="H110" i="58"/>
  <c r="I433" i="41"/>
  <c r="H111" i="58"/>
  <c r="G143" i="66"/>
  <c r="G143" i="74" s="1"/>
  <c r="AC143" i="74" s="1"/>
  <c r="AD143" i="74" s="1"/>
  <c r="J430" i="41"/>
  <c r="T48" i="66"/>
  <c r="Q48" i="66"/>
  <c r="S48" i="66"/>
  <c r="H96" i="41"/>
  <c r="G46" i="66"/>
  <c r="J97" i="41"/>
  <c r="H109" i="58"/>
  <c r="I112" i="58"/>
  <c r="J433" i="41"/>
  <c r="G190" i="66"/>
  <c r="I113" i="58"/>
  <c r="J111" i="58"/>
  <c r="I109" i="58"/>
  <c r="H112" i="58"/>
  <c r="J432" i="41"/>
  <c r="K176" i="66"/>
  <c r="K32" i="74" s="1"/>
  <c r="I96" i="41"/>
  <c r="D12" i="39" s="1"/>
  <c r="G94" i="66"/>
  <c r="D39" i="39"/>
  <c r="E103" i="38" s="1"/>
  <c r="S192" i="66"/>
  <c r="Q192" i="66"/>
  <c r="T192" i="66"/>
  <c r="G238" i="66"/>
  <c r="L39" i="39"/>
  <c r="E154" i="38" s="1"/>
  <c r="I127" i="58"/>
  <c r="I105" i="58"/>
  <c r="G47" i="66"/>
  <c r="H430" i="41"/>
  <c r="S32" i="66"/>
  <c r="Q32" i="66"/>
  <c r="T32" i="66"/>
  <c r="Q288" i="66"/>
  <c r="T288" i="66"/>
  <c r="C53" i="63"/>
  <c r="H98" i="41"/>
  <c r="J124" i="41"/>
  <c r="O5" i="41" s="1"/>
  <c r="C23" i="63"/>
  <c r="J98" i="41"/>
  <c r="T272" i="66"/>
  <c r="Q272" i="66"/>
  <c r="I97" i="41"/>
  <c r="M41" i="39"/>
  <c r="E173" i="38" s="1"/>
  <c r="G252" i="66"/>
  <c r="E41" i="39"/>
  <c r="E122" i="38" s="1"/>
  <c r="J126" i="41"/>
  <c r="E14" i="39" s="1"/>
  <c r="G108" i="66"/>
  <c r="G204" i="66"/>
  <c r="L41" i="39"/>
  <c r="E156" i="38" s="1"/>
  <c r="H128" i="41"/>
  <c r="G4" i="66"/>
  <c r="G4" i="74" s="1"/>
  <c r="I126" i="41"/>
  <c r="D14" i="39" s="1"/>
  <c r="D41" i="39"/>
  <c r="E105" i="38" s="1"/>
  <c r="G60" i="66"/>
  <c r="H97" i="41"/>
  <c r="I128" i="41"/>
  <c r="G52" i="66"/>
  <c r="G52" i="74" s="1"/>
  <c r="O52" i="74" s="1"/>
  <c r="I98" i="41"/>
  <c r="J128" i="41"/>
  <c r="G100" i="66"/>
  <c r="G100" i="74" s="1"/>
  <c r="I124" i="41"/>
  <c r="C13" i="63"/>
  <c r="G286" i="66"/>
  <c r="M39" i="39"/>
  <c r="E171" i="38" s="1"/>
  <c r="C3" i="63"/>
  <c r="H124" i="41"/>
  <c r="M5" i="41" s="1"/>
  <c r="E39" i="39"/>
  <c r="E120" i="38" s="1"/>
  <c r="J96" i="41"/>
  <c r="E12" i="39" s="1"/>
  <c r="G142" i="66"/>
  <c r="H126" i="41"/>
  <c r="C14" i="39" s="1"/>
  <c r="C41" i="39"/>
  <c r="E88" i="38" s="1"/>
  <c r="G12" i="66"/>
  <c r="G12" i="74" s="1"/>
  <c r="T224" i="66" l="1"/>
  <c r="G46" i="74"/>
  <c r="O95" i="74"/>
  <c r="AA95" i="74" s="1"/>
  <c r="G108" i="74"/>
  <c r="AB196" i="66"/>
  <c r="AC196" i="66" s="1"/>
  <c r="G94" i="74"/>
  <c r="Q144" i="74"/>
  <c r="X144" i="74"/>
  <c r="T144" i="74"/>
  <c r="S48" i="74"/>
  <c r="T48" i="74"/>
  <c r="Q48" i="74"/>
  <c r="W48" i="74" s="1"/>
  <c r="Y48" i="74" s="1"/>
  <c r="X48" i="74"/>
  <c r="Q96" i="74"/>
  <c r="X96" i="74"/>
  <c r="T96" i="74"/>
  <c r="Q32" i="74"/>
  <c r="W32" i="74" s="1"/>
  <c r="X32" i="74"/>
  <c r="T32" i="74"/>
  <c r="S32" i="74"/>
  <c r="G142" i="74"/>
  <c r="AB191" i="66"/>
  <c r="AC191" i="66" s="1"/>
  <c r="O143" i="74"/>
  <c r="Z143" i="74" s="1"/>
  <c r="G60" i="74"/>
  <c r="AB148" i="66"/>
  <c r="AC148" i="66" s="1"/>
  <c r="G47" i="74"/>
  <c r="K80" i="74"/>
  <c r="AC4" i="74"/>
  <c r="O4" i="74"/>
  <c r="O287" i="66"/>
  <c r="AC52" i="74"/>
  <c r="AD52" i="74" s="1"/>
  <c r="O100" i="74"/>
  <c r="AC100" i="74"/>
  <c r="I476" i="58"/>
  <c r="AB239" i="66"/>
  <c r="AC239" i="66" s="1"/>
  <c r="AB244" i="66"/>
  <c r="AC244" i="66" s="1"/>
  <c r="J476" i="58"/>
  <c r="Z52" i="74"/>
  <c r="Z95" i="74"/>
  <c r="X128" i="74"/>
  <c r="Q128" i="74"/>
  <c r="T128" i="74"/>
  <c r="L156" i="66"/>
  <c r="AB4" i="66"/>
  <c r="AC4" i="66" s="1"/>
  <c r="AB95" i="66"/>
  <c r="AC95" i="66" s="1"/>
  <c r="AB47" i="66"/>
  <c r="AC47" i="66" s="1"/>
  <c r="AB100" i="66"/>
  <c r="AC100" i="66" s="1"/>
  <c r="AB143" i="66"/>
  <c r="AC143" i="66" s="1"/>
  <c r="AB52" i="66"/>
  <c r="AC52" i="66" s="1"/>
  <c r="O100" i="66"/>
  <c r="Z100" i="66" s="1"/>
  <c r="O47" i="66"/>
  <c r="AA191" i="66" s="1"/>
  <c r="O52" i="66"/>
  <c r="Z52" i="66" s="1"/>
  <c r="O4" i="66"/>
  <c r="Z4" i="66" s="1"/>
  <c r="O95" i="66"/>
  <c r="AA239" i="66" s="1"/>
  <c r="O143" i="66"/>
  <c r="G10" i="66"/>
  <c r="G154" i="66"/>
  <c r="D43" i="39"/>
  <c r="E109" i="38" s="1"/>
  <c r="G202" i="66"/>
  <c r="M43" i="39"/>
  <c r="E177" i="38" s="1"/>
  <c r="L43" i="39"/>
  <c r="E160" i="38" s="1"/>
  <c r="G58" i="66"/>
  <c r="I111" i="41"/>
  <c r="H105" i="41"/>
  <c r="J127" i="41"/>
  <c r="Q240" i="66"/>
  <c r="T240" i="66"/>
  <c r="I105" i="41"/>
  <c r="I127" i="41"/>
  <c r="H111" i="41"/>
  <c r="U192" i="66"/>
  <c r="J111" i="41"/>
  <c r="I113" i="41"/>
  <c r="J113" i="41"/>
  <c r="I121" i="58"/>
  <c r="O14" i="39"/>
  <c r="P14" i="39"/>
  <c r="Q14" i="39" s="1"/>
  <c r="M40" i="39"/>
  <c r="E172" i="38" s="1"/>
  <c r="G268" i="66"/>
  <c r="I125" i="41"/>
  <c r="U32" i="66"/>
  <c r="H427" i="58"/>
  <c r="G182" i="66"/>
  <c r="H428" i="58"/>
  <c r="H429" i="58"/>
  <c r="I109" i="41"/>
  <c r="I439" i="58"/>
  <c r="I438" i="58"/>
  <c r="I110" i="41"/>
  <c r="D13" i="39" s="1"/>
  <c r="L40" i="39"/>
  <c r="E155" i="38" s="1"/>
  <c r="G220" i="66"/>
  <c r="J105" i="41"/>
  <c r="J125" i="41"/>
  <c r="K12" i="66"/>
  <c r="K252" i="66"/>
  <c r="G38" i="66"/>
  <c r="H112" i="41"/>
  <c r="I434" i="58"/>
  <c r="I436" i="58"/>
  <c r="I435" i="58"/>
  <c r="I437" i="58"/>
  <c r="D40" i="39"/>
  <c r="E104" i="38" s="1"/>
  <c r="G76" i="66"/>
  <c r="G76" i="74" s="1"/>
  <c r="J438" i="58"/>
  <c r="J439" i="58"/>
  <c r="H121" i="58"/>
  <c r="J459" i="58"/>
  <c r="K286" i="66"/>
  <c r="AA244" i="66"/>
  <c r="AA100" i="66"/>
  <c r="G250" i="66"/>
  <c r="K156" i="66"/>
  <c r="J112" i="41"/>
  <c r="J428" i="58"/>
  <c r="G278" i="66"/>
  <c r="J429" i="58"/>
  <c r="J427" i="58"/>
  <c r="J109" i="41"/>
  <c r="J459" i="37"/>
  <c r="K142" i="66"/>
  <c r="K142" i="74" s="1"/>
  <c r="X142" i="74" s="1"/>
  <c r="K204" i="66"/>
  <c r="U48" i="66"/>
  <c r="G134" i="66"/>
  <c r="J435" i="58"/>
  <c r="J436" i="58"/>
  <c r="J437" i="58"/>
  <c r="J434" i="58"/>
  <c r="H127" i="41"/>
  <c r="K108" i="66"/>
  <c r="K108" i="74" s="1"/>
  <c r="Q108" i="74" s="1"/>
  <c r="I427" i="58"/>
  <c r="I428" i="58"/>
  <c r="I429" i="58"/>
  <c r="G230" i="66"/>
  <c r="H436" i="58"/>
  <c r="H437" i="58"/>
  <c r="H434" i="58"/>
  <c r="B3" i="39"/>
  <c r="I459" i="37"/>
  <c r="K94" i="66"/>
  <c r="I112" i="41"/>
  <c r="G86" i="66"/>
  <c r="H109" i="41"/>
  <c r="E43" i="39"/>
  <c r="E126" i="38" s="1"/>
  <c r="H110" i="41"/>
  <c r="B4" i="39" s="1"/>
  <c r="H476" i="58" s="1"/>
  <c r="G28" i="66"/>
  <c r="H438" i="58"/>
  <c r="H113" i="41"/>
  <c r="E40" i="39"/>
  <c r="E121" i="38" s="1"/>
  <c r="J110" i="41"/>
  <c r="E13" i="39" s="1"/>
  <c r="G124" i="66"/>
  <c r="N5" i="41"/>
  <c r="G106" i="66"/>
  <c r="G172" i="66"/>
  <c r="H125" i="41"/>
  <c r="H477" i="41"/>
  <c r="E352" i="38"/>
  <c r="K60" i="66"/>
  <c r="K60" i="74" s="1"/>
  <c r="T60" i="74" s="1"/>
  <c r="I459" i="58"/>
  <c r="K238" i="66"/>
  <c r="J121" i="58"/>
  <c r="S176" i="66"/>
  <c r="T176" i="66"/>
  <c r="Q176" i="66"/>
  <c r="G28" i="74" l="1"/>
  <c r="Z244" i="66"/>
  <c r="AA143" i="66"/>
  <c r="G38" i="74"/>
  <c r="O38" i="74" s="1"/>
  <c r="AA143" i="74"/>
  <c r="G106" i="74"/>
  <c r="G10" i="74"/>
  <c r="U32" i="74"/>
  <c r="G86" i="74"/>
  <c r="O86" i="74" s="1"/>
  <c r="AA47" i="66"/>
  <c r="Q142" i="74"/>
  <c r="U48" i="74"/>
  <c r="AD100" i="74"/>
  <c r="C3" i="75" s="1"/>
  <c r="C18" i="75"/>
  <c r="AD4" i="74"/>
  <c r="B3" i="75" s="1"/>
  <c r="E3" i="75" s="1"/>
  <c r="B18" i="75"/>
  <c r="E18" i="75" s="1"/>
  <c r="G134" i="74"/>
  <c r="T142" i="74"/>
  <c r="Y32" i="74"/>
  <c r="AA287" i="66"/>
  <c r="Q80" i="74"/>
  <c r="X80" i="74"/>
  <c r="T80" i="74"/>
  <c r="O47" i="74"/>
  <c r="Z47" i="74" s="1"/>
  <c r="AC47" i="74"/>
  <c r="AD47" i="74" s="1"/>
  <c r="G58" i="74"/>
  <c r="X60" i="74"/>
  <c r="T108" i="74"/>
  <c r="Q60" i="74"/>
  <c r="X108" i="74"/>
  <c r="K12" i="74"/>
  <c r="K94" i="74"/>
  <c r="G124" i="74"/>
  <c r="G221" i="66"/>
  <c r="G236" i="66"/>
  <c r="L12" i="66"/>
  <c r="L12" i="74" s="1"/>
  <c r="G225" i="66"/>
  <c r="G173" i="66"/>
  <c r="G269" i="66"/>
  <c r="AA52" i="74"/>
  <c r="G187" i="66"/>
  <c r="O187" i="66" s="1"/>
  <c r="K58" i="66"/>
  <c r="G273" i="66"/>
  <c r="O273" i="66" s="1"/>
  <c r="G283" i="66"/>
  <c r="O283" i="66" s="1"/>
  <c r="G284" i="66"/>
  <c r="G253" i="66"/>
  <c r="AB253" i="66" s="1"/>
  <c r="AC253" i="66" s="1"/>
  <c r="Z100" i="74"/>
  <c r="AA100" i="74"/>
  <c r="G177" i="66"/>
  <c r="O177" i="66" s="1"/>
  <c r="G157" i="66"/>
  <c r="AB157" i="66" s="1"/>
  <c r="AC157" i="66" s="1"/>
  <c r="G188" i="66"/>
  <c r="G235" i="66"/>
  <c r="O235" i="66" s="1"/>
  <c r="G205" i="66"/>
  <c r="AB205" i="66" s="1"/>
  <c r="AC205" i="66" s="1"/>
  <c r="AA4" i="74"/>
  <c r="Z4" i="74"/>
  <c r="AA148" i="66"/>
  <c r="AA4" i="66"/>
  <c r="Z148" i="66"/>
  <c r="AA95" i="66"/>
  <c r="Z239" i="66"/>
  <c r="Z95" i="66"/>
  <c r="AA196" i="66"/>
  <c r="AA52" i="66"/>
  <c r="Z196" i="66"/>
  <c r="AB182" i="66"/>
  <c r="AC182" i="66" s="1"/>
  <c r="AB86" i="66"/>
  <c r="AC86" i="66" s="1"/>
  <c r="AB235" i="66"/>
  <c r="AC235" i="66" s="1"/>
  <c r="AB278" i="66"/>
  <c r="AC278" i="66" s="1"/>
  <c r="AB225" i="66"/>
  <c r="AC225" i="66" s="1"/>
  <c r="AB283" i="66"/>
  <c r="AC283" i="66" s="1"/>
  <c r="AB230" i="66"/>
  <c r="AC230" i="66" s="1"/>
  <c r="AB38" i="66"/>
  <c r="AC38" i="66" s="1"/>
  <c r="AB134" i="66"/>
  <c r="AC134" i="66" s="1"/>
  <c r="O134" i="66"/>
  <c r="O225" i="66"/>
  <c r="Z191" i="66"/>
  <c r="Z47" i="66"/>
  <c r="O38" i="66"/>
  <c r="O205" i="66"/>
  <c r="O86" i="66"/>
  <c r="O230" i="66"/>
  <c r="Z287" i="66"/>
  <c r="O182" i="66"/>
  <c r="Z143" i="66"/>
  <c r="O278" i="66"/>
  <c r="H475" i="58"/>
  <c r="E368" i="38" s="1"/>
  <c r="H475" i="37"/>
  <c r="E350" i="38" s="1"/>
  <c r="H476" i="37"/>
  <c r="E351" i="38" s="1"/>
  <c r="C12" i="39"/>
  <c r="P12" i="39" s="1"/>
  <c r="K40" i="39"/>
  <c r="E138" i="38" s="1"/>
  <c r="E16" i="39"/>
  <c r="K250" i="66"/>
  <c r="K202" i="66"/>
  <c r="D16" i="39"/>
  <c r="B7" i="39"/>
  <c r="H478" i="37" s="1"/>
  <c r="H428" i="41"/>
  <c r="U176" i="66"/>
  <c r="J121" i="41"/>
  <c r="I428" i="41"/>
  <c r="J439" i="41"/>
  <c r="J436" i="41"/>
  <c r="G140" i="66"/>
  <c r="I461" i="37"/>
  <c r="C20" i="63" s="1"/>
  <c r="K76" i="66"/>
  <c r="Q60" i="66"/>
  <c r="T60" i="66"/>
  <c r="J461" i="37"/>
  <c r="C30" i="63" s="1"/>
  <c r="K124" i="66"/>
  <c r="H434" i="41"/>
  <c r="G33" i="66"/>
  <c r="G33" i="74" s="1"/>
  <c r="T252" i="66"/>
  <c r="Q252" i="66"/>
  <c r="I436" i="41"/>
  <c r="G92" i="66"/>
  <c r="T204" i="66"/>
  <c r="Q204" i="66"/>
  <c r="I427" i="41"/>
  <c r="D15" i="39" s="1"/>
  <c r="AB3" i="39" s="1"/>
  <c r="D42" i="39"/>
  <c r="E106" i="38" s="1"/>
  <c r="G93" i="66"/>
  <c r="I437" i="41"/>
  <c r="G91" i="66"/>
  <c r="G91" i="74" s="1"/>
  <c r="Q58" i="66"/>
  <c r="T58" i="66"/>
  <c r="J461" i="58"/>
  <c r="C60" i="63" s="1"/>
  <c r="K268" i="66"/>
  <c r="H436" i="41"/>
  <c r="G44" i="66"/>
  <c r="G44" i="74" s="1"/>
  <c r="G109" i="66"/>
  <c r="G109" i="74" s="1"/>
  <c r="J438" i="41"/>
  <c r="H438" i="41"/>
  <c r="G13" i="66"/>
  <c r="G13" i="74" s="1"/>
  <c r="J428" i="41"/>
  <c r="H427" i="41"/>
  <c r="I434" i="41"/>
  <c r="G81" i="66"/>
  <c r="G81" i="74" s="1"/>
  <c r="I121" i="41"/>
  <c r="I429" i="41"/>
  <c r="G77" i="66"/>
  <c r="K106" i="66"/>
  <c r="G237" i="66"/>
  <c r="L42" i="39"/>
  <c r="E157" i="38" s="1"/>
  <c r="C13" i="39"/>
  <c r="E369" i="38"/>
  <c r="I459" i="41"/>
  <c r="S156" i="66"/>
  <c r="T156" i="66"/>
  <c r="Q156" i="66"/>
  <c r="H121" i="41"/>
  <c r="Q238" i="66"/>
  <c r="T238" i="66"/>
  <c r="G29" i="66"/>
  <c r="G29" i="74" s="1"/>
  <c r="H429" i="41"/>
  <c r="I461" i="58"/>
  <c r="K220" i="66"/>
  <c r="J437" i="41"/>
  <c r="G139" i="66"/>
  <c r="G139" i="74" s="1"/>
  <c r="C40" i="39"/>
  <c r="E87" i="38" s="1"/>
  <c r="C39" i="39"/>
  <c r="E86" i="38" s="1"/>
  <c r="K39" i="39"/>
  <c r="E137" i="38" s="1"/>
  <c r="J435" i="41"/>
  <c r="T286" i="66"/>
  <c r="Q286" i="66"/>
  <c r="Q12" i="66"/>
  <c r="S12" i="66"/>
  <c r="T12" i="66"/>
  <c r="I439" i="41"/>
  <c r="G125" i="66"/>
  <c r="G125" i="74" s="1"/>
  <c r="J429" i="41"/>
  <c r="J434" i="41"/>
  <c r="G129" i="66"/>
  <c r="G129" i="74" s="1"/>
  <c r="I438" i="41"/>
  <c r="G61" i="66"/>
  <c r="G61" i="74" s="1"/>
  <c r="Q94" i="66"/>
  <c r="T94" i="66"/>
  <c r="H437" i="41"/>
  <c r="G43" i="66"/>
  <c r="G43" i="74" s="1"/>
  <c r="T142" i="66"/>
  <c r="Q142" i="66"/>
  <c r="T108" i="66"/>
  <c r="Q108" i="66"/>
  <c r="J427" i="41"/>
  <c r="E15" i="39" s="1"/>
  <c r="AC3" i="39" s="1"/>
  <c r="G141" i="66"/>
  <c r="E42" i="39"/>
  <c r="E123" i="38" s="1"/>
  <c r="J459" i="41"/>
  <c r="I435" i="41"/>
  <c r="G285" i="66"/>
  <c r="M42" i="39"/>
  <c r="E174" i="38" s="1"/>
  <c r="G92" i="74" l="1"/>
  <c r="O157" i="66"/>
  <c r="AC38" i="74"/>
  <c r="AD38" i="74" s="1"/>
  <c r="AA47" i="74"/>
  <c r="O253" i="66"/>
  <c r="AC86" i="74"/>
  <c r="AD86" i="74" s="1"/>
  <c r="Z38" i="74"/>
  <c r="AA38" i="74"/>
  <c r="G140" i="74"/>
  <c r="G141" i="74"/>
  <c r="AA230" i="66"/>
  <c r="Z230" i="66"/>
  <c r="AA86" i="66"/>
  <c r="Z86" i="66"/>
  <c r="AB177" i="66"/>
  <c r="AC177" i="66" s="1"/>
  <c r="AA38" i="66"/>
  <c r="O61" i="74"/>
  <c r="AC61" i="74"/>
  <c r="AD61" i="74" s="1"/>
  <c r="K58" i="74"/>
  <c r="T58" i="74" s="1"/>
  <c r="O81" i="74"/>
  <c r="AC81" i="74"/>
  <c r="AD81" i="74" s="1"/>
  <c r="AC129" i="74"/>
  <c r="AD129" i="74" s="1"/>
  <c r="O129" i="74"/>
  <c r="AC139" i="74"/>
  <c r="AD139" i="74" s="1"/>
  <c r="O139" i="74"/>
  <c r="Q94" i="74"/>
  <c r="T94" i="74"/>
  <c r="X94" i="74"/>
  <c r="O33" i="74"/>
  <c r="AC33" i="74"/>
  <c r="AD33" i="74" s="1"/>
  <c r="Q12" i="74"/>
  <c r="W12" i="74" s="1"/>
  <c r="T12" i="74"/>
  <c r="S12" i="74"/>
  <c r="X12" i="74"/>
  <c r="O91" i="74"/>
  <c r="AC91" i="74"/>
  <c r="AD91" i="74" s="1"/>
  <c r="AA86" i="74"/>
  <c r="Z86" i="74"/>
  <c r="K124" i="74"/>
  <c r="AC13" i="74"/>
  <c r="O13" i="74"/>
  <c r="G93" i="74"/>
  <c r="K106" i="74"/>
  <c r="AB273" i="66"/>
  <c r="AC273" i="66" s="1"/>
  <c r="AC43" i="74"/>
  <c r="AD43" i="74" s="1"/>
  <c r="O43" i="74"/>
  <c r="G77" i="74"/>
  <c r="AB187" i="66"/>
  <c r="AC187" i="66" s="1"/>
  <c r="AC109" i="74"/>
  <c r="O109" i="74"/>
  <c r="K76" i="74"/>
  <c r="O134" i="74"/>
  <c r="AC134" i="74"/>
  <c r="AD134" i="74" s="1"/>
  <c r="H461" i="58"/>
  <c r="L190" i="66"/>
  <c r="L172" i="66"/>
  <c r="AA182" i="66"/>
  <c r="Z38" i="66"/>
  <c r="Z134" i="66"/>
  <c r="AB129" i="66"/>
  <c r="AC129" i="66" s="1"/>
  <c r="AB139" i="66"/>
  <c r="AC139" i="66" s="1"/>
  <c r="AB33" i="66"/>
  <c r="AC33" i="66" s="1"/>
  <c r="AB43" i="66"/>
  <c r="AC43" i="66" s="1"/>
  <c r="AB91" i="66"/>
  <c r="AC91" i="66" s="1"/>
  <c r="AB61" i="66"/>
  <c r="AC61" i="66" s="1"/>
  <c r="AB13" i="66"/>
  <c r="AC13" i="66" s="1"/>
  <c r="AB109" i="66"/>
  <c r="AC109" i="66" s="1"/>
  <c r="AB81" i="66"/>
  <c r="AC81" i="66" s="1"/>
  <c r="AA134" i="66"/>
  <c r="Z278" i="66"/>
  <c r="AA278" i="66"/>
  <c r="Z182" i="66"/>
  <c r="O91" i="66"/>
  <c r="Z235" i="66" s="1"/>
  <c r="O43" i="66"/>
  <c r="Z187" i="66" s="1"/>
  <c r="O61" i="66"/>
  <c r="AA205" i="66" s="1"/>
  <c r="O13" i="66"/>
  <c r="Z13" i="66" s="1"/>
  <c r="O139" i="66"/>
  <c r="AA139" i="66" s="1"/>
  <c r="O33" i="66"/>
  <c r="AA177" i="66" s="1"/>
  <c r="O109" i="66"/>
  <c r="Z253" i="66" s="1"/>
  <c r="O81" i="66"/>
  <c r="AA81" i="66" s="1"/>
  <c r="O129" i="66"/>
  <c r="AA273" i="66" s="1"/>
  <c r="O12" i="39"/>
  <c r="H460" i="37"/>
  <c r="K172" i="66"/>
  <c r="S172" i="66" s="1"/>
  <c r="Q250" i="66"/>
  <c r="T250" i="66"/>
  <c r="C16" i="39"/>
  <c r="O16" i="39" s="1"/>
  <c r="K43" i="39"/>
  <c r="E143" i="38" s="1"/>
  <c r="C43" i="39"/>
  <c r="E92" i="38" s="1"/>
  <c r="H478" i="58"/>
  <c r="E371" i="38" s="1"/>
  <c r="T202" i="66"/>
  <c r="Q202" i="66"/>
  <c r="I461" i="41"/>
  <c r="U12" i="66"/>
  <c r="C50" i="63"/>
  <c r="U156" i="66"/>
  <c r="K285" i="66"/>
  <c r="O285" i="66" s="1"/>
  <c r="L28" i="66"/>
  <c r="L28" i="74" s="1"/>
  <c r="H476" i="41"/>
  <c r="P13" i="39"/>
  <c r="Q13" i="39" s="1"/>
  <c r="O13" i="39"/>
  <c r="Z91" i="66"/>
  <c r="AA235" i="66"/>
  <c r="T124" i="66"/>
  <c r="Q124" i="66"/>
  <c r="Z205" i="66"/>
  <c r="J461" i="41"/>
  <c r="T220" i="66"/>
  <c r="Q220" i="66"/>
  <c r="Q76" i="66"/>
  <c r="T76" i="66"/>
  <c r="AA187" i="66"/>
  <c r="H461" i="37"/>
  <c r="K28" i="66"/>
  <c r="K93" i="66"/>
  <c r="K237" i="66"/>
  <c r="O237" i="66" s="1"/>
  <c r="AA283" i="66"/>
  <c r="Z283" i="66"/>
  <c r="K190" i="66"/>
  <c r="H459" i="58"/>
  <c r="K141" i="66"/>
  <c r="T106" i="66"/>
  <c r="Q106" i="66"/>
  <c r="E353" i="38"/>
  <c r="L46" i="66"/>
  <c r="L46" i="74" s="1"/>
  <c r="H475" i="41"/>
  <c r="Q268" i="66"/>
  <c r="T268" i="66"/>
  <c r="Q12" i="39"/>
  <c r="Z129" i="66"/>
  <c r="K46" i="66"/>
  <c r="K46" i="74" s="1"/>
  <c r="T46" i="74" s="1"/>
  <c r="H459" i="37"/>
  <c r="Z273" i="66" l="1"/>
  <c r="K28" i="74"/>
  <c r="T28" i="74" s="1"/>
  <c r="AA43" i="66"/>
  <c r="Y12" i="74"/>
  <c r="Z43" i="66"/>
  <c r="Q58" i="74"/>
  <c r="U12" i="74"/>
  <c r="X58" i="74"/>
  <c r="AD13" i="74"/>
  <c r="B5" i="75" s="1"/>
  <c r="E5" i="75" s="1"/>
  <c r="B20" i="75"/>
  <c r="E20" i="75" s="1"/>
  <c r="AD109" i="74"/>
  <c r="C5" i="75" s="1"/>
  <c r="C20" i="75"/>
  <c r="X46" i="74"/>
  <c r="S28" i="74"/>
  <c r="O141" i="66"/>
  <c r="P285" i="66" s="1"/>
  <c r="K141" i="74"/>
  <c r="X106" i="74"/>
  <c r="Q106" i="74"/>
  <c r="T106" i="74"/>
  <c r="AA134" i="74"/>
  <c r="Z134" i="74"/>
  <c r="Q46" i="74"/>
  <c r="W46" i="74" s="1"/>
  <c r="T76" i="74"/>
  <c r="Q76" i="74"/>
  <c r="X76" i="74"/>
  <c r="S46" i="74"/>
  <c r="U46" i="74" s="1"/>
  <c r="O93" i="66"/>
  <c r="AA237" i="66" s="1"/>
  <c r="K93" i="74"/>
  <c r="AC93" i="74" s="1"/>
  <c r="AD93" i="74" s="1"/>
  <c r="Q124" i="74"/>
  <c r="X124" i="74"/>
  <c r="T124" i="74"/>
  <c r="L154" i="66"/>
  <c r="K10" i="66"/>
  <c r="Q10" i="66" s="1"/>
  <c r="AA81" i="74"/>
  <c r="Z81" i="74"/>
  <c r="AA129" i="66"/>
  <c r="Z139" i="66"/>
  <c r="AA157" i="66"/>
  <c r="AA129" i="74"/>
  <c r="Z129" i="74"/>
  <c r="AA139" i="74"/>
  <c r="Z139" i="74"/>
  <c r="AA225" i="66"/>
  <c r="U28" i="74"/>
  <c r="Z43" i="74"/>
  <c r="AA43" i="74"/>
  <c r="Z91" i="74"/>
  <c r="AA91" i="74"/>
  <c r="AA33" i="74"/>
  <c r="Z33" i="74"/>
  <c r="Z109" i="74"/>
  <c r="AA109" i="74"/>
  <c r="AA13" i="74"/>
  <c r="Z13" i="74"/>
  <c r="L10" i="66"/>
  <c r="L10" i="74" s="1"/>
  <c r="AA61" i="74"/>
  <c r="Z61" i="74"/>
  <c r="AA33" i="66"/>
  <c r="Z177" i="66"/>
  <c r="Z109" i="66"/>
  <c r="AA253" i="66"/>
  <c r="AA109" i="66"/>
  <c r="Z33" i="66"/>
  <c r="AB141" i="66"/>
  <c r="AC141" i="66" s="1"/>
  <c r="AB93" i="66"/>
  <c r="AC93" i="66" s="1"/>
  <c r="AB237" i="66"/>
  <c r="AC237" i="66" s="1"/>
  <c r="AB285" i="66"/>
  <c r="AC285" i="66" s="1"/>
  <c r="Z81" i="66"/>
  <c r="Z225" i="66"/>
  <c r="AA91" i="66"/>
  <c r="Z61" i="66"/>
  <c r="AA61" i="66"/>
  <c r="AA13" i="66"/>
  <c r="Z157" i="66"/>
  <c r="Q172" i="66"/>
  <c r="T172" i="66"/>
  <c r="U172" i="66" s="1"/>
  <c r="G15" i="39"/>
  <c r="F15" i="39"/>
  <c r="K154" i="66"/>
  <c r="S154" i="66" s="1"/>
  <c r="P16" i="39"/>
  <c r="Q16" i="39" s="1"/>
  <c r="H478" i="41"/>
  <c r="H459" i="41"/>
  <c r="C40" i="63"/>
  <c r="P237" i="66"/>
  <c r="AA93" i="66"/>
  <c r="P93" i="66"/>
  <c r="Z93" i="66"/>
  <c r="Z237" i="66"/>
  <c r="Q237" i="66"/>
  <c r="T237" i="66"/>
  <c r="S190" i="66"/>
  <c r="T190" i="66"/>
  <c r="Q190" i="66"/>
  <c r="Q141" i="66"/>
  <c r="T141" i="66"/>
  <c r="Q93" i="66"/>
  <c r="T93" i="66"/>
  <c r="Q285" i="66"/>
  <c r="T285" i="66"/>
  <c r="Z285" i="66"/>
  <c r="AA141" i="66"/>
  <c r="T46" i="66"/>
  <c r="Q46" i="66"/>
  <c r="S46" i="66"/>
  <c r="T28" i="66"/>
  <c r="Q28" i="66"/>
  <c r="S28" i="66"/>
  <c r="C10" i="63"/>
  <c r="H461" i="41"/>
  <c r="S10" i="66" l="1"/>
  <c r="T10" i="66"/>
  <c r="Q28" i="74"/>
  <c r="W28" i="74" s="1"/>
  <c r="X28" i="74"/>
  <c r="Y46" i="74"/>
  <c r="Z141" i="66"/>
  <c r="P141" i="66"/>
  <c r="R141" i="66" s="1"/>
  <c r="S141" i="66" s="1"/>
  <c r="U141" i="66" s="1"/>
  <c r="AA285" i="66"/>
  <c r="Y28" i="74"/>
  <c r="Q93" i="74"/>
  <c r="O93" i="74"/>
  <c r="X93" i="74"/>
  <c r="T93" i="74"/>
  <c r="X141" i="74"/>
  <c r="Q141" i="74"/>
  <c r="T141" i="74"/>
  <c r="O141" i="74"/>
  <c r="AC141" i="74"/>
  <c r="AD141" i="74" s="1"/>
  <c r="K10" i="74"/>
  <c r="Q10" i="74" s="1"/>
  <c r="W10" i="74" s="1"/>
  <c r="T154" i="66"/>
  <c r="U154" i="66" s="1"/>
  <c r="Q154" i="66"/>
  <c r="U10" i="66"/>
  <c r="U28" i="66"/>
  <c r="U190" i="66"/>
  <c r="R93" i="66"/>
  <c r="S93" i="66" s="1"/>
  <c r="U93" i="66" s="1"/>
  <c r="U46" i="66"/>
  <c r="R285" i="66"/>
  <c r="S285" i="66" s="1"/>
  <c r="U285" i="66" s="1"/>
  <c r="R237" i="66"/>
  <c r="S237" i="66" s="1"/>
  <c r="U237" i="66" s="1"/>
  <c r="S10" i="74" l="1"/>
  <c r="P141" i="74"/>
  <c r="AA141" i="74"/>
  <c r="Z141" i="74"/>
  <c r="X10" i="74"/>
  <c r="Y10" i="74" s="1"/>
  <c r="T10" i="74"/>
  <c r="P93" i="74"/>
  <c r="Z93" i="74"/>
  <c r="AA93" i="74"/>
  <c r="H3" i="58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U10" i="74" l="1"/>
  <c r="W93" i="74"/>
  <c r="Y93" i="74" s="1"/>
  <c r="R93" i="74"/>
  <c r="S93" i="74" s="1"/>
  <c r="U93" i="74" s="1"/>
  <c r="V93" i="74"/>
  <c r="R141" i="74"/>
  <c r="S141" i="74" s="1"/>
  <c r="U141" i="74" s="1"/>
  <c r="V141" i="74"/>
  <c r="W141" i="74"/>
  <c r="Y141" i="74" s="1"/>
  <c r="F2" i="72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G45" i="66"/>
  <c r="G189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D3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J28" i="9"/>
  <c r="E22" i="22"/>
  <c r="N5" i="9"/>
  <c r="E42" i="22"/>
  <c r="R5" i="9"/>
  <c r="E77" i="22"/>
  <c r="E60" i="22"/>
  <c r="L8" i="9"/>
  <c r="E15" i="22"/>
  <c r="M5" i="9"/>
  <c r="E62" i="22"/>
  <c r="E55" i="22"/>
  <c r="J38" i="9"/>
  <c r="E29" i="22"/>
  <c r="O7" i="9"/>
  <c r="E19" i="22"/>
  <c r="M7" i="9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D4" i="9" l="1"/>
  <c r="C4" i="9" s="1"/>
  <c r="C3" i="9"/>
  <c r="G45" i="74"/>
  <c r="U5" i="9"/>
  <c r="U7" i="9"/>
  <c r="V5" i="9"/>
  <c r="U9" i="9"/>
  <c r="R7" i="9"/>
  <c r="E32" i="22"/>
  <c r="E39" i="22"/>
  <c r="P9" i="9"/>
  <c r="V9" i="9" s="1"/>
  <c r="K42" i="39"/>
  <c r="E140" i="38" s="1"/>
  <c r="C42" i="39"/>
  <c r="E89" i="38" s="1"/>
  <c r="P15" i="39"/>
  <c r="O15" i="39"/>
  <c r="Q7" i="9"/>
  <c r="K10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J8" i="9"/>
  <c r="T8" i="9" s="1"/>
  <c r="P28" i="9" a="1"/>
  <c r="P28" i="9" s="1"/>
  <c r="E5" i="22"/>
  <c r="M28" i="9" a="1"/>
  <c r="M28" i="9" s="1"/>
  <c r="V7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Q15" i="39"/>
  <c r="K45" i="66"/>
  <c r="K189" i="66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H467" i="18"/>
  <c r="I467" i="18"/>
  <c r="H468" i="18"/>
  <c r="I468" i="18"/>
  <c r="H472" i="18"/>
  <c r="I472" i="18"/>
  <c r="E63" i="22"/>
  <c r="M40" i="9"/>
  <c r="I213" i="18"/>
  <c r="H213" i="18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433" i="18"/>
  <c r="I433" i="18"/>
  <c r="I183" i="18"/>
  <c r="H183" i="18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K45" i="74" l="1"/>
  <c r="AB189" i="66"/>
  <c r="AC189" i="66" s="1"/>
  <c r="AB45" i="66"/>
  <c r="AC45" i="66" s="1"/>
  <c r="D47" i="17" a="1"/>
  <c r="D47" i="17" s="1"/>
  <c r="F35" i="20" s="1"/>
  <c r="H334" i="37"/>
  <c r="H226" i="37"/>
  <c r="H238" i="37"/>
  <c r="H322" i="37"/>
  <c r="H184" i="37"/>
  <c r="H185" i="37"/>
  <c r="H183" i="37"/>
  <c r="H188" i="37"/>
  <c r="H187" i="37"/>
  <c r="H186" i="37"/>
  <c r="H358" i="37"/>
  <c r="H346" i="37"/>
  <c r="H142" i="37"/>
  <c r="H154" i="37"/>
  <c r="E48" i="17"/>
  <c r="E47" i="17" a="1"/>
  <c r="E47" i="17" s="1"/>
  <c r="D48" i="17"/>
  <c r="P10" i="9"/>
  <c r="T189" i="66"/>
  <c r="Q189" i="66"/>
  <c r="S189" i="66"/>
  <c r="O189" i="66"/>
  <c r="T45" i="66"/>
  <c r="Q45" i="66"/>
  <c r="S45" i="66"/>
  <c r="O45" i="66"/>
  <c r="F464" i="18"/>
  <c r="J464" i="18"/>
  <c r="I7" i="18"/>
  <c r="H7" i="18"/>
  <c r="I306" i="18"/>
  <c r="H306" i="18"/>
  <c r="F95" i="18"/>
  <c r="J95" i="18"/>
  <c r="F342" i="18"/>
  <c r="J342" i="18"/>
  <c r="H264" i="18"/>
  <c r="I264" i="18"/>
  <c r="J383" i="18"/>
  <c r="F383" i="18"/>
  <c r="F212" i="18"/>
  <c r="J212" i="18"/>
  <c r="F343" i="18"/>
  <c r="J343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J468" i="18"/>
  <c r="F468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J135" i="18"/>
  <c r="F135" i="18"/>
  <c r="F183" i="18"/>
  <c r="J183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F136" i="18"/>
  <c r="J136" i="18"/>
  <c r="H54" i="18"/>
  <c r="I54" i="18"/>
  <c r="H47" i="18"/>
  <c r="I47" i="18"/>
  <c r="I48" i="18"/>
  <c r="H48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F219" i="18"/>
  <c r="J219" i="18"/>
  <c r="H262" i="18"/>
  <c r="I262" i="18"/>
  <c r="I259" i="18"/>
  <c r="H259" i="18"/>
  <c r="H254" i="18"/>
  <c r="I254" i="18"/>
  <c r="F345" i="18"/>
  <c r="J345" i="18"/>
  <c r="F171" i="18"/>
  <c r="J171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J179" i="18"/>
  <c r="F179" i="18"/>
  <c r="J425" i="18"/>
  <c r="F425" i="18"/>
  <c r="F467" i="18"/>
  <c r="J467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F218" i="18"/>
  <c r="J218" i="18"/>
  <c r="H260" i="18"/>
  <c r="I260" i="18"/>
  <c r="J87" i="18"/>
  <c r="F87" i="18"/>
  <c r="J428" i="18"/>
  <c r="F428" i="18"/>
  <c r="J384" i="18"/>
  <c r="F384" i="18"/>
  <c r="H53" i="18"/>
  <c r="I53" i="18"/>
  <c r="H50" i="18"/>
  <c r="I50" i="18"/>
  <c r="J129" i="18"/>
  <c r="F129" i="18"/>
  <c r="J178" i="18"/>
  <c r="F178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F216" i="18"/>
  <c r="J216" i="18"/>
  <c r="I263" i="18"/>
  <c r="H263" i="18"/>
  <c r="I257" i="18"/>
  <c r="H257" i="18"/>
  <c r="F477" i="18"/>
  <c r="J477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J432" i="18"/>
  <c r="F432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266" i="18"/>
  <c r="H266" i="18"/>
  <c r="J134" i="18"/>
  <c r="F134" i="18"/>
  <c r="F422" i="18"/>
  <c r="J422" i="18"/>
  <c r="F431" i="18"/>
  <c r="J431" i="18"/>
  <c r="F177" i="18"/>
  <c r="J177" i="18"/>
  <c r="F344" i="18"/>
  <c r="J344" i="18"/>
  <c r="F180" i="18"/>
  <c r="J180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F434" i="18"/>
  <c r="J434" i="18"/>
  <c r="F433" i="18"/>
  <c r="J433" i="18"/>
  <c r="H255" i="18"/>
  <c r="I255" i="18"/>
  <c r="H267" i="18"/>
  <c r="I267" i="18"/>
  <c r="H261" i="18"/>
  <c r="I261" i="18"/>
  <c r="I258" i="18"/>
  <c r="H258" i="18"/>
  <c r="H55" i="18"/>
  <c r="I55" i="18"/>
  <c r="I57" i="18"/>
  <c r="H57" i="18"/>
  <c r="F469" i="18"/>
  <c r="J469" i="18"/>
  <c r="F423" i="18"/>
  <c r="J423" i="18"/>
  <c r="F213" i="18"/>
  <c r="J213" i="18"/>
  <c r="F472" i="18"/>
  <c r="J472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J137" i="18"/>
  <c r="F137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F221" i="18"/>
  <c r="J221" i="18"/>
  <c r="F350" i="18"/>
  <c r="J350" i="18"/>
  <c r="F90" i="18"/>
  <c r="J90" i="18"/>
  <c r="I49" i="18"/>
  <c r="H49" i="18"/>
  <c r="I51" i="18"/>
  <c r="H51" i="18"/>
  <c r="F429" i="18"/>
  <c r="J429" i="18"/>
  <c r="Q45" i="74" l="1"/>
  <c r="W45" i="74" s="1"/>
  <c r="S45" i="74"/>
  <c r="X45" i="74"/>
  <c r="T45" i="74"/>
  <c r="O45" i="74"/>
  <c r="AC45" i="74"/>
  <c r="AD45" i="74" s="1"/>
  <c r="O45" i="20"/>
  <c r="O11" i="20"/>
  <c r="F39" i="20"/>
  <c r="F45" i="20"/>
  <c r="F14" i="20"/>
  <c r="F33" i="20"/>
  <c r="F16" i="20"/>
  <c r="F10" i="20"/>
  <c r="O16" i="20"/>
  <c r="F6" i="20"/>
  <c r="O35" i="20"/>
  <c r="F44" i="20"/>
  <c r="O7" i="20"/>
  <c r="O17" i="20"/>
  <c r="O18" i="20"/>
  <c r="O36" i="20"/>
  <c r="F18" i="20"/>
  <c r="O13" i="20"/>
  <c r="O44" i="20"/>
  <c r="F41" i="20"/>
  <c r="F7" i="20"/>
  <c r="O10" i="20"/>
  <c r="O37" i="20"/>
  <c r="O14" i="20"/>
  <c r="O9" i="20"/>
  <c r="O8" i="20"/>
  <c r="F8" i="20"/>
  <c r="F40" i="20"/>
  <c r="F43" i="20"/>
  <c r="O43" i="20"/>
  <c r="F13" i="20"/>
  <c r="F34" i="20"/>
  <c r="F17" i="20"/>
  <c r="O12" i="20"/>
  <c r="F11" i="20"/>
  <c r="F36" i="20"/>
  <c r="F42" i="20"/>
  <c r="O6" i="20"/>
  <c r="O42" i="20"/>
  <c r="F38" i="20"/>
  <c r="O15" i="20"/>
  <c r="F1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U189" i="66"/>
  <c r="P189" i="66"/>
  <c r="R189" i="66" s="1"/>
  <c r="U45" i="66"/>
  <c r="P45" i="66"/>
  <c r="Z45" i="66"/>
  <c r="AA189" i="66"/>
  <c r="Z189" i="66"/>
  <c r="AA45" i="66"/>
  <c r="F301" i="18"/>
  <c r="J301" i="18"/>
  <c r="J258" i="18"/>
  <c r="F258" i="18"/>
  <c r="J304" i="18"/>
  <c r="F304" i="18"/>
  <c r="J46" i="18"/>
  <c r="F46" i="18"/>
  <c r="F6" i="18"/>
  <c r="J6" i="18"/>
  <c r="J5" i="18"/>
  <c r="F5" i="18"/>
  <c r="F51" i="18"/>
  <c r="J51" i="18"/>
  <c r="J261" i="18"/>
  <c r="F261" i="18"/>
  <c r="F260" i="18"/>
  <c r="J260" i="18"/>
  <c r="J52" i="18"/>
  <c r="F52" i="18"/>
  <c r="F259" i="18"/>
  <c r="J259" i="18"/>
  <c r="J309" i="18"/>
  <c r="F309" i="18"/>
  <c r="J300" i="18"/>
  <c r="F300" i="18"/>
  <c r="F56" i="18"/>
  <c r="J56" i="18"/>
  <c r="F307" i="18"/>
  <c r="J307" i="18"/>
  <c r="F308" i="18"/>
  <c r="J308" i="18"/>
  <c r="F262" i="18"/>
  <c r="J262" i="18"/>
  <c r="J44" i="18"/>
  <c r="F44" i="18"/>
  <c r="J14" i="18"/>
  <c r="F14" i="18"/>
  <c r="F297" i="18"/>
  <c r="J297" i="18"/>
  <c r="J305" i="18"/>
  <c r="F305" i="18"/>
  <c r="F45" i="18"/>
  <c r="J45" i="18"/>
  <c r="J2" i="18"/>
  <c r="F2" i="18"/>
  <c r="F48" i="18"/>
  <c r="J48" i="18"/>
  <c r="F298" i="18"/>
  <c r="J298" i="18"/>
  <c r="F264" i="18"/>
  <c r="J264" i="18"/>
  <c r="J15" i="18"/>
  <c r="F15" i="18"/>
  <c r="F256" i="18"/>
  <c r="J256" i="18"/>
  <c r="J12" i="18"/>
  <c r="F12" i="18"/>
  <c r="J57" i="18"/>
  <c r="F57" i="18"/>
  <c r="J255" i="18"/>
  <c r="F255" i="18"/>
  <c r="J4" i="18"/>
  <c r="F4" i="18"/>
  <c r="F266" i="18"/>
  <c r="J266" i="18"/>
  <c r="J303" i="18"/>
  <c r="F303" i="18"/>
  <c r="J263" i="18"/>
  <c r="F263" i="18"/>
  <c r="J10" i="18"/>
  <c r="F10" i="18"/>
  <c r="F8" i="18"/>
  <c r="J8" i="18"/>
  <c r="F47" i="18"/>
  <c r="J47" i="18"/>
  <c r="J302" i="18"/>
  <c r="F302" i="18"/>
  <c r="F306" i="18"/>
  <c r="J306" i="18"/>
  <c r="J257" i="18"/>
  <c r="F257" i="18"/>
  <c r="F265" i="18"/>
  <c r="J265" i="18"/>
  <c r="J55" i="18"/>
  <c r="F55" i="18"/>
  <c r="J3" i="18"/>
  <c r="F3" i="18"/>
  <c r="F254" i="18"/>
  <c r="J254" i="18"/>
  <c r="J267" i="18"/>
  <c r="F267" i="18"/>
  <c r="F9" i="18"/>
  <c r="J9" i="18"/>
  <c r="J53" i="18"/>
  <c r="F53" i="18"/>
  <c r="F49" i="18"/>
  <c r="J49" i="18"/>
  <c r="J13" i="18"/>
  <c r="F13" i="18"/>
  <c r="J299" i="18"/>
  <c r="F299" i="18"/>
  <c r="J50" i="18"/>
  <c r="F50" i="18"/>
  <c r="J54" i="18"/>
  <c r="F54" i="18"/>
  <c r="J296" i="18"/>
  <c r="F296" i="18"/>
  <c r="J11" i="18"/>
  <c r="F11" i="18"/>
  <c r="F7" i="18"/>
  <c r="J7" i="18"/>
  <c r="U45" i="74" l="1"/>
  <c r="Y45" i="74"/>
  <c r="P45" i="74"/>
  <c r="Z45" i="74"/>
  <c r="AA45" i="74"/>
  <c r="R45" i="66"/>
  <c r="V45" i="74" l="1"/>
  <c r="R45" i="74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59" i="18"/>
  <c r="F59" i="18" s="1"/>
  <c r="I238" i="37"/>
  <c r="I142" i="37"/>
  <c r="I226" i="37"/>
  <c r="I334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E269" i="38"/>
  <c r="H460" i="58"/>
  <c r="E242" i="38"/>
  <c r="E234" i="38"/>
  <c r="I462" i="37"/>
  <c r="I462" i="58"/>
  <c r="E261" i="38"/>
  <c r="E216" i="38"/>
  <c r="E255" i="38"/>
  <c r="E210" i="3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E222" i="38"/>
  <c r="H473" i="37"/>
  <c r="H473" i="58"/>
  <c r="H468" i="37"/>
  <c r="H468" i="58"/>
  <c r="E240" i="38"/>
  <c r="H10" i="66"/>
  <c r="I458" i="37"/>
  <c r="I458" i="58"/>
  <c r="E260" i="38"/>
  <c r="E215" i="38"/>
  <c r="I452" i="41"/>
  <c r="E203" i="38"/>
  <c r="E248" i="38"/>
  <c r="E245" i="3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E228" i="38"/>
  <c r="E220" i="38"/>
  <c r="E265" i="38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H12" i="66"/>
  <c r="E207" i="38"/>
  <c r="E252" i="38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H28" i="66"/>
  <c r="E237" i="38"/>
  <c r="E217" i="38"/>
  <c r="E262" i="38"/>
  <c r="E213" i="38"/>
  <c r="E258" i="38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E376" i="38"/>
  <c r="E375" i="38"/>
  <c r="I478" i="58"/>
  <c r="E377" i="38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H23" i="66"/>
  <c r="E244" i="38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E209" i="38"/>
  <c r="E250" i="38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E225" i="38"/>
  <c r="H462" i="58"/>
  <c r="H462" i="37"/>
  <c r="E243" i="38"/>
  <c r="H6" i="66"/>
  <c r="E235" i="38"/>
  <c r="H46" i="66"/>
  <c r="I463" i="37"/>
  <c r="I463" i="58"/>
  <c r="E253" i="38"/>
  <c r="E208" i="38"/>
  <c r="E251" i="38"/>
  <c r="E206" i="38"/>
  <c r="H190" i="66" l="1"/>
  <c r="H46" i="74" s="1"/>
  <c r="H167" i="66"/>
  <c r="H23" i="74" s="1"/>
  <c r="H172" i="66"/>
  <c r="AB172" i="66" s="1"/>
  <c r="AC172" i="66" s="1"/>
  <c r="H156" i="66"/>
  <c r="H12" i="74" s="1"/>
  <c r="H204" i="66"/>
  <c r="AB204" i="66" s="1"/>
  <c r="AC204" i="66" s="1"/>
  <c r="L202" i="66"/>
  <c r="H252" i="66"/>
  <c r="L220" i="66"/>
  <c r="H108" i="66"/>
  <c r="L204" i="66"/>
  <c r="H286" i="66"/>
  <c r="L238" i="66"/>
  <c r="H142" i="66"/>
  <c r="H124" i="66"/>
  <c r="H102" i="66"/>
  <c r="H268" i="66"/>
  <c r="H202" i="66"/>
  <c r="H150" i="66"/>
  <c r="H6" i="74" s="1"/>
  <c r="H246" i="66"/>
  <c r="H238" i="66"/>
  <c r="AB238" i="66" s="1"/>
  <c r="AC238" i="66" s="1"/>
  <c r="H198" i="66"/>
  <c r="H220" i="66"/>
  <c r="H250" i="66"/>
  <c r="H106" i="66"/>
  <c r="H154" i="66"/>
  <c r="AB154" i="66" s="1"/>
  <c r="AC154" i="66" s="1"/>
  <c r="AB156" i="66"/>
  <c r="AC156" i="66" s="1"/>
  <c r="AB12" i="66"/>
  <c r="AC12" i="66" s="1"/>
  <c r="AB28" i="66"/>
  <c r="AC28" i="66" s="1"/>
  <c r="AB46" i="66"/>
  <c r="AC46" i="66" s="1"/>
  <c r="AB190" i="66"/>
  <c r="AC190" i="66" s="1"/>
  <c r="AB10" i="66"/>
  <c r="AC10" i="66" s="1"/>
  <c r="O46" i="66"/>
  <c r="O12" i="66"/>
  <c r="P156" i="66" s="1"/>
  <c r="O28" i="66"/>
  <c r="O190" i="66"/>
  <c r="O156" i="66"/>
  <c r="O10" i="66"/>
  <c r="G171" i="41"/>
  <c r="H171" i="37"/>
  <c r="G225" i="41"/>
  <c r="H225" i="37"/>
  <c r="I225" i="37"/>
  <c r="G329" i="41"/>
  <c r="H329" i="37"/>
  <c r="G387" i="41"/>
  <c r="H387" i="37"/>
  <c r="I387" i="37"/>
  <c r="G324" i="41"/>
  <c r="H324" i="37"/>
  <c r="I324" i="37"/>
  <c r="G194" i="41"/>
  <c r="H194" i="37"/>
  <c r="G248" i="41"/>
  <c r="H248" i="37"/>
  <c r="G352" i="41"/>
  <c r="H352" i="37"/>
  <c r="G404" i="41"/>
  <c r="H404" i="37"/>
  <c r="G265" i="41"/>
  <c r="H265" i="37"/>
  <c r="G421" i="41"/>
  <c r="H421" i="37"/>
  <c r="G182" i="41"/>
  <c r="H182" i="37"/>
  <c r="G290" i="41"/>
  <c r="H290" i="37"/>
  <c r="G175" i="41"/>
  <c r="H175" i="37"/>
  <c r="I175" i="37"/>
  <c r="G252" i="41"/>
  <c r="H252" i="37"/>
  <c r="G300" i="41"/>
  <c r="H300" i="37"/>
  <c r="G357" i="41"/>
  <c r="H357" i="37"/>
  <c r="I357" i="37"/>
  <c r="G302" i="41"/>
  <c r="H302" i="37"/>
  <c r="G221" i="41"/>
  <c r="H221" i="37"/>
  <c r="G244" i="41"/>
  <c r="H244" i="37"/>
  <c r="G401" i="41"/>
  <c r="H401" i="37"/>
  <c r="G151" i="41"/>
  <c r="H151" i="37"/>
  <c r="G370" i="41"/>
  <c r="H370" i="37"/>
  <c r="I370" i="37"/>
  <c r="G192" i="41"/>
  <c r="H192" i="37"/>
  <c r="G339" i="41"/>
  <c r="H339" i="37"/>
  <c r="J357" i="37"/>
  <c r="G416" i="41"/>
  <c r="H416" i="37"/>
  <c r="I416" i="37"/>
  <c r="G170" i="41"/>
  <c r="H170" i="37"/>
  <c r="G283" i="41"/>
  <c r="H283" i="37"/>
  <c r="J387" i="37"/>
  <c r="G179" i="41"/>
  <c r="H179" i="37"/>
  <c r="G236" i="41"/>
  <c r="H236" i="37"/>
  <c r="G340" i="41"/>
  <c r="H340" i="37"/>
  <c r="G367" i="41"/>
  <c r="H367" i="37"/>
  <c r="G143" i="41"/>
  <c r="H143" i="37"/>
  <c r="I143" i="37"/>
  <c r="G202" i="41"/>
  <c r="H202" i="37"/>
  <c r="G256" i="41"/>
  <c r="H256" i="37"/>
  <c r="G414" i="41"/>
  <c r="H414" i="37"/>
  <c r="I414" i="37"/>
  <c r="G196" i="41"/>
  <c r="H196" i="37"/>
  <c r="G250" i="41"/>
  <c r="H250" i="37"/>
  <c r="I250" i="37"/>
  <c r="G298" i="41"/>
  <c r="H298" i="37"/>
  <c r="G355" i="41"/>
  <c r="H355" i="37"/>
  <c r="G251" i="41"/>
  <c r="H251" i="37"/>
  <c r="I251" i="37"/>
  <c r="G206" i="41"/>
  <c r="H206" i="37"/>
  <c r="G368" i="41"/>
  <c r="H368" i="37"/>
  <c r="G310" i="41"/>
  <c r="H310" i="37"/>
  <c r="G253" i="41"/>
  <c r="H253" i="37"/>
  <c r="G301" i="41"/>
  <c r="H301" i="37"/>
  <c r="G359" i="41"/>
  <c r="H359" i="37"/>
  <c r="I359" i="37"/>
  <c r="G409" i="41"/>
  <c r="H409" i="37"/>
  <c r="G383" i="41"/>
  <c r="H383" i="37"/>
  <c r="G199" i="41"/>
  <c r="H199" i="37"/>
  <c r="I199" i="37"/>
  <c r="G178" i="41"/>
  <c r="H178" i="37"/>
  <c r="G304" i="41"/>
  <c r="H304" i="37"/>
  <c r="I304" i="37"/>
  <c r="G363" i="41"/>
  <c r="H363" i="37"/>
  <c r="G412" i="41"/>
  <c r="H412" i="37"/>
  <c r="G399" i="41"/>
  <c r="H399" i="37"/>
  <c r="G281" i="41"/>
  <c r="H281" i="37"/>
  <c r="G335" i="41"/>
  <c r="H335" i="37"/>
  <c r="I335" i="37"/>
  <c r="G145" i="41"/>
  <c r="H145" i="37"/>
  <c r="G204" i="41"/>
  <c r="H204" i="37"/>
  <c r="G306" i="41"/>
  <c r="H306" i="37"/>
  <c r="G365" i="41"/>
  <c r="H365" i="37"/>
  <c r="G214" i="41"/>
  <c r="H214" i="37"/>
  <c r="G268" i="41"/>
  <c r="H268" i="37"/>
  <c r="I268" i="37"/>
  <c r="G376" i="41"/>
  <c r="H376" i="37"/>
  <c r="G200" i="41"/>
  <c r="H200" i="37"/>
  <c r="I200" i="37"/>
  <c r="G328" i="41"/>
  <c r="H328" i="37"/>
  <c r="G345" i="41"/>
  <c r="H345" i="37"/>
  <c r="I345" i="37"/>
  <c r="G149" i="41"/>
  <c r="H149" i="37"/>
  <c r="G309" i="41"/>
  <c r="H309" i="37"/>
  <c r="G208" i="41"/>
  <c r="H208" i="37"/>
  <c r="I208" i="37"/>
  <c r="G224" i="41"/>
  <c r="H224" i="37"/>
  <c r="G360" i="41"/>
  <c r="H360" i="37"/>
  <c r="I360" i="37"/>
  <c r="J359" i="37"/>
  <c r="G193" i="41"/>
  <c r="H193" i="37"/>
  <c r="G295" i="41"/>
  <c r="H295" i="37"/>
  <c r="I295" i="37"/>
  <c r="G351" i="41"/>
  <c r="H351" i="37"/>
  <c r="G415" i="41"/>
  <c r="H415" i="37"/>
  <c r="I415" i="37"/>
  <c r="G153" i="41"/>
  <c r="H153" i="37"/>
  <c r="I153" i="37"/>
  <c r="G210" i="41"/>
  <c r="H210" i="37"/>
  <c r="G312" i="41"/>
  <c r="H312" i="37"/>
  <c r="I312" i="37"/>
  <c r="G173" i="41"/>
  <c r="H173" i="37"/>
  <c r="G228" i="41"/>
  <c r="H228" i="37"/>
  <c r="I228" i="37"/>
  <c r="G332" i="41"/>
  <c r="H332" i="37"/>
  <c r="G389" i="41"/>
  <c r="H389" i="37"/>
  <c r="I389" i="37"/>
  <c r="G258" i="41"/>
  <c r="H258" i="37"/>
  <c r="I258" i="37"/>
  <c r="G307" i="41"/>
  <c r="H307" i="37"/>
  <c r="G159" i="41"/>
  <c r="H159" i="37"/>
  <c r="G316" i="41"/>
  <c r="H316" i="37"/>
  <c r="G207" i="41"/>
  <c r="H207" i="37"/>
  <c r="I207" i="37"/>
  <c r="G261" i="41"/>
  <c r="H261" i="37"/>
  <c r="G369" i="41"/>
  <c r="H369" i="37"/>
  <c r="I369" i="37"/>
  <c r="G417" i="41"/>
  <c r="H417" i="37"/>
  <c r="G418" i="41"/>
  <c r="H418" i="37"/>
  <c r="G254" i="41"/>
  <c r="H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G403" i="41"/>
  <c r="H403" i="37"/>
  <c r="G390" i="41"/>
  <c r="H390" i="37"/>
  <c r="G264" i="41"/>
  <c r="H264" i="37"/>
  <c r="G372" i="41"/>
  <c r="H372" i="37"/>
  <c r="G420" i="41"/>
  <c r="H420" i="37"/>
  <c r="G239" i="41"/>
  <c r="H239" i="37"/>
  <c r="I239" i="37"/>
  <c r="G289" i="41"/>
  <c r="H289" i="37"/>
  <c r="G343" i="41"/>
  <c r="H343" i="37"/>
  <c r="G391" i="41"/>
  <c r="H391" i="37"/>
  <c r="G266" i="41"/>
  <c r="H266" i="37"/>
  <c r="G374" i="41"/>
  <c r="H374" i="37"/>
  <c r="G222" i="41"/>
  <c r="H222" i="37"/>
  <c r="G276" i="41"/>
  <c r="H276" i="37"/>
  <c r="I276" i="37"/>
  <c r="G384" i="41"/>
  <c r="H384" i="37"/>
  <c r="G216" i="41"/>
  <c r="H216" i="37"/>
  <c r="I216" i="37"/>
  <c r="G349" i="41"/>
  <c r="H349" i="37"/>
  <c r="G407" i="41"/>
  <c r="H407" i="37"/>
  <c r="I407" i="37"/>
  <c r="G215" i="41"/>
  <c r="H215" i="37"/>
  <c r="G269" i="41"/>
  <c r="H269" i="37"/>
  <c r="I269" i="37"/>
  <c r="G377" i="41"/>
  <c r="H377" i="37"/>
  <c r="G235" i="41"/>
  <c r="H235" i="37"/>
  <c r="G386" i="41"/>
  <c r="H386" i="37"/>
  <c r="J153" i="37"/>
  <c r="J199" i="37"/>
  <c r="J258" i="37"/>
  <c r="J414" i="37"/>
  <c r="G287" i="41"/>
  <c r="H287" i="37"/>
  <c r="I287" i="37"/>
  <c r="G395" i="41"/>
  <c r="H395" i="37"/>
  <c r="G141" i="41"/>
  <c r="H141" i="37"/>
  <c r="I141" i="37"/>
  <c r="G255" i="41"/>
  <c r="H255" i="37"/>
  <c r="G303" i="41"/>
  <c r="H303" i="37"/>
  <c r="I303" i="37"/>
  <c r="G411" i="41"/>
  <c r="H411" i="37"/>
  <c r="G422" i="41"/>
  <c r="H422" i="37"/>
  <c r="G147" i="41"/>
  <c r="H147" i="37"/>
  <c r="G218" i="41"/>
  <c r="H218" i="37"/>
  <c r="I218" i="37"/>
  <c r="G380" i="41"/>
  <c r="H380" i="37"/>
  <c r="I380" i="37"/>
  <c r="G181" i="41"/>
  <c r="H181" i="37"/>
  <c r="G397" i="41"/>
  <c r="H397" i="37"/>
  <c r="I397" i="37"/>
  <c r="G156" i="41"/>
  <c r="H156" i="37"/>
  <c r="I156" i="37"/>
  <c r="G212" i="41"/>
  <c r="H212" i="37"/>
  <c r="G314" i="41"/>
  <c r="H314" i="37"/>
  <c r="I314" i="37"/>
  <c r="G375" i="41"/>
  <c r="H375" i="37"/>
  <c r="G168" i="41"/>
  <c r="H168" i="37"/>
  <c r="G325" i="41"/>
  <c r="H325" i="37"/>
  <c r="H11" i="37"/>
  <c r="I11" i="37"/>
  <c r="J11" i="37"/>
  <c r="G160" i="41"/>
  <c r="H160" i="37"/>
  <c r="G317" i="41"/>
  <c r="H317" i="37"/>
  <c r="G410" i="41"/>
  <c r="H410" i="37"/>
  <c r="G197" i="41"/>
  <c r="H197" i="37"/>
  <c r="J269" i="37"/>
  <c r="J303" i="37"/>
  <c r="J321" i="37"/>
  <c r="J260" i="37"/>
  <c r="J416" i="37"/>
  <c r="H13" i="37"/>
  <c r="I13" i="37"/>
  <c r="J13" i="37"/>
  <c r="G273" i="41"/>
  <c r="H273" i="37"/>
  <c r="G381" i="41"/>
  <c r="H381" i="37"/>
  <c r="G164" i="41"/>
  <c r="H164" i="37"/>
  <c r="G272" i="41"/>
  <c r="H272" i="37"/>
  <c r="G320" i="41"/>
  <c r="H320" i="37"/>
  <c r="G157" i="41"/>
  <c r="H157" i="37"/>
  <c r="G195" i="41"/>
  <c r="H195" i="37"/>
  <c r="G249" i="41"/>
  <c r="H249" i="37"/>
  <c r="I249" i="37"/>
  <c r="G297" i="41"/>
  <c r="H297" i="37"/>
  <c r="G353" i="41"/>
  <c r="H353" i="37"/>
  <c r="G166" i="41"/>
  <c r="H166" i="37"/>
  <c r="I166" i="37"/>
  <c r="J166" i="37"/>
  <c r="G220" i="41"/>
  <c r="H220" i="37"/>
  <c r="G274" i="41"/>
  <c r="H274" i="37"/>
  <c r="G382" i="41"/>
  <c r="H382" i="37"/>
  <c r="G176" i="41"/>
  <c r="H176" i="37"/>
  <c r="I176" i="37"/>
  <c r="G232" i="41"/>
  <c r="H232" i="37"/>
  <c r="G336" i="41"/>
  <c r="H336" i="37"/>
  <c r="I336" i="37"/>
  <c r="G392" i="41"/>
  <c r="H392" i="37"/>
  <c r="G245" i="41"/>
  <c r="H245" i="37"/>
  <c r="G169" i="41"/>
  <c r="H169" i="37"/>
  <c r="G223" i="41"/>
  <c r="H223" i="37"/>
  <c r="G327" i="41"/>
  <c r="H327" i="37"/>
  <c r="G385" i="41"/>
  <c r="H385" i="37"/>
  <c r="G205" i="41"/>
  <c r="H205" i="37"/>
  <c r="G278" i="41"/>
  <c r="H278" i="37"/>
  <c r="I278" i="37"/>
  <c r="J216" i="37"/>
  <c r="J208" i="37"/>
  <c r="J324" i="37"/>
  <c r="J176" i="37"/>
  <c r="J415" i="37"/>
  <c r="G394" i="41"/>
  <c r="H394" i="37"/>
  <c r="G213" i="41"/>
  <c r="H213" i="37"/>
  <c r="G227" i="41"/>
  <c r="H227" i="37"/>
  <c r="I227" i="37"/>
  <c r="G331" i="41"/>
  <c r="H331" i="37"/>
  <c r="G405" i="41"/>
  <c r="H405" i="37"/>
  <c r="I405" i="37"/>
  <c r="G323" i="41"/>
  <c r="H323" i="37"/>
  <c r="I323" i="37"/>
  <c r="G284" i="41"/>
  <c r="H284" i="37"/>
  <c r="G378" i="41"/>
  <c r="H378" i="37"/>
  <c r="I378" i="37"/>
  <c r="G277" i="41"/>
  <c r="H277" i="37"/>
  <c r="I277" i="37"/>
  <c r="G270" i="41"/>
  <c r="H270" i="37"/>
  <c r="G286" i="41"/>
  <c r="H286" i="37"/>
  <c r="I286" i="37"/>
  <c r="G241" i="41"/>
  <c r="H241" i="37"/>
  <c r="J218" i="37"/>
  <c r="J304" i="37"/>
  <c r="J207" i="37"/>
  <c r="J239" i="37"/>
  <c r="J175" i="37"/>
  <c r="J336" i="37"/>
  <c r="G279" i="41"/>
  <c r="H279" i="37"/>
  <c r="G296" i="41"/>
  <c r="H296" i="37"/>
  <c r="I296" i="37"/>
  <c r="G356" i="41"/>
  <c r="H356" i="37"/>
  <c r="G219" i="41"/>
  <c r="H219" i="37"/>
  <c r="G267" i="41"/>
  <c r="H267" i="37"/>
  <c r="I267" i="37"/>
  <c r="G201" i="41"/>
  <c r="H201" i="37"/>
  <c r="G361" i="41"/>
  <c r="H361" i="37"/>
  <c r="G209" i="41"/>
  <c r="H209" i="37"/>
  <c r="I209" i="37"/>
  <c r="G311" i="41"/>
  <c r="H311" i="37"/>
  <c r="G371" i="41"/>
  <c r="H371" i="37"/>
  <c r="I371" i="37"/>
  <c r="G419" i="41"/>
  <c r="H419" i="37"/>
  <c r="G172" i="41"/>
  <c r="H172" i="37"/>
  <c r="G280" i="41"/>
  <c r="H280" i="37"/>
  <c r="G388" i="41"/>
  <c r="H388" i="37"/>
  <c r="I388" i="37"/>
  <c r="G231" i="41"/>
  <c r="H231" i="37"/>
  <c r="G144" i="41"/>
  <c r="H144" i="37"/>
  <c r="I144" i="37"/>
  <c r="G257" i="41"/>
  <c r="H257" i="37"/>
  <c r="G305" i="41"/>
  <c r="H305" i="37"/>
  <c r="I305" i="37"/>
  <c r="G413" i="41"/>
  <c r="H413" i="37"/>
  <c r="G398" i="41"/>
  <c r="H398" i="37"/>
  <c r="I398" i="37"/>
  <c r="G229" i="41"/>
  <c r="H229" i="37"/>
  <c r="G282" i="41"/>
  <c r="H282" i="37"/>
  <c r="G190" i="41"/>
  <c r="H190" i="37"/>
  <c r="I190" i="37"/>
  <c r="G292" i="41"/>
  <c r="H292" i="37"/>
  <c r="G262" i="41"/>
  <c r="H262" i="37"/>
  <c r="G402" i="41"/>
  <c r="H402" i="37"/>
  <c r="G177" i="41"/>
  <c r="H177" i="37"/>
  <c r="G285" i="41"/>
  <c r="H285" i="37"/>
  <c r="I285" i="37"/>
  <c r="G337" i="41"/>
  <c r="H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G263" i="41"/>
  <c r="H263" i="37"/>
  <c r="G180" i="41"/>
  <c r="H180" i="37"/>
  <c r="G237" i="41"/>
  <c r="H237" i="37"/>
  <c r="I237" i="37"/>
  <c r="G288" i="41"/>
  <c r="H288" i="37"/>
  <c r="G396" i="41"/>
  <c r="H396" i="37"/>
  <c r="I396" i="37"/>
  <c r="G203" i="41"/>
  <c r="H203" i="37"/>
  <c r="G364" i="41"/>
  <c r="H364" i="37"/>
  <c r="G174" i="41"/>
  <c r="H174" i="37"/>
  <c r="I174" i="37"/>
  <c r="G333" i="41"/>
  <c r="H333" i="37"/>
  <c r="I333" i="37"/>
  <c r="G406" i="41"/>
  <c r="H406" i="37"/>
  <c r="I406" i="37"/>
  <c r="G243" i="41"/>
  <c r="H243" i="37"/>
  <c r="G347" i="41"/>
  <c r="H347" i="37"/>
  <c r="I347" i="37"/>
  <c r="G400" i="41"/>
  <c r="H400" i="37"/>
  <c r="G167" i="41"/>
  <c r="H167" i="37"/>
  <c r="I167" i="37"/>
  <c r="J167" i="37"/>
  <c r="G233" i="41"/>
  <c r="H233" i="37"/>
  <c r="G393" i="41"/>
  <c r="H393" i="37"/>
  <c r="G291" i="41"/>
  <c r="H291" i="37"/>
  <c r="J144" i="37"/>
  <c r="J371" i="37"/>
  <c r="J398" i="37"/>
  <c r="J287" i="37"/>
  <c r="J276" i="37"/>
  <c r="G148" i="41"/>
  <c r="H148" i="37"/>
  <c r="G308" i="41"/>
  <c r="H308" i="37"/>
  <c r="H12" i="37"/>
  <c r="I12" i="37"/>
  <c r="J12" i="37"/>
  <c r="G163" i="41"/>
  <c r="H163" i="37"/>
  <c r="G319" i="41"/>
  <c r="H319" i="37"/>
  <c r="G217" i="41"/>
  <c r="H217" i="37"/>
  <c r="I217" i="37"/>
  <c r="G271" i="41"/>
  <c r="H271" i="37"/>
  <c r="G379" i="41"/>
  <c r="H379" i="37"/>
  <c r="I379" i="37"/>
  <c r="G275" i="41"/>
  <c r="H275" i="37"/>
  <c r="G341" i="41"/>
  <c r="H341" i="37"/>
  <c r="G299" i="41"/>
  <c r="H299" i="37"/>
  <c r="G155" i="41"/>
  <c r="H155" i="37"/>
  <c r="I155" i="37"/>
  <c r="G211" i="41"/>
  <c r="H211" i="37"/>
  <c r="G313" i="41"/>
  <c r="H313" i="37"/>
  <c r="I313" i="37"/>
  <c r="G373" i="41"/>
  <c r="H373" i="37"/>
  <c r="G189" i="41"/>
  <c r="H189" i="37"/>
  <c r="I189" i="37"/>
  <c r="G240" i="41"/>
  <c r="H240" i="37"/>
  <c r="I240" i="37"/>
  <c r="G344" i="41"/>
  <c r="H344" i="37"/>
  <c r="G198" i="41"/>
  <c r="H198" i="37"/>
  <c r="I198" i="37"/>
  <c r="G408" i="41"/>
  <c r="H408" i="37"/>
  <c r="G191" i="41"/>
  <c r="H191" i="37"/>
  <c r="I191" i="37"/>
  <c r="G293" i="41"/>
  <c r="H293" i="37"/>
  <c r="G348" i="41"/>
  <c r="H348" i="37"/>
  <c r="I348" i="37"/>
  <c r="G315" i="41"/>
  <c r="H315" i="37"/>
  <c r="G161" i="41"/>
  <c r="H161" i="37"/>
  <c r="G318" i="41"/>
  <c r="H318" i="37"/>
  <c r="J369" i="37"/>
  <c r="J396" i="37"/>
  <c r="J294" i="37"/>
  <c r="J277" i="37"/>
  <c r="J250" i="37"/>
  <c r="J333" i="37"/>
  <c r="G12" i="39"/>
  <c r="G13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H94" i="66"/>
  <c r="H94" i="74" s="1"/>
  <c r="H60" i="66"/>
  <c r="H60" i="74" s="1"/>
  <c r="H58" i="66"/>
  <c r="H58" i="74" s="1"/>
  <c r="H54" i="66"/>
  <c r="H76" i="66"/>
  <c r="P12" i="66"/>
  <c r="O204" i="66"/>
  <c r="O238" i="66"/>
  <c r="H468" i="41"/>
  <c r="H183" i="41"/>
  <c r="J462" i="41"/>
  <c r="H463" i="41"/>
  <c r="I468" i="41"/>
  <c r="I458" i="41"/>
  <c r="H472" i="41"/>
  <c r="J458" i="41"/>
  <c r="J469" i="41"/>
  <c r="J472" i="41"/>
  <c r="H462" i="41"/>
  <c r="I334" i="58"/>
  <c r="H11" i="66"/>
  <c r="H451" i="37"/>
  <c r="H113" i="66"/>
  <c r="J449" i="37"/>
  <c r="J450" i="37"/>
  <c r="H125" i="66"/>
  <c r="I447" i="58"/>
  <c r="H240" i="66"/>
  <c r="I416" i="58"/>
  <c r="I251" i="58"/>
  <c r="H442" i="37"/>
  <c r="H25" i="66"/>
  <c r="C37" i="63"/>
  <c r="H232" i="66"/>
  <c r="I446" i="58"/>
  <c r="H188" i="66"/>
  <c r="H453" i="58"/>
  <c r="I477" i="41"/>
  <c r="E358" i="38"/>
  <c r="H224" i="66"/>
  <c r="I448" i="58"/>
  <c r="H166" i="66"/>
  <c r="H454" i="58"/>
  <c r="H184" i="66"/>
  <c r="H446" i="58"/>
  <c r="H30" i="66"/>
  <c r="H445" i="37"/>
  <c r="H452" i="37"/>
  <c r="H18" i="66"/>
  <c r="H18" i="74" s="1"/>
  <c r="E386" i="38"/>
  <c r="J444" i="58"/>
  <c r="H282" i="66"/>
  <c r="H164" i="66"/>
  <c r="H441" i="58"/>
  <c r="H280" i="66"/>
  <c r="J446" i="58"/>
  <c r="H426" i="58"/>
  <c r="H176" i="66"/>
  <c r="H448" i="58"/>
  <c r="H272" i="58"/>
  <c r="H442" i="58"/>
  <c r="H169" i="66"/>
  <c r="H8" i="41"/>
  <c r="C7" i="63"/>
  <c r="H44" i="66"/>
  <c r="H44" i="74" s="1"/>
  <c r="H453" i="37"/>
  <c r="H221" i="66"/>
  <c r="I450" i="58"/>
  <c r="H260" i="66"/>
  <c r="J441" i="58"/>
  <c r="H101" i="66"/>
  <c r="H101" i="74" s="1"/>
  <c r="J443" i="37"/>
  <c r="H184" i="41"/>
  <c r="H265" i="66"/>
  <c r="J442" i="58"/>
  <c r="I469" i="41"/>
  <c r="H452" i="58"/>
  <c r="H162" i="66"/>
  <c r="E389" i="38"/>
  <c r="H48" i="66"/>
  <c r="H447" i="37"/>
  <c r="E391" i="38"/>
  <c r="J452" i="58"/>
  <c r="H258" i="66"/>
  <c r="H440" i="58"/>
  <c r="H170" i="66"/>
  <c r="H126" i="66"/>
  <c r="J445" i="37"/>
  <c r="H20" i="66"/>
  <c r="H20" i="74" s="1"/>
  <c r="H441" i="37"/>
  <c r="H136" i="66"/>
  <c r="H136" i="74" s="1"/>
  <c r="J446" i="37"/>
  <c r="J313" i="58"/>
  <c r="I304" i="58"/>
  <c r="H196" i="58"/>
  <c r="H173" i="58"/>
  <c r="I443" i="37"/>
  <c r="H53" i="66"/>
  <c r="H450" i="37"/>
  <c r="H29" i="66"/>
  <c r="H155" i="66"/>
  <c r="H451" i="58"/>
  <c r="H77" i="66"/>
  <c r="H77" i="74" s="1"/>
  <c r="I450" i="37"/>
  <c r="H116" i="66"/>
  <c r="H116" i="74" s="1"/>
  <c r="J441" i="37"/>
  <c r="J443" i="58"/>
  <c r="H245" i="66"/>
  <c r="H121" i="66"/>
  <c r="J442" i="37"/>
  <c r="H447" i="58"/>
  <c r="H192" i="66"/>
  <c r="H114" i="66"/>
  <c r="H114" i="74" s="1"/>
  <c r="E388" i="38"/>
  <c r="J452" i="37"/>
  <c r="H440" i="37"/>
  <c r="H26" i="66"/>
  <c r="J445" i="58"/>
  <c r="H270" i="66"/>
  <c r="H96" i="66"/>
  <c r="H96" i="74" s="1"/>
  <c r="I447" i="37"/>
  <c r="H17" i="66"/>
  <c r="H449" i="37"/>
  <c r="H262" i="66"/>
  <c r="J454" i="58"/>
  <c r="H118" i="66"/>
  <c r="J454" i="37"/>
  <c r="H140" i="66"/>
  <c r="H140" i="74" s="1"/>
  <c r="AC140" i="74" s="1"/>
  <c r="AD140" i="74" s="1"/>
  <c r="J453" i="37"/>
  <c r="J11" i="58"/>
  <c r="I11" i="58"/>
  <c r="H11" i="58"/>
  <c r="H161" i="66"/>
  <c r="H449" i="58"/>
  <c r="I378" i="58"/>
  <c r="H78" i="66"/>
  <c r="I445" i="37"/>
  <c r="I441" i="58"/>
  <c r="H212" i="66"/>
  <c r="E359" i="38"/>
  <c r="I478" i="41"/>
  <c r="E382" i="38"/>
  <c r="E380" i="38"/>
  <c r="E381" i="38"/>
  <c r="J478" i="58"/>
  <c r="E383" i="38" s="1"/>
  <c r="J478" i="37"/>
  <c r="H70" i="66"/>
  <c r="I454" i="37"/>
  <c r="H257" i="66"/>
  <c r="J449" i="58"/>
  <c r="H269" i="66"/>
  <c r="J450" i="58"/>
  <c r="J463" i="41"/>
  <c r="H32" i="66"/>
  <c r="H32" i="74" s="1"/>
  <c r="H448" i="37"/>
  <c r="H284" i="66"/>
  <c r="J453" i="58"/>
  <c r="G11" i="41"/>
  <c r="H92" i="66"/>
  <c r="I453" i="37"/>
  <c r="H460" i="41"/>
  <c r="J473" i="41"/>
  <c r="I445" i="58"/>
  <c r="H222" i="66"/>
  <c r="H73" i="66"/>
  <c r="I442" i="37"/>
  <c r="H68" i="66"/>
  <c r="I441" i="37"/>
  <c r="E357" i="38"/>
  <c r="I476" i="41"/>
  <c r="H444" i="58"/>
  <c r="H186" i="66"/>
  <c r="G13" i="41"/>
  <c r="H234" i="66"/>
  <c r="I444" i="58"/>
  <c r="C17" i="63"/>
  <c r="I8" i="41"/>
  <c r="E387" i="38"/>
  <c r="H66" i="66"/>
  <c r="I452" i="37"/>
  <c r="I449" i="37"/>
  <c r="H65" i="66"/>
  <c r="H236" i="66"/>
  <c r="I453" i="58"/>
  <c r="H450" i="58"/>
  <c r="H173" i="66"/>
  <c r="I475" i="41"/>
  <c r="E356" i="38"/>
  <c r="H311" i="58"/>
  <c r="J8" i="58"/>
  <c r="H144" i="66"/>
  <c r="J447" i="37"/>
  <c r="G12" i="41"/>
  <c r="H217" i="66"/>
  <c r="I442" i="58"/>
  <c r="H149" i="66"/>
  <c r="H443" i="58"/>
  <c r="H128" i="66"/>
  <c r="J448" i="37"/>
  <c r="H42" i="66"/>
  <c r="H42" i="74" s="1"/>
  <c r="H444" i="37"/>
  <c r="I13" i="58"/>
  <c r="J13" i="58"/>
  <c r="H13" i="58"/>
  <c r="H90" i="66"/>
  <c r="H90" i="74" s="1"/>
  <c r="I444" i="37"/>
  <c r="E259" i="38"/>
  <c r="E214" i="38"/>
  <c r="J460" i="41"/>
  <c r="C47" i="63"/>
  <c r="H210" i="66"/>
  <c r="I452" i="58"/>
  <c r="E390" i="38"/>
  <c r="H473" i="41"/>
  <c r="H209" i="66"/>
  <c r="I449" i="58"/>
  <c r="H458" i="41"/>
  <c r="H197" i="66"/>
  <c r="I443" i="58"/>
  <c r="H214" i="66"/>
  <c r="I454" i="58"/>
  <c r="I440" i="37"/>
  <c r="J251" i="58"/>
  <c r="J287" i="58"/>
  <c r="I277" i="58"/>
  <c r="I463" i="41"/>
  <c r="H288" i="66"/>
  <c r="J447" i="58"/>
  <c r="J12" i="58"/>
  <c r="H12" i="58"/>
  <c r="I12" i="58"/>
  <c r="H88" i="66"/>
  <c r="H88" i="74" s="1"/>
  <c r="I446" i="37"/>
  <c r="H443" i="37"/>
  <c r="H5" i="66"/>
  <c r="H5" i="74" s="1"/>
  <c r="H272" i="66"/>
  <c r="J448" i="58"/>
  <c r="H80" i="66"/>
  <c r="H80" i="74" s="1"/>
  <c r="I448" i="37"/>
  <c r="H22" i="66"/>
  <c r="H22" i="74" s="1"/>
  <c r="H454" i="37"/>
  <c r="J468" i="41"/>
  <c r="H446" i="37"/>
  <c r="H40" i="66"/>
  <c r="H174" i="66"/>
  <c r="H445" i="58"/>
  <c r="H138" i="66"/>
  <c r="H138" i="74" s="1"/>
  <c r="J444" i="37"/>
  <c r="I460" i="41"/>
  <c r="H469" i="41"/>
  <c r="I472" i="41"/>
  <c r="I462" i="41"/>
  <c r="I473" i="41"/>
  <c r="AA12" i="66" l="1"/>
  <c r="AA156" i="66"/>
  <c r="Z12" i="66"/>
  <c r="O220" i="66"/>
  <c r="H65" i="74"/>
  <c r="H17" i="74"/>
  <c r="Z156" i="66"/>
  <c r="H48" i="74"/>
  <c r="AC48" i="74" s="1"/>
  <c r="AD48" i="74" s="1"/>
  <c r="H25" i="74"/>
  <c r="G16" i="39"/>
  <c r="H108" i="74"/>
  <c r="H102" i="74"/>
  <c r="O172" i="66"/>
  <c r="H142" i="74"/>
  <c r="AB220" i="66"/>
  <c r="AC220" i="66" s="1"/>
  <c r="AB202" i="66"/>
  <c r="AC202" i="66" s="1"/>
  <c r="G14" i="39"/>
  <c r="H76" i="74"/>
  <c r="AC12" i="74"/>
  <c r="AD12" i="74" s="1"/>
  <c r="O12" i="74"/>
  <c r="O140" i="74"/>
  <c r="AA140" i="74" s="1"/>
  <c r="H128" i="74"/>
  <c r="H118" i="74"/>
  <c r="O202" i="66"/>
  <c r="H124" i="74"/>
  <c r="O44" i="74"/>
  <c r="AA44" i="74" s="1"/>
  <c r="AC44" i="74"/>
  <c r="AD44" i="74" s="1"/>
  <c r="O48" i="74"/>
  <c r="P48" i="74" s="1"/>
  <c r="H78" i="74"/>
  <c r="H29" i="74"/>
  <c r="H106" i="74"/>
  <c r="H40" i="74"/>
  <c r="H92" i="74"/>
  <c r="H70" i="74"/>
  <c r="H126" i="74"/>
  <c r="H53" i="74"/>
  <c r="H125" i="74"/>
  <c r="AC125" i="74" s="1"/>
  <c r="AD125" i="74" s="1"/>
  <c r="H10" i="74"/>
  <c r="H121" i="74"/>
  <c r="AA190" i="66"/>
  <c r="H144" i="74"/>
  <c r="O144" i="74" s="1"/>
  <c r="P144" i="74" s="1"/>
  <c r="H68" i="74"/>
  <c r="H113" i="74"/>
  <c r="AC46" i="74"/>
  <c r="AD46" i="74" s="1"/>
  <c r="O46" i="74"/>
  <c r="AC22" i="74"/>
  <c r="O22" i="74"/>
  <c r="AA22" i="74" s="1"/>
  <c r="H66" i="74"/>
  <c r="O32" i="74"/>
  <c r="P32" i="74" s="1"/>
  <c r="AC32" i="74"/>
  <c r="H30" i="74"/>
  <c r="H54" i="74"/>
  <c r="O154" i="66"/>
  <c r="P154" i="66" s="1"/>
  <c r="R154" i="66" s="1"/>
  <c r="H28" i="74"/>
  <c r="H73" i="74"/>
  <c r="H26" i="74"/>
  <c r="H11" i="74"/>
  <c r="L76" i="66"/>
  <c r="L76" i="74" s="1"/>
  <c r="L250" i="66"/>
  <c r="O250" i="66" s="1"/>
  <c r="L268" i="66"/>
  <c r="O268" i="66" s="1"/>
  <c r="L286" i="66"/>
  <c r="O286" i="66" s="1"/>
  <c r="L252" i="66"/>
  <c r="O252" i="66" s="1"/>
  <c r="G175" i="66"/>
  <c r="AB175" i="66" s="1"/>
  <c r="AC175" i="66" s="1"/>
  <c r="L94" i="66"/>
  <c r="L94" i="74" s="1"/>
  <c r="L58" i="66"/>
  <c r="L58" i="74" s="1"/>
  <c r="H215" i="66"/>
  <c r="L60" i="66"/>
  <c r="L60" i="74" s="1"/>
  <c r="AA154" i="66"/>
  <c r="AA28" i="66"/>
  <c r="AB76" i="66"/>
  <c r="AC76" i="66" s="1"/>
  <c r="AB272" i="66"/>
  <c r="AC272" i="66" s="1"/>
  <c r="AB144" i="66"/>
  <c r="AC144" i="66" s="1"/>
  <c r="AB269" i="66"/>
  <c r="AC269" i="66" s="1"/>
  <c r="AB173" i="66"/>
  <c r="AC173" i="66" s="1"/>
  <c r="AB118" i="66"/>
  <c r="AC118" i="66" s="1"/>
  <c r="AB166" i="66"/>
  <c r="AC166" i="66" s="1"/>
  <c r="AA172" i="66"/>
  <c r="AB58" i="66"/>
  <c r="AC58" i="66" s="1"/>
  <c r="AB128" i="66"/>
  <c r="AC128" i="66" s="1"/>
  <c r="AB44" i="66"/>
  <c r="AC44" i="66" s="1"/>
  <c r="AB48" i="66"/>
  <c r="AC48" i="66" s="1"/>
  <c r="AB262" i="66"/>
  <c r="AC262" i="66" s="1"/>
  <c r="AB192" i="66"/>
  <c r="AC192" i="66" s="1"/>
  <c r="AB29" i="66"/>
  <c r="AC29" i="66" s="1"/>
  <c r="AB94" i="66"/>
  <c r="AC94" i="66" s="1"/>
  <c r="AB268" i="66"/>
  <c r="AC268" i="66" s="1"/>
  <c r="AB125" i="66"/>
  <c r="AC125" i="66" s="1"/>
  <c r="AB140" i="66"/>
  <c r="AC140" i="66" s="1"/>
  <c r="AB22" i="66"/>
  <c r="AC22" i="66" s="1"/>
  <c r="AB284" i="66"/>
  <c r="AC284" i="66" s="1"/>
  <c r="AB188" i="66"/>
  <c r="AC188" i="66" s="1"/>
  <c r="AB286" i="66"/>
  <c r="AC286" i="66" s="1"/>
  <c r="AB288" i="66"/>
  <c r="AC288" i="66" s="1"/>
  <c r="P28" i="66"/>
  <c r="R28" i="66" s="1"/>
  <c r="AB32" i="66"/>
  <c r="AC32" i="66" s="1"/>
  <c r="AB176" i="66"/>
  <c r="AC176" i="66" s="1"/>
  <c r="Z28" i="66"/>
  <c r="AA10" i="66"/>
  <c r="Z154" i="66"/>
  <c r="Z10" i="66"/>
  <c r="P10" i="66"/>
  <c r="R10" i="66" s="1"/>
  <c r="P172" i="66"/>
  <c r="R172" i="66" s="1"/>
  <c r="P190" i="66"/>
  <c r="R190" i="66" s="1"/>
  <c r="Z172" i="66"/>
  <c r="P46" i="66"/>
  <c r="R46" i="66" s="1"/>
  <c r="AA46" i="66"/>
  <c r="Z46" i="66"/>
  <c r="Z190" i="66"/>
  <c r="O44" i="66"/>
  <c r="AA44" i="66" s="1"/>
  <c r="F13" i="39"/>
  <c r="O125" i="66"/>
  <c r="F14" i="39"/>
  <c r="F12" i="39"/>
  <c r="O262" i="66"/>
  <c r="O22" i="66"/>
  <c r="O284" i="66"/>
  <c r="O188" i="66"/>
  <c r="F16" i="39"/>
  <c r="O192" i="66"/>
  <c r="O32" i="66"/>
  <c r="AA32" i="66" s="1"/>
  <c r="O176" i="66"/>
  <c r="O29" i="66"/>
  <c r="Z29" i="66" s="1"/>
  <c r="O288" i="66"/>
  <c r="O175" i="66"/>
  <c r="O272" i="66"/>
  <c r="O140" i="66"/>
  <c r="O48" i="66"/>
  <c r="O269" i="66"/>
  <c r="O173" i="66"/>
  <c r="O118" i="66"/>
  <c r="AA118" i="66" s="1"/>
  <c r="O166" i="66"/>
  <c r="H424" i="37"/>
  <c r="H423" i="37"/>
  <c r="O58" i="66"/>
  <c r="O76" i="66"/>
  <c r="Z220" i="66" s="1"/>
  <c r="G27" i="39"/>
  <c r="O60" i="66"/>
  <c r="P204" i="66" s="1"/>
  <c r="R204" i="66" s="1"/>
  <c r="S204" i="66" s="1"/>
  <c r="U204" i="66" s="1"/>
  <c r="G28" i="39"/>
  <c r="O94" i="66"/>
  <c r="Z238" i="66" s="1"/>
  <c r="N66" i="66"/>
  <c r="N210" i="66"/>
  <c r="N170" i="66"/>
  <c r="N26" i="66"/>
  <c r="H71" i="66"/>
  <c r="I446" i="41"/>
  <c r="H74" i="66"/>
  <c r="I440" i="58"/>
  <c r="I440" i="41" s="1"/>
  <c r="H218" i="66"/>
  <c r="J441" i="41"/>
  <c r="R156" i="66"/>
  <c r="R12" i="66"/>
  <c r="H446" i="41"/>
  <c r="H440" i="41"/>
  <c r="I450" i="41"/>
  <c r="I448" i="41"/>
  <c r="I447" i="41"/>
  <c r="H454" i="41"/>
  <c r="H441" i="41"/>
  <c r="H444" i="41"/>
  <c r="J442" i="41"/>
  <c r="I442" i="41"/>
  <c r="H196" i="41"/>
  <c r="J453" i="41"/>
  <c r="I444" i="41"/>
  <c r="J454" i="41"/>
  <c r="H311" i="41"/>
  <c r="H453" i="41"/>
  <c r="J446" i="41"/>
  <c r="I334" i="41"/>
  <c r="H173" i="41"/>
  <c r="H445" i="41"/>
  <c r="J313" i="41"/>
  <c r="J450" i="41"/>
  <c r="I449" i="41"/>
  <c r="J251" i="41"/>
  <c r="I445" i="41"/>
  <c r="J444" i="41"/>
  <c r="I304" i="41"/>
  <c r="H272" i="41"/>
  <c r="H306" i="58"/>
  <c r="H386" i="58"/>
  <c r="J348" i="58"/>
  <c r="H408" i="58"/>
  <c r="H340" i="58"/>
  <c r="H257" i="58"/>
  <c r="H396" i="58"/>
  <c r="I228" i="58"/>
  <c r="H253" i="58"/>
  <c r="H274" i="58"/>
  <c r="H301" i="58"/>
  <c r="H367" i="58"/>
  <c r="H392" i="58"/>
  <c r="I249" i="58"/>
  <c r="H229" i="58"/>
  <c r="I165" i="58"/>
  <c r="I358" i="58"/>
  <c r="H369" i="58"/>
  <c r="H390" i="58"/>
  <c r="H144" i="58"/>
  <c r="H283" i="58"/>
  <c r="H170" i="58"/>
  <c r="H285" i="58"/>
  <c r="H218" i="58"/>
  <c r="H374" i="58"/>
  <c r="J176" i="58"/>
  <c r="I166" i="58"/>
  <c r="J227" i="58"/>
  <c r="H335" i="58"/>
  <c r="J287" i="41"/>
  <c r="H448" i="41"/>
  <c r="E365" i="38"/>
  <c r="J478" i="41"/>
  <c r="N257" i="66"/>
  <c r="J492" i="58"/>
  <c r="J491" i="58"/>
  <c r="J490" i="58"/>
  <c r="I416" i="41"/>
  <c r="J449" i="41"/>
  <c r="H260" i="58"/>
  <c r="H191" i="58"/>
  <c r="H388" i="58"/>
  <c r="I176" i="58"/>
  <c r="I347" i="58"/>
  <c r="J165" i="58"/>
  <c r="J405" i="58"/>
  <c r="J249" i="58"/>
  <c r="H150" i="58"/>
  <c r="J167" i="58"/>
  <c r="H336" i="58"/>
  <c r="H230" i="58"/>
  <c r="H275" i="58"/>
  <c r="H182" i="58"/>
  <c r="J303" i="58"/>
  <c r="H159" i="58"/>
  <c r="J143" i="58"/>
  <c r="H154" i="58"/>
  <c r="J175" i="58"/>
  <c r="H197" i="58"/>
  <c r="H219" i="58"/>
  <c r="I405" i="58"/>
  <c r="H312" i="58"/>
  <c r="H153" i="58"/>
  <c r="H245" i="58"/>
  <c r="J312" i="58"/>
  <c r="I174" i="58"/>
  <c r="I238" i="58"/>
  <c r="J207" i="58"/>
  <c r="J228" i="58"/>
  <c r="H279" i="58"/>
  <c r="J370" i="58"/>
  <c r="H321" i="58"/>
  <c r="J388" i="58"/>
  <c r="I191" i="58"/>
  <c r="H360" i="58"/>
  <c r="J296" i="58"/>
  <c r="H244" i="58"/>
  <c r="I250" i="58"/>
  <c r="H366" i="58"/>
  <c r="J389" i="58"/>
  <c r="J190" i="58"/>
  <c r="H141" i="58"/>
  <c r="I278" i="58"/>
  <c r="H416" i="58"/>
  <c r="J277" i="58"/>
  <c r="I407" i="58"/>
  <c r="J217" i="58"/>
  <c r="H405" i="58"/>
  <c r="H326" i="58"/>
  <c r="H188" i="58"/>
  <c r="H243" i="58"/>
  <c r="H223" i="58"/>
  <c r="H216" i="58"/>
  <c r="H158" i="58"/>
  <c r="J360" i="58"/>
  <c r="J144" i="58"/>
  <c r="H235" i="58"/>
  <c r="H155" i="58"/>
  <c r="H303" i="58"/>
  <c r="H166" i="58"/>
  <c r="H263" i="58"/>
  <c r="H413" i="58"/>
  <c r="H266" i="58"/>
  <c r="H418" i="58"/>
  <c r="I207" i="58"/>
  <c r="H210" i="58"/>
  <c r="J396" i="58"/>
  <c r="I345" i="58"/>
  <c r="H187" i="58"/>
  <c r="I312" i="58"/>
  <c r="H309" i="58"/>
  <c r="J154" i="58"/>
  <c r="I142" i="58"/>
  <c r="I237" i="58"/>
  <c r="H201" i="58"/>
  <c r="J239" i="58"/>
  <c r="I359" i="58"/>
  <c r="H292" i="58"/>
  <c r="I209" i="58"/>
  <c r="I259" i="58"/>
  <c r="H403" i="58"/>
  <c r="H316" i="58"/>
  <c r="H370" i="58"/>
  <c r="H247" i="58"/>
  <c r="H176" i="58"/>
  <c r="I200" i="58"/>
  <c r="H163" i="58"/>
  <c r="H349" i="58"/>
  <c r="H327" i="58"/>
  <c r="H225" i="58"/>
  <c r="H220" i="58"/>
  <c r="I380" i="58"/>
  <c r="H328" i="58"/>
  <c r="H296" i="58"/>
  <c r="H217" i="58"/>
  <c r="H143" i="58"/>
  <c r="H364" i="58"/>
  <c r="H411" i="58"/>
  <c r="J347" i="58"/>
  <c r="J406" i="58"/>
  <c r="I396" i="58"/>
  <c r="H308" i="58"/>
  <c r="I277" i="41"/>
  <c r="N209" i="66"/>
  <c r="I490" i="58"/>
  <c r="I491" i="58"/>
  <c r="I492" i="58"/>
  <c r="J447" i="41"/>
  <c r="J13" i="41"/>
  <c r="H450" i="41"/>
  <c r="H447" i="41"/>
  <c r="J443" i="41"/>
  <c r="N17" i="66"/>
  <c r="H491" i="37"/>
  <c r="H492" i="37"/>
  <c r="H490" i="37"/>
  <c r="H194" i="58"/>
  <c r="H151" i="58"/>
  <c r="H258" i="58"/>
  <c r="I294" i="58"/>
  <c r="H397" i="58"/>
  <c r="H313" i="58"/>
  <c r="H348" i="58"/>
  <c r="H161" i="58"/>
  <c r="H421" i="58"/>
  <c r="H391" i="58"/>
  <c r="H186" i="58"/>
  <c r="H355" i="58"/>
  <c r="H305" i="58"/>
  <c r="H209" i="58"/>
  <c r="H417" i="58"/>
  <c r="I397" i="58"/>
  <c r="H320" i="58"/>
  <c r="H221" i="58"/>
  <c r="H383" i="58"/>
  <c r="J407" i="58"/>
  <c r="H319" i="58"/>
  <c r="H307" i="58"/>
  <c r="I370" i="58"/>
  <c r="I360" i="58"/>
  <c r="H288" i="58"/>
  <c r="H213" i="58"/>
  <c r="H414" i="58"/>
  <c r="H180" i="58"/>
  <c r="H273" i="58"/>
  <c r="J369" i="58"/>
  <c r="I387" i="58"/>
  <c r="I258" i="58"/>
  <c r="I414" i="58"/>
  <c r="H361" i="58"/>
  <c r="H291" i="58"/>
  <c r="I225" i="58"/>
  <c r="J142" i="58"/>
  <c r="H342" i="58"/>
  <c r="J414" i="58"/>
  <c r="H377" i="58"/>
  <c r="H200" i="58"/>
  <c r="H353" i="58"/>
  <c r="J166" i="58"/>
  <c r="I199" i="58"/>
  <c r="J304" i="58"/>
  <c r="H255" i="58"/>
  <c r="H142" i="58"/>
  <c r="H304" i="58"/>
  <c r="H251" i="58"/>
  <c r="J415" i="58"/>
  <c r="J199" i="58"/>
  <c r="H199" i="58"/>
  <c r="H352" i="58"/>
  <c r="H398" i="58"/>
  <c r="H332" i="58"/>
  <c r="H224" i="58"/>
  <c r="J295" i="58"/>
  <c r="I371" i="58"/>
  <c r="H256" i="58"/>
  <c r="H212" i="58"/>
  <c r="H330" i="58"/>
  <c r="H249" i="58"/>
  <c r="I346" i="58"/>
  <c r="J378" i="58"/>
  <c r="I313" i="58"/>
  <c r="J218" i="58"/>
  <c r="H12" i="41"/>
  <c r="E229" i="38"/>
  <c r="E274" i="38"/>
  <c r="O144" i="66"/>
  <c r="H13" i="41"/>
  <c r="I441" i="41"/>
  <c r="I11" i="41"/>
  <c r="E363" i="38"/>
  <c r="J476" i="41"/>
  <c r="Z192" i="66"/>
  <c r="H451" i="41"/>
  <c r="H412" i="58"/>
  <c r="J260" i="58"/>
  <c r="I305" i="58"/>
  <c r="H264" i="58"/>
  <c r="H371" i="58"/>
  <c r="H375" i="58"/>
  <c r="J191" i="58"/>
  <c r="H202" i="58"/>
  <c r="J305" i="58"/>
  <c r="I323" i="58"/>
  <c r="H378" i="58"/>
  <c r="H401" i="58"/>
  <c r="J380" i="58"/>
  <c r="H372" i="58"/>
  <c r="J358" i="58"/>
  <c r="I369" i="58"/>
  <c r="I198" i="58"/>
  <c r="J321" i="58"/>
  <c r="H334" i="58"/>
  <c r="J335" i="58"/>
  <c r="H248" i="58"/>
  <c r="H259" i="58"/>
  <c r="I268" i="58"/>
  <c r="I389" i="58"/>
  <c r="H299" i="58"/>
  <c r="J200" i="58"/>
  <c r="H236" i="58"/>
  <c r="H179" i="58"/>
  <c r="H406" i="58"/>
  <c r="H363" i="58"/>
  <c r="H410" i="58"/>
  <c r="I208" i="58"/>
  <c r="J334" i="58"/>
  <c r="J208" i="58"/>
  <c r="I287" i="58"/>
  <c r="AA166" i="66"/>
  <c r="AA22" i="66"/>
  <c r="Z22" i="66"/>
  <c r="H59" i="66"/>
  <c r="I451" i="37"/>
  <c r="J448" i="41"/>
  <c r="I13" i="41"/>
  <c r="H11" i="41"/>
  <c r="I454" i="41"/>
  <c r="H449" i="41"/>
  <c r="I443" i="41"/>
  <c r="N161" i="66"/>
  <c r="H490" i="58"/>
  <c r="H492" i="58"/>
  <c r="H491" i="58"/>
  <c r="H452" i="41"/>
  <c r="H252" i="58"/>
  <c r="H368" i="58"/>
  <c r="H337" i="58"/>
  <c r="I388" i="58"/>
  <c r="I217" i="58"/>
  <c r="I295" i="58"/>
  <c r="H261" i="58"/>
  <c r="H246" i="58"/>
  <c r="J250" i="58"/>
  <c r="J286" i="58"/>
  <c r="H395" i="58"/>
  <c r="H409" i="58"/>
  <c r="H333" i="58"/>
  <c r="J359" i="58"/>
  <c r="H149" i="58"/>
  <c r="H325" i="58"/>
  <c r="J276" i="58"/>
  <c r="H381" i="58"/>
  <c r="I276" i="58"/>
  <c r="J174" i="58"/>
  <c r="H318" i="58"/>
  <c r="J225" i="58"/>
  <c r="J153" i="58"/>
  <c r="J387" i="58"/>
  <c r="I322" i="58"/>
  <c r="H384" i="58"/>
  <c r="H373" i="58"/>
  <c r="H271" i="58"/>
  <c r="H178" i="58"/>
  <c r="H387" i="58"/>
  <c r="H168" i="58"/>
  <c r="H277" i="58"/>
  <c r="H250" i="58"/>
  <c r="J278" i="58"/>
  <c r="J398" i="58"/>
  <c r="H346" i="58"/>
  <c r="H240" i="58"/>
  <c r="H290" i="58"/>
  <c r="H347" i="58"/>
  <c r="H297" i="58"/>
  <c r="H198" i="58"/>
  <c r="H167" i="58"/>
  <c r="I314" i="58"/>
  <c r="H420" i="58"/>
  <c r="H165" i="58"/>
  <c r="H317" i="58"/>
  <c r="I155" i="58"/>
  <c r="H380" i="58"/>
  <c r="H238" i="58"/>
  <c r="H400" i="58"/>
  <c r="H189" i="58"/>
  <c r="H351" i="58"/>
  <c r="H365" i="58"/>
  <c r="J345" i="58"/>
  <c r="I333" i="58"/>
  <c r="J285" i="58"/>
  <c r="I285" i="58"/>
  <c r="H233" i="58"/>
  <c r="J198" i="58"/>
  <c r="I226" i="58"/>
  <c r="J238" i="58"/>
  <c r="J294" i="58"/>
  <c r="H192" i="58"/>
  <c r="J141" i="58"/>
  <c r="J333" i="58"/>
  <c r="H302" i="58"/>
  <c r="H265" i="58"/>
  <c r="H203" i="58"/>
  <c r="H385" i="58"/>
  <c r="H278" i="58"/>
  <c r="H226" i="58"/>
  <c r="H415" i="58"/>
  <c r="J336" i="58"/>
  <c r="H215" i="58"/>
  <c r="J397" i="58"/>
  <c r="H295" i="58"/>
  <c r="H241" i="58"/>
  <c r="I175" i="58"/>
  <c r="I218" i="58"/>
  <c r="H190" i="58"/>
  <c r="H343" i="58"/>
  <c r="J323" i="58"/>
  <c r="I260" i="58"/>
  <c r="H162" i="58"/>
  <c r="H358" i="58"/>
  <c r="H422" i="58"/>
  <c r="I286" i="58"/>
  <c r="H362" i="58"/>
  <c r="I324" i="58"/>
  <c r="H169" i="58"/>
  <c r="I406" i="58"/>
  <c r="J240" i="58"/>
  <c r="O128" i="66"/>
  <c r="J8" i="41"/>
  <c r="C27" i="63"/>
  <c r="J11" i="41"/>
  <c r="E364" i="38"/>
  <c r="J477" i="41"/>
  <c r="J452" i="41"/>
  <c r="H426" i="41"/>
  <c r="G31" i="66"/>
  <c r="G31" i="74" s="1"/>
  <c r="I251" i="41"/>
  <c r="H404" i="58"/>
  <c r="H354" i="58"/>
  <c r="H276" i="58"/>
  <c r="I415" i="58"/>
  <c r="H234" i="58"/>
  <c r="H242" i="58"/>
  <c r="H402" i="58"/>
  <c r="H359" i="58"/>
  <c r="H356" i="58"/>
  <c r="H419" i="58"/>
  <c r="J155" i="58"/>
  <c r="I348" i="58"/>
  <c r="H157" i="58"/>
  <c r="H357" i="58"/>
  <c r="H393" i="58"/>
  <c r="H300" i="58"/>
  <c r="I398" i="58"/>
  <c r="H407" i="58"/>
  <c r="H344" i="58"/>
  <c r="I269" i="58"/>
  <c r="H389" i="58"/>
  <c r="H239" i="58"/>
  <c r="H379" i="58"/>
  <c r="H284" i="58"/>
  <c r="H228" i="58"/>
  <c r="H145" i="58"/>
  <c r="J209" i="58"/>
  <c r="I227" i="58"/>
  <c r="H206" i="58"/>
  <c r="H211" i="58"/>
  <c r="J324" i="58"/>
  <c r="J346" i="58"/>
  <c r="H185" i="58"/>
  <c r="H203" i="66"/>
  <c r="I451" i="58"/>
  <c r="I12" i="41"/>
  <c r="C57" i="63"/>
  <c r="I453" i="41"/>
  <c r="N113" i="66"/>
  <c r="N113" i="74" s="1"/>
  <c r="J490" i="37"/>
  <c r="J491" i="37"/>
  <c r="J492" i="37"/>
  <c r="J445" i="41"/>
  <c r="I426" i="58"/>
  <c r="H442" i="41"/>
  <c r="H339" i="58"/>
  <c r="H174" i="58"/>
  <c r="I167" i="58"/>
  <c r="H214" i="58"/>
  <c r="J189" i="58"/>
  <c r="I267" i="58"/>
  <c r="H280" i="58"/>
  <c r="H193" i="58"/>
  <c r="J371" i="58"/>
  <c r="H262" i="58"/>
  <c r="J267" i="58"/>
  <c r="H350" i="58"/>
  <c r="H227" i="58"/>
  <c r="H231" i="58"/>
  <c r="J379" i="58"/>
  <c r="H267" i="58"/>
  <c r="H323" i="58"/>
  <c r="H289" i="58"/>
  <c r="H146" i="58"/>
  <c r="I144" i="58"/>
  <c r="H294" i="58"/>
  <c r="I321" i="58"/>
  <c r="J357" i="58"/>
  <c r="J258" i="58"/>
  <c r="I216" i="58"/>
  <c r="J226" i="58"/>
  <c r="H177" i="58"/>
  <c r="J322" i="58"/>
  <c r="I154" i="58"/>
  <c r="I153" i="58"/>
  <c r="I335" i="58"/>
  <c r="H329" i="58"/>
  <c r="H254" i="58"/>
  <c r="I296" i="58"/>
  <c r="J259" i="58"/>
  <c r="H195" i="58"/>
  <c r="H181" i="58"/>
  <c r="J416" i="58"/>
  <c r="H338" i="58"/>
  <c r="H341" i="58"/>
  <c r="I379" i="58"/>
  <c r="H331" i="58"/>
  <c r="H204" i="58"/>
  <c r="H269" i="58"/>
  <c r="I143" i="58"/>
  <c r="H322" i="58"/>
  <c r="H232" i="58"/>
  <c r="H394" i="58"/>
  <c r="I336" i="58"/>
  <c r="H293" i="58"/>
  <c r="H298" i="58"/>
  <c r="H282" i="58"/>
  <c r="I303" i="58"/>
  <c r="J216" i="58"/>
  <c r="I189" i="58"/>
  <c r="I357" i="58"/>
  <c r="H345" i="58"/>
  <c r="H399" i="58"/>
  <c r="J237" i="58"/>
  <c r="I141" i="58"/>
  <c r="I239" i="58"/>
  <c r="H147" i="58"/>
  <c r="H171" i="58"/>
  <c r="H324" i="58"/>
  <c r="H310" i="58"/>
  <c r="H237" i="58"/>
  <c r="H376" i="58"/>
  <c r="H268" i="58"/>
  <c r="J269" i="58"/>
  <c r="I190" i="58"/>
  <c r="H270" i="58"/>
  <c r="J268" i="58"/>
  <c r="J314" i="58"/>
  <c r="H207" i="58"/>
  <c r="H382" i="58"/>
  <c r="H286" i="58"/>
  <c r="H172" i="58"/>
  <c r="H287" i="58"/>
  <c r="H222" i="58"/>
  <c r="H175" i="58"/>
  <c r="H281" i="58"/>
  <c r="H314" i="58"/>
  <c r="H205" i="58"/>
  <c r="H208" i="58"/>
  <c r="I240" i="58"/>
  <c r="H315" i="58"/>
  <c r="H443" i="41"/>
  <c r="J12" i="41"/>
  <c r="N65" i="66"/>
  <c r="I490" i="37"/>
  <c r="I491" i="37"/>
  <c r="I492" i="37"/>
  <c r="E362" i="38"/>
  <c r="J475" i="41"/>
  <c r="I378" i="41"/>
  <c r="Z140" i="66"/>
  <c r="Z284" i="66"/>
  <c r="AA140" i="66"/>
  <c r="AA284" i="66"/>
  <c r="H71" i="74" l="1"/>
  <c r="AB252" i="66"/>
  <c r="AC252" i="66" s="1"/>
  <c r="Z140" i="74"/>
  <c r="N17" i="74"/>
  <c r="AB60" i="66"/>
  <c r="AC60" i="66" s="1"/>
  <c r="Z22" i="74"/>
  <c r="N66" i="74"/>
  <c r="AC144" i="74"/>
  <c r="AD144" i="74" s="1"/>
  <c r="Z32" i="74"/>
  <c r="AA188" i="66"/>
  <c r="Z188" i="66"/>
  <c r="P202" i="66"/>
  <c r="R202" i="66" s="1"/>
  <c r="S202" i="66" s="1"/>
  <c r="U202" i="66" s="1"/>
  <c r="Z32" i="66"/>
  <c r="O125" i="74"/>
  <c r="AA125" i="74" s="1"/>
  <c r="AA32" i="74"/>
  <c r="AA176" i="66"/>
  <c r="AD22" i="74"/>
  <c r="P32" i="66"/>
  <c r="R32" i="66" s="1"/>
  <c r="P176" i="66"/>
  <c r="AD32" i="74"/>
  <c r="B12" i="75" s="1"/>
  <c r="E12" i="75" s="1"/>
  <c r="B27" i="75"/>
  <c r="E27" i="75" s="1"/>
  <c r="H59" i="74"/>
  <c r="H74" i="74"/>
  <c r="Z44" i="74"/>
  <c r="P46" i="74"/>
  <c r="AA46" i="74"/>
  <c r="Z46" i="74"/>
  <c r="O118" i="74"/>
  <c r="AC118" i="74"/>
  <c r="O128" i="74"/>
  <c r="AC128" i="74"/>
  <c r="N26" i="74"/>
  <c r="O28" i="74"/>
  <c r="AC28" i="74"/>
  <c r="AD28" i="74" s="1"/>
  <c r="P12" i="74"/>
  <c r="AA12" i="74"/>
  <c r="Z12" i="74"/>
  <c r="AC29" i="74"/>
  <c r="AD29" i="74" s="1"/>
  <c r="O29" i="74"/>
  <c r="AA29" i="74" s="1"/>
  <c r="N65" i="74"/>
  <c r="AC31" i="74"/>
  <c r="O31" i="74"/>
  <c r="AB250" i="66"/>
  <c r="AC250" i="66" s="1"/>
  <c r="O10" i="74"/>
  <c r="AC10" i="74"/>
  <c r="AD10" i="74" s="1"/>
  <c r="G203" i="66"/>
  <c r="G223" i="66"/>
  <c r="O223" i="66" s="1"/>
  <c r="G210" i="66"/>
  <c r="AB210" i="66" s="1"/>
  <c r="AC210" i="66" s="1"/>
  <c r="L108" i="66"/>
  <c r="L108" i="74" s="1"/>
  <c r="L142" i="66"/>
  <c r="L142" i="74" s="1"/>
  <c r="O58" i="74"/>
  <c r="P58" i="74" s="1"/>
  <c r="AC58" i="74"/>
  <c r="AD58" i="74" s="1"/>
  <c r="G155" i="66"/>
  <c r="AB155" i="66" s="1"/>
  <c r="AC155" i="66" s="1"/>
  <c r="G258" i="66"/>
  <c r="O258" i="66" s="1"/>
  <c r="AC94" i="74"/>
  <c r="AD94" i="74" s="1"/>
  <c r="O94" i="74"/>
  <c r="P94" i="74" s="1"/>
  <c r="G162" i="66"/>
  <c r="O162" i="66" s="1"/>
  <c r="G251" i="66"/>
  <c r="Z144" i="74"/>
  <c r="AA144" i="74"/>
  <c r="L124" i="66"/>
  <c r="L124" i="74" s="1"/>
  <c r="Z29" i="74"/>
  <c r="O76" i="74"/>
  <c r="P76" i="74" s="1"/>
  <c r="AC76" i="74"/>
  <c r="AD76" i="74" s="1"/>
  <c r="L106" i="66"/>
  <c r="L106" i="74" s="1"/>
  <c r="O60" i="74"/>
  <c r="P60" i="74" s="1"/>
  <c r="AC60" i="74"/>
  <c r="AD60" i="74" s="1"/>
  <c r="Z48" i="74"/>
  <c r="AA48" i="74"/>
  <c r="R32" i="74"/>
  <c r="V32" i="74"/>
  <c r="Z44" i="66"/>
  <c r="Z118" i="66"/>
  <c r="AB31" i="66"/>
  <c r="AC31" i="66" s="1"/>
  <c r="H6" i="6"/>
  <c r="Z262" i="66"/>
  <c r="AB162" i="66"/>
  <c r="AC162" i="66" s="1"/>
  <c r="Z269" i="66"/>
  <c r="AA262" i="66"/>
  <c r="Z176" i="66"/>
  <c r="Z166" i="66"/>
  <c r="AA125" i="66"/>
  <c r="AA269" i="66"/>
  <c r="Z125" i="66"/>
  <c r="AA48" i="66"/>
  <c r="AA29" i="66"/>
  <c r="Z173" i="66"/>
  <c r="Z48" i="66"/>
  <c r="AA173" i="66"/>
  <c r="P192" i="66"/>
  <c r="R192" i="66" s="1"/>
  <c r="H7" i="6"/>
  <c r="AA192" i="66"/>
  <c r="O31" i="66"/>
  <c r="AA31" i="66" s="1"/>
  <c r="P48" i="66"/>
  <c r="R48" i="66" s="1"/>
  <c r="O124" i="66"/>
  <c r="P268" i="66" s="1"/>
  <c r="R268" i="66" s="1"/>
  <c r="S268" i="66" s="1"/>
  <c r="U268" i="66" s="1"/>
  <c r="O142" i="66"/>
  <c r="AA142" i="66" s="1"/>
  <c r="P94" i="66"/>
  <c r="R94" i="66" s="1"/>
  <c r="S94" i="66" s="1"/>
  <c r="U94" i="66" s="1"/>
  <c r="H425" i="37"/>
  <c r="C9" i="63" s="1"/>
  <c r="P76" i="66"/>
  <c r="R76" i="66" s="1"/>
  <c r="S76" i="66" s="1"/>
  <c r="U76" i="66" s="1"/>
  <c r="P58" i="66"/>
  <c r="R58" i="66" s="1"/>
  <c r="S58" i="66" s="1"/>
  <c r="U58" i="66" s="1"/>
  <c r="Z58" i="66"/>
  <c r="AA58" i="66"/>
  <c r="P60" i="66"/>
  <c r="R60" i="66" s="1"/>
  <c r="S60" i="66" s="1"/>
  <c r="U60" i="66" s="1"/>
  <c r="Z204" i="66"/>
  <c r="Z202" i="66"/>
  <c r="AA202" i="66"/>
  <c r="AA220" i="66"/>
  <c r="P220" i="66"/>
  <c r="R220" i="66" s="1"/>
  <c r="S220" i="66" s="1"/>
  <c r="U220" i="66" s="1"/>
  <c r="AA76" i="66"/>
  <c r="Z76" i="66"/>
  <c r="Z60" i="66"/>
  <c r="AA60" i="66"/>
  <c r="AA204" i="66"/>
  <c r="AA94" i="66"/>
  <c r="Z94" i="66"/>
  <c r="AA238" i="66"/>
  <c r="P238" i="66"/>
  <c r="P272" i="66"/>
  <c r="J6" i="6"/>
  <c r="P288" i="66"/>
  <c r="R288" i="66" s="1"/>
  <c r="S288" i="66" s="1"/>
  <c r="U288" i="66" s="1"/>
  <c r="J7" i="6"/>
  <c r="N217" i="66"/>
  <c r="N73" i="66"/>
  <c r="N88" i="66"/>
  <c r="N232" i="66"/>
  <c r="N92" i="66"/>
  <c r="N236" i="66"/>
  <c r="N197" i="66"/>
  <c r="N53" i="66"/>
  <c r="N53" i="74" s="1"/>
  <c r="N80" i="66"/>
  <c r="N224" i="66"/>
  <c r="N214" i="66"/>
  <c r="N70" i="66"/>
  <c r="N218" i="66"/>
  <c r="N74" i="66"/>
  <c r="N203" i="66"/>
  <c r="O203" i="66" s="1"/>
  <c r="N59" i="66"/>
  <c r="N240" i="66"/>
  <c r="N96" i="66"/>
  <c r="N78" i="66"/>
  <c r="N222" i="66"/>
  <c r="N77" i="66"/>
  <c r="N221" i="66"/>
  <c r="N234" i="66"/>
  <c r="N90" i="66"/>
  <c r="H263" i="66"/>
  <c r="H266" i="66"/>
  <c r="J440" i="58"/>
  <c r="H119" i="66"/>
  <c r="J440" i="37"/>
  <c r="H122" i="66"/>
  <c r="H179" i="41"/>
  <c r="H299" i="41"/>
  <c r="J335" i="41"/>
  <c r="I198" i="41"/>
  <c r="J260" i="41"/>
  <c r="J348" i="41"/>
  <c r="H388" i="41"/>
  <c r="J389" i="41"/>
  <c r="H244" i="41"/>
  <c r="J312" i="41"/>
  <c r="H364" i="41"/>
  <c r="H328" i="41"/>
  <c r="H327" i="41"/>
  <c r="H370" i="41"/>
  <c r="H292" i="41"/>
  <c r="H263" i="41"/>
  <c r="H155" i="41"/>
  <c r="H188" i="41"/>
  <c r="J228" i="41"/>
  <c r="I238" i="41"/>
  <c r="I174" i="41"/>
  <c r="H153" i="41"/>
  <c r="I405" i="41"/>
  <c r="J175" i="41"/>
  <c r="H275" i="41"/>
  <c r="H150" i="41"/>
  <c r="J405" i="41"/>
  <c r="H374" i="41"/>
  <c r="I406" i="41"/>
  <c r="I286" i="41"/>
  <c r="H343" i="41"/>
  <c r="H215" i="41"/>
  <c r="H302" i="41"/>
  <c r="H167" i="41"/>
  <c r="J398" i="41"/>
  <c r="I322" i="41"/>
  <c r="I276" i="41"/>
  <c r="H333" i="41"/>
  <c r="H204" i="41"/>
  <c r="I379" i="41"/>
  <c r="H329" i="41"/>
  <c r="I154" i="41"/>
  <c r="I216" i="41"/>
  <c r="H323" i="41"/>
  <c r="H358" i="41"/>
  <c r="I218" i="41"/>
  <c r="H415" i="41"/>
  <c r="H265" i="41"/>
  <c r="J238" i="41"/>
  <c r="H351" i="41"/>
  <c r="I314" i="41"/>
  <c r="H240" i="41"/>
  <c r="H168" i="41"/>
  <c r="H178" i="41"/>
  <c r="H384" i="41"/>
  <c r="J153" i="41"/>
  <c r="J276" i="41"/>
  <c r="J359" i="41"/>
  <c r="J250" i="41"/>
  <c r="H143" i="41"/>
  <c r="I259" i="41"/>
  <c r="H210" i="41"/>
  <c r="H235" i="41"/>
  <c r="H326" i="41"/>
  <c r="J218" i="41"/>
  <c r="I346" i="41"/>
  <c r="I371" i="41"/>
  <c r="H352" i="41"/>
  <c r="H361" i="41"/>
  <c r="H383" i="41"/>
  <c r="H258" i="41"/>
  <c r="J406" i="41"/>
  <c r="H296" i="41"/>
  <c r="I200" i="41"/>
  <c r="I209" i="41"/>
  <c r="J239" i="41"/>
  <c r="I237" i="41"/>
  <c r="J360" i="41"/>
  <c r="J217" i="41"/>
  <c r="I407" i="41"/>
  <c r="H416" i="41"/>
  <c r="H366" i="41"/>
  <c r="H245" i="41"/>
  <c r="J143" i="41"/>
  <c r="J200" i="41"/>
  <c r="J380" i="41"/>
  <c r="I323" i="41"/>
  <c r="H360" i="41"/>
  <c r="J370" i="41"/>
  <c r="H234" i="41"/>
  <c r="H276" i="41"/>
  <c r="H404" i="41"/>
  <c r="H393" i="41"/>
  <c r="J155" i="41"/>
  <c r="H362" i="41"/>
  <c r="J397" i="41"/>
  <c r="I333" i="41"/>
  <c r="H365" i="41"/>
  <c r="H347" i="41"/>
  <c r="H325" i="41"/>
  <c r="H409" i="41"/>
  <c r="H246" i="41"/>
  <c r="H262" i="41"/>
  <c r="H339" i="41"/>
  <c r="I227" i="41"/>
  <c r="J346" i="41"/>
  <c r="J209" i="41"/>
  <c r="H344" i="41"/>
  <c r="H357" i="41"/>
  <c r="J378" i="41"/>
  <c r="H224" i="41"/>
  <c r="H377" i="41"/>
  <c r="H305" i="41"/>
  <c r="H348" i="41"/>
  <c r="H397" i="41"/>
  <c r="H151" i="41"/>
  <c r="H286" i="41"/>
  <c r="J314" i="41"/>
  <c r="H376" i="41"/>
  <c r="H147" i="41"/>
  <c r="I336" i="41"/>
  <c r="H232" i="41"/>
  <c r="I143" i="41"/>
  <c r="H331" i="41"/>
  <c r="H341" i="41"/>
  <c r="I335" i="41"/>
  <c r="J258" i="41"/>
  <c r="H146" i="41"/>
  <c r="I167" i="41"/>
  <c r="J324" i="41"/>
  <c r="H239" i="41"/>
  <c r="H356" i="41"/>
  <c r="H242" i="41"/>
  <c r="H190" i="41"/>
  <c r="H241" i="41"/>
  <c r="J336" i="41"/>
  <c r="H381" i="41"/>
  <c r="J286" i="41"/>
  <c r="J347" i="41"/>
  <c r="H217" i="41"/>
  <c r="H220" i="41"/>
  <c r="H163" i="41"/>
  <c r="I228" i="41"/>
  <c r="H408" i="41"/>
  <c r="H208" i="41"/>
  <c r="H281" i="41"/>
  <c r="J268" i="41"/>
  <c r="H324" i="41"/>
  <c r="I239" i="41"/>
  <c r="I357" i="41"/>
  <c r="H338" i="41"/>
  <c r="J416" i="41"/>
  <c r="J259" i="41"/>
  <c r="H289" i="41"/>
  <c r="J379" i="41"/>
  <c r="H389" i="41"/>
  <c r="I398" i="41"/>
  <c r="H359" i="41"/>
  <c r="H402" i="41"/>
  <c r="H261" i="41"/>
  <c r="H368" i="41"/>
  <c r="I208" i="41"/>
  <c r="H264" i="41"/>
  <c r="I166" i="41"/>
  <c r="H283" i="41"/>
  <c r="H172" i="41"/>
  <c r="J269" i="41"/>
  <c r="H171" i="41"/>
  <c r="H298" i="41"/>
  <c r="H254" i="41"/>
  <c r="H231" i="41"/>
  <c r="H248" i="41"/>
  <c r="H334" i="41"/>
  <c r="H202" i="41"/>
  <c r="H375" i="41"/>
  <c r="H212" i="41"/>
  <c r="H199" i="41"/>
  <c r="H200" i="41"/>
  <c r="H342" i="41"/>
  <c r="H291" i="41"/>
  <c r="H213" i="41"/>
  <c r="H335" i="41"/>
  <c r="H229" i="41"/>
  <c r="H256" i="41"/>
  <c r="I199" i="41"/>
  <c r="J414" i="41"/>
  <c r="H288" i="41"/>
  <c r="J407" i="41"/>
  <c r="H320" i="41"/>
  <c r="H209" i="41"/>
  <c r="H336" i="41"/>
  <c r="H396" i="41"/>
  <c r="H175" i="41"/>
  <c r="H310" i="41"/>
  <c r="J371" i="41"/>
  <c r="J227" i="41"/>
  <c r="I358" i="41"/>
  <c r="J267" i="41"/>
  <c r="I189" i="41"/>
  <c r="Z175" i="66"/>
  <c r="I324" i="41"/>
  <c r="J323" i="41"/>
  <c r="H295" i="41"/>
  <c r="H192" i="41"/>
  <c r="J345" i="41"/>
  <c r="H380" i="41"/>
  <c r="D45" i="57"/>
  <c r="G163" i="66"/>
  <c r="H297" i="41"/>
  <c r="H318" i="41"/>
  <c r="H107" i="66"/>
  <c r="J451" i="37"/>
  <c r="D8" i="57"/>
  <c r="M3" i="37"/>
  <c r="H249" i="41"/>
  <c r="G42" i="66"/>
  <c r="I116" i="66"/>
  <c r="E2" i="53"/>
  <c r="H142" i="41"/>
  <c r="I20" i="66"/>
  <c r="G20" i="66"/>
  <c r="I68" i="66"/>
  <c r="J142" i="41"/>
  <c r="H491" i="41"/>
  <c r="G11" i="66"/>
  <c r="G170" i="66"/>
  <c r="D41" i="57"/>
  <c r="H493" i="37"/>
  <c r="E392" i="38"/>
  <c r="D4" i="57"/>
  <c r="H321" i="41"/>
  <c r="G39" i="66"/>
  <c r="H494" i="37"/>
  <c r="H182" i="41"/>
  <c r="J165" i="41"/>
  <c r="H367" i="41"/>
  <c r="H257" i="41"/>
  <c r="H386" i="41"/>
  <c r="I141" i="41"/>
  <c r="D51" i="57"/>
  <c r="G158" i="66"/>
  <c r="I321" i="41"/>
  <c r="G159" i="66"/>
  <c r="D49" i="57"/>
  <c r="Z128" i="66"/>
  <c r="Z272" i="66"/>
  <c r="AA272" i="66"/>
  <c r="AA128" i="66"/>
  <c r="P128" i="66"/>
  <c r="I285" i="41"/>
  <c r="G19" i="66"/>
  <c r="H165" i="41"/>
  <c r="D6" i="57"/>
  <c r="J334" i="41"/>
  <c r="H363" i="41"/>
  <c r="J358" i="41"/>
  <c r="J305" i="41"/>
  <c r="Z144" i="66"/>
  <c r="AA288" i="66"/>
  <c r="Z288" i="66"/>
  <c r="AA144" i="66"/>
  <c r="P144" i="66"/>
  <c r="G186" i="66"/>
  <c r="D47" i="57"/>
  <c r="M3" i="58"/>
  <c r="H304" i="41"/>
  <c r="I260" i="66"/>
  <c r="I164" i="66"/>
  <c r="E8" i="53"/>
  <c r="I212" i="66"/>
  <c r="G164" i="66"/>
  <c r="H414" i="41"/>
  <c r="H307" i="41"/>
  <c r="H186" i="41"/>
  <c r="J176" i="41"/>
  <c r="G34" i="66"/>
  <c r="H285" i="41"/>
  <c r="D11" i="57"/>
  <c r="H144" i="41"/>
  <c r="H369" i="41"/>
  <c r="D13" i="57"/>
  <c r="G24" i="66"/>
  <c r="H301" i="41"/>
  <c r="J189" i="41"/>
  <c r="J156" i="58"/>
  <c r="I156" i="58"/>
  <c r="H160" i="58"/>
  <c r="H156" i="58"/>
  <c r="C34" i="63" s="1"/>
  <c r="H164" i="58"/>
  <c r="G57" i="66"/>
  <c r="D44" i="39"/>
  <c r="E110" i="38" s="1"/>
  <c r="I492" i="41"/>
  <c r="D17" i="39" s="1"/>
  <c r="H314" i="41"/>
  <c r="H222" i="41"/>
  <c r="J237" i="41"/>
  <c r="G14" i="66"/>
  <c r="D12" i="57"/>
  <c r="H345" i="41"/>
  <c r="J322" i="41"/>
  <c r="H177" i="41"/>
  <c r="D10" i="57"/>
  <c r="G15" i="66"/>
  <c r="H267" i="41"/>
  <c r="H206" i="41"/>
  <c r="H419" i="41"/>
  <c r="I415" i="41"/>
  <c r="J240" i="41"/>
  <c r="H162" i="41"/>
  <c r="I175" i="41"/>
  <c r="H226" i="41"/>
  <c r="H385" i="41"/>
  <c r="J333" i="41"/>
  <c r="I226" i="41"/>
  <c r="H189" i="41"/>
  <c r="D7" i="57"/>
  <c r="G25" i="66"/>
  <c r="H420" i="41"/>
  <c r="H346" i="41"/>
  <c r="J278" i="41"/>
  <c r="H271" i="41"/>
  <c r="J208" i="41"/>
  <c r="I389" i="41"/>
  <c r="H401" i="41"/>
  <c r="H378" i="41"/>
  <c r="H412" i="41"/>
  <c r="H398" i="41"/>
  <c r="J199" i="41"/>
  <c r="H255" i="41"/>
  <c r="J166" i="41"/>
  <c r="I258" i="41"/>
  <c r="H273" i="41"/>
  <c r="I360" i="41"/>
  <c r="H319" i="41"/>
  <c r="H391" i="41"/>
  <c r="I396" i="41"/>
  <c r="I380" i="41"/>
  <c r="H349" i="41"/>
  <c r="H176" i="41"/>
  <c r="I142" i="41"/>
  <c r="H309" i="41"/>
  <c r="H187" i="41"/>
  <c r="J396" i="41"/>
  <c r="H418" i="41"/>
  <c r="H158" i="41"/>
  <c r="H223" i="41"/>
  <c r="I278" i="41"/>
  <c r="J190" i="41"/>
  <c r="I250" i="41"/>
  <c r="H312" i="41"/>
  <c r="H219" i="41"/>
  <c r="J167" i="41"/>
  <c r="I347" i="41"/>
  <c r="H191" i="41"/>
  <c r="G249" i="66"/>
  <c r="M44" i="39"/>
  <c r="E178" i="38" s="1"/>
  <c r="G178" i="66"/>
  <c r="D50" i="57"/>
  <c r="D52" i="57"/>
  <c r="G168" i="66"/>
  <c r="I249" i="41"/>
  <c r="H253" i="41"/>
  <c r="H340" i="41"/>
  <c r="H306" i="41"/>
  <c r="G66" i="66"/>
  <c r="G66" i="74" s="1"/>
  <c r="O66" i="74" s="1"/>
  <c r="I490" i="41"/>
  <c r="H287" i="41"/>
  <c r="H382" i="41"/>
  <c r="I190" i="41"/>
  <c r="H237" i="41"/>
  <c r="H399" i="41"/>
  <c r="H394" i="41"/>
  <c r="H322" i="41"/>
  <c r="H269" i="41"/>
  <c r="I296" i="41"/>
  <c r="J226" i="41"/>
  <c r="H350" i="41"/>
  <c r="H193" i="41"/>
  <c r="H174" i="41"/>
  <c r="J426" i="58"/>
  <c r="G107" i="66"/>
  <c r="J491" i="41"/>
  <c r="H185" i="41"/>
  <c r="H145" i="41"/>
  <c r="H407" i="41"/>
  <c r="H157" i="41"/>
  <c r="I348" i="41"/>
  <c r="H354" i="41"/>
  <c r="H278" i="41"/>
  <c r="J294" i="41"/>
  <c r="J198" i="41"/>
  <c r="J285" i="41"/>
  <c r="H400" i="41"/>
  <c r="I155" i="41"/>
  <c r="H277" i="41"/>
  <c r="H373" i="41"/>
  <c r="J174" i="41"/>
  <c r="H395" i="41"/>
  <c r="I295" i="41"/>
  <c r="H252" i="41"/>
  <c r="G153" i="66"/>
  <c r="K44" i="39"/>
  <c r="E144" i="38" s="1"/>
  <c r="I287" i="41"/>
  <c r="H410" i="41"/>
  <c r="H236" i="41"/>
  <c r="I268" i="41"/>
  <c r="H372" i="41"/>
  <c r="H330" i="41"/>
  <c r="H332" i="41"/>
  <c r="J415" i="41"/>
  <c r="J304" i="41"/>
  <c r="H353" i="41"/>
  <c r="I225" i="41"/>
  <c r="I370" i="41"/>
  <c r="H355" i="41"/>
  <c r="H421" i="41"/>
  <c r="H194" i="41"/>
  <c r="H247" i="41"/>
  <c r="H316" i="41"/>
  <c r="I359" i="41"/>
  <c r="H201" i="41"/>
  <c r="J154" i="41"/>
  <c r="I312" i="41"/>
  <c r="I345" i="41"/>
  <c r="I207" i="41"/>
  <c r="H266" i="41"/>
  <c r="H166" i="41"/>
  <c r="J144" i="41"/>
  <c r="H216" i="41"/>
  <c r="H405" i="41"/>
  <c r="I191" i="41"/>
  <c r="H154" i="41"/>
  <c r="H159" i="41"/>
  <c r="J303" i="41"/>
  <c r="I176" i="41"/>
  <c r="H260" i="41"/>
  <c r="H170" i="41"/>
  <c r="H390" i="41"/>
  <c r="H392" i="41"/>
  <c r="I240" i="41"/>
  <c r="H207" i="41"/>
  <c r="G17" i="66"/>
  <c r="D5" i="57"/>
  <c r="H280" i="41"/>
  <c r="J490" i="41"/>
  <c r="G114" i="66"/>
  <c r="I369" i="41"/>
  <c r="I387" i="41"/>
  <c r="H308" i="41"/>
  <c r="H411" i="41"/>
  <c r="G149" i="66"/>
  <c r="D42" i="57"/>
  <c r="H403" i="41"/>
  <c r="H413" i="41"/>
  <c r="D48" i="57"/>
  <c r="G174" i="66"/>
  <c r="H243" i="41"/>
  <c r="J388" i="41"/>
  <c r="H279" i="41"/>
  <c r="H197" i="41"/>
  <c r="I491" i="41"/>
  <c r="G59" i="66"/>
  <c r="G59" i="74" s="1"/>
  <c r="I426" i="41"/>
  <c r="G79" i="66"/>
  <c r="G79" i="74" s="1"/>
  <c r="G169" i="66"/>
  <c r="D46" i="57"/>
  <c r="J207" i="41"/>
  <c r="G161" i="66"/>
  <c r="D44" i="57"/>
  <c r="J216" i="41"/>
  <c r="H181" i="41"/>
  <c r="H294" i="41"/>
  <c r="H228" i="41"/>
  <c r="H284" i="41"/>
  <c r="G35" i="66"/>
  <c r="D14" i="57"/>
  <c r="E4" i="53"/>
  <c r="F4" i="53" s="1"/>
  <c r="H10" i="53" s="1"/>
  <c r="H387" i="41"/>
  <c r="J225" i="41"/>
  <c r="I217" i="41"/>
  <c r="H337" i="41"/>
  <c r="J321" i="41"/>
  <c r="G18" i="66"/>
  <c r="G18" i="74" s="1"/>
  <c r="AC18" i="74" s="1"/>
  <c r="AD18" i="74" s="1"/>
  <c r="H490" i="41"/>
  <c r="D3" i="57"/>
  <c r="G5" i="66"/>
  <c r="H225" i="41"/>
  <c r="D9" i="57"/>
  <c r="H303" i="41"/>
  <c r="G30" i="66"/>
  <c r="G30" i="74" s="1"/>
  <c r="J249" i="41"/>
  <c r="R176" i="66"/>
  <c r="H218" i="41"/>
  <c r="I165" i="41"/>
  <c r="H274" i="41"/>
  <c r="H148" i="58"/>
  <c r="G105" i="66"/>
  <c r="G105" i="74" s="1"/>
  <c r="E44" i="39"/>
  <c r="E127" i="38" s="1"/>
  <c r="J492" i="41"/>
  <c r="E17" i="39" s="1"/>
  <c r="H152" i="58"/>
  <c r="I153" i="41"/>
  <c r="J357" i="41"/>
  <c r="H315" i="41"/>
  <c r="H205" i="41"/>
  <c r="H270" i="41"/>
  <c r="H268" i="41"/>
  <c r="I303" i="41"/>
  <c r="H282" i="41"/>
  <c r="H293" i="41"/>
  <c r="H195" i="41"/>
  <c r="I144" i="41"/>
  <c r="H227" i="41"/>
  <c r="I267" i="41"/>
  <c r="H214" i="41"/>
  <c r="P286" i="66"/>
  <c r="H211" i="41"/>
  <c r="H379" i="41"/>
  <c r="I269" i="41"/>
  <c r="H300" i="41"/>
  <c r="H169" i="41"/>
  <c r="H422" i="41"/>
  <c r="I260" i="41"/>
  <c r="H203" i="41"/>
  <c r="J141" i="41"/>
  <c r="H233" i="41"/>
  <c r="H238" i="41"/>
  <c r="H317" i="41"/>
  <c r="H198" i="41"/>
  <c r="H290" i="41"/>
  <c r="H250" i="41"/>
  <c r="D53" i="57"/>
  <c r="G179" i="66"/>
  <c r="E10" i="53"/>
  <c r="F10" i="53" s="1"/>
  <c r="J387" i="41"/>
  <c r="H149" i="41"/>
  <c r="I388" i="41"/>
  <c r="H406" i="41"/>
  <c r="H259" i="41"/>
  <c r="J191" i="41"/>
  <c r="H371" i="41"/>
  <c r="I305" i="41"/>
  <c r="H251" i="66"/>
  <c r="J451" i="58"/>
  <c r="I313" i="41"/>
  <c r="J295" i="41"/>
  <c r="H251" i="41"/>
  <c r="I414" i="41"/>
  <c r="J369" i="41"/>
  <c r="H180" i="41"/>
  <c r="H221" i="41"/>
  <c r="I397" i="41"/>
  <c r="H417" i="41"/>
  <c r="H161" i="41"/>
  <c r="H313" i="41"/>
  <c r="I294" i="41"/>
  <c r="C44" i="39"/>
  <c r="E93" i="38" s="1"/>
  <c r="G9" i="66"/>
  <c r="G9" i="74" s="1"/>
  <c r="H492" i="41"/>
  <c r="C17" i="39" s="1"/>
  <c r="G201" i="66"/>
  <c r="L44" i="39"/>
  <c r="E161" i="38" s="1"/>
  <c r="J277" i="41"/>
  <c r="D2" i="57"/>
  <c r="G26" i="66"/>
  <c r="H141" i="41"/>
  <c r="J296" i="41"/>
  <c r="D43" i="57"/>
  <c r="H493" i="58"/>
  <c r="E395" i="38"/>
  <c r="H494" i="58"/>
  <c r="G183" i="66"/>
  <c r="H230" i="41"/>
  <c r="G15" i="74" l="1"/>
  <c r="AC15" i="74" s="1"/>
  <c r="G14" i="74"/>
  <c r="O14" i="74" s="1"/>
  <c r="G17" i="74"/>
  <c r="G5" i="74"/>
  <c r="AC5" i="74" s="1"/>
  <c r="B19" i="75" s="1"/>
  <c r="E19" i="75" s="1"/>
  <c r="G26" i="74"/>
  <c r="G11" i="74"/>
  <c r="O11" i="74" s="1"/>
  <c r="Z11" i="74" s="1"/>
  <c r="AB223" i="66"/>
  <c r="AC223" i="66" s="1"/>
  <c r="N77" i="74"/>
  <c r="Z125" i="74"/>
  <c r="G19" i="74"/>
  <c r="AC19" i="74" s="1"/>
  <c r="AD19" i="74" s="1"/>
  <c r="B7" i="75" s="1"/>
  <c r="E7" i="75" s="1"/>
  <c r="O155" i="66"/>
  <c r="AB258" i="66"/>
  <c r="AC258" i="66" s="1"/>
  <c r="G24" i="74"/>
  <c r="O24" i="74" s="1"/>
  <c r="AD128" i="74"/>
  <c r="C12" i="75" s="1"/>
  <c r="C27" i="75"/>
  <c r="AD5" i="74"/>
  <c r="B4" i="75" s="1"/>
  <c r="E4" i="75" s="1"/>
  <c r="G20" i="74"/>
  <c r="AD31" i="74"/>
  <c r="B11" i="75" s="1"/>
  <c r="E11" i="75" s="1"/>
  <c r="B26" i="75"/>
  <c r="E26" i="75" s="1"/>
  <c r="AD118" i="74"/>
  <c r="AD15" i="74"/>
  <c r="B6" i="75" s="1"/>
  <c r="E6" i="75" s="1"/>
  <c r="B21" i="75"/>
  <c r="E21" i="75" s="1"/>
  <c r="G114" i="74"/>
  <c r="O114" i="74" s="1"/>
  <c r="AA114" i="74" s="1"/>
  <c r="N92" i="74"/>
  <c r="N59" i="74"/>
  <c r="AC59" i="74" s="1"/>
  <c r="AD59" i="74" s="1"/>
  <c r="G57" i="74"/>
  <c r="G39" i="74"/>
  <c r="I20" i="74"/>
  <c r="O77" i="74"/>
  <c r="AC77" i="74"/>
  <c r="AD77" i="74" s="1"/>
  <c r="N80" i="74"/>
  <c r="O106" i="66"/>
  <c r="Z250" i="66" s="1"/>
  <c r="O108" i="66"/>
  <c r="P108" i="66" s="1"/>
  <c r="R108" i="66" s="1"/>
  <c r="S108" i="66" s="1"/>
  <c r="U108" i="66" s="1"/>
  <c r="G34" i="74"/>
  <c r="Z118" i="74"/>
  <c r="AA118" i="74"/>
  <c r="AA286" i="66"/>
  <c r="I116" i="74"/>
  <c r="N78" i="74"/>
  <c r="AB142" i="66"/>
  <c r="AC142" i="66" s="1"/>
  <c r="AC14" i="74"/>
  <c r="AD14" i="74" s="1"/>
  <c r="AC66" i="74"/>
  <c r="AD66" i="74" s="1"/>
  <c r="O5" i="74"/>
  <c r="Z5" i="74" s="1"/>
  <c r="G42" i="74"/>
  <c r="H122" i="74"/>
  <c r="N96" i="74"/>
  <c r="AB108" i="66"/>
  <c r="AC108" i="66" s="1"/>
  <c r="O15" i="74"/>
  <c r="AB106" i="66"/>
  <c r="AC106" i="66" s="1"/>
  <c r="V12" i="74"/>
  <c r="R12" i="74"/>
  <c r="G107" i="74"/>
  <c r="H119" i="74"/>
  <c r="G35" i="74"/>
  <c r="O79" i="74"/>
  <c r="AC79" i="74"/>
  <c r="AD79" i="74" s="1"/>
  <c r="N88" i="74"/>
  <c r="O18" i="74"/>
  <c r="P28" i="74"/>
  <c r="Z28" i="74"/>
  <c r="AA28" i="74"/>
  <c r="V46" i="74"/>
  <c r="R46" i="74"/>
  <c r="N74" i="74"/>
  <c r="N73" i="74"/>
  <c r="O59" i="74"/>
  <c r="P10" i="74"/>
  <c r="AA10" i="74"/>
  <c r="Z10" i="74"/>
  <c r="O251" i="66"/>
  <c r="H107" i="74"/>
  <c r="G25" i="74"/>
  <c r="I68" i="74"/>
  <c r="N90" i="74"/>
  <c r="N70" i="74"/>
  <c r="AB124" i="66"/>
  <c r="AC124" i="66" s="1"/>
  <c r="P128" i="74"/>
  <c r="AA128" i="74"/>
  <c r="Z128" i="74"/>
  <c r="Z60" i="74"/>
  <c r="AA60" i="74"/>
  <c r="Z94" i="74"/>
  <c r="AA94" i="74"/>
  <c r="AC106" i="74"/>
  <c r="AD106" i="74" s="1"/>
  <c r="O106" i="74"/>
  <c r="P106" i="74" s="1"/>
  <c r="N39" i="66"/>
  <c r="AB39" i="66" s="1"/>
  <c r="AC39" i="66" s="1"/>
  <c r="V48" i="74"/>
  <c r="R48" i="74"/>
  <c r="V144" i="74"/>
  <c r="W144" i="74"/>
  <c r="Y144" i="74" s="1"/>
  <c r="R144" i="74"/>
  <c r="S144" i="74" s="1"/>
  <c r="U144" i="74" s="1"/>
  <c r="AA18" i="74"/>
  <c r="O108" i="74"/>
  <c r="P108" i="74" s="1"/>
  <c r="AC108" i="74"/>
  <c r="AD108" i="74" s="1"/>
  <c r="N183" i="66"/>
  <c r="AB183" i="66" s="1"/>
  <c r="AC183" i="66" s="1"/>
  <c r="G184" i="66"/>
  <c r="AB184" i="66" s="1"/>
  <c r="AC184" i="66" s="1"/>
  <c r="G271" i="66"/>
  <c r="O271" i="66" s="1"/>
  <c r="AA76" i="74"/>
  <c r="Z76" i="74"/>
  <c r="Z31" i="66"/>
  <c r="AA31" i="74"/>
  <c r="Z31" i="74"/>
  <c r="AA175" i="66"/>
  <c r="AC124" i="74"/>
  <c r="AD124" i="74" s="1"/>
  <c r="O124" i="74"/>
  <c r="P124" i="74" s="1"/>
  <c r="AA58" i="74"/>
  <c r="Z58" i="74"/>
  <c r="O210" i="66"/>
  <c r="Z14" i="74"/>
  <c r="AA14" i="74"/>
  <c r="O142" i="74"/>
  <c r="P142" i="74" s="1"/>
  <c r="AC142" i="74"/>
  <c r="AD142" i="74" s="1"/>
  <c r="AA24" i="74"/>
  <c r="Z24" i="74"/>
  <c r="AB5" i="66"/>
  <c r="AC5" i="66" s="1"/>
  <c r="AB169" i="66"/>
  <c r="AC169" i="66" s="1"/>
  <c r="AB107" i="66"/>
  <c r="AC107" i="66" s="1"/>
  <c r="AB178" i="66"/>
  <c r="AC178" i="66" s="1"/>
  <c r="AB14" i="66"/>
  <c r="AC14" i="66" s="1"/>
  <c r="AB158" i="66"/>
  <c r="AC158" i="66" s="1"/>
  <c r="AB221" i="66"/>
  <c r="AC221" i="66" s="1"/>
  <c r="AB224" i="66"/>
  <c r="AC224" i="66" s="1"/>
  <c r="AB149" i="66"/>
  <c r="AC149" i="66" s="1"/>
  <c r="AB24" i="66"/>
  <c r="AC24" i="66" s="1"/>
  <c r="AB203" i="66"/>
  <c r="AC203" i="66" s="1"/>
  <c r="AB80" i="66"/>
  <c r="AC80" i="66" s="1"/>
  <c r="AB18" i="66"/>
  <c r="AC18" i="66" s="1"/>
  <c r="AB59" i="66"/>
  <c r="AC59" i="66" s="1"/>
  <c r="AB66" i="66"/>
  <c r="AC66" i="66" s="1"/>
  <c r="AB25" i="66"/>
  <c r="AC25" i="66" s="1"/>
  <c r="AB11" i="66"/>
  <c r="AC11" i="66" s="1"/>
  <c r="AB96" i="66"/>
  <c r="AC96" i="66" s="1"/>
  <c r="AB236" i="66"/>
  <c r="AC236" i="66" s="1"/>
  <c r="AB77" i="66"/>
  <c r="AC77" i="66" s="1"/>
  <c r="AB240" i="66"/>
  <c r="AC240" i="66" s="1"/>
  <c r="AB92" i="66"/>
  <c r="AC92" i="66" s="1"/>
  <c r="AB79" i="66"/>
  <c r="AC79" i="66" s="1"/>
  <c r="AB15" i="66"/>
  <c r="AC15" i="66" s="1"/>
  <c r="AB114" i="66"/>
  <c r="AC114" i="66" s="1"/>
  <c r="AB34" i="66"/>
  <c r="AC34" i="66" s="1"/>
  <c r="AB168" i="66"/>
  <c r="AC168" i="66" s="1"/>
  <c r="AB19" i="66"/>
  <c r="AC19" i="66" s="1"/>
  <c r="AB163" i="66"/>
  <c r="AC163" i="66" s="1"/>
  <c r="AB159" i="66"/>
  <c r="AC159" i="66" s="1"/>
  <c r="AB70" i="66"/>
  <c r="AC70" i="66" s="1"/>
  <c r="AB214" i="66"/>
  <c r="AC214" i="66" s="1"/>
  <c r="AB251" i="66"/>
  <c r="AC251" i="66" s="1"/>
  <c r="P142" i="66"/>
  <c r="R142" i="66" s="1"/>
  <c r="S142" i="66" s="1"/>
  <c r="U142" i="66" s="1"/>
  <c r="Z142" i="66"/>
  <c r="Z286" i="66"/>
  <c r="O168" i="66"/>
  <c r="O178" i="66"/>
  <c r="O14" i="66"/>
  <c r="AA14" i="66" s="1"/>
  <c r="O236" i="66"/>
  <c r="O92" i="66"/>
  <c r="O149" i="66"/>
  <c r="O19" i="66"/>
  <c r="O163" i="66"/>
  <c r="O11" i="66"/>
  <c r="O66" i="66"/>
  <c r="Z210" i="66" s="1"/>
  <c r="AA124" i="66"/>
  <c r="O159" i="66"/>
  <c r="AA15" i="66" s="1"/>
  <c r="O70" i="66"/>
  <c r="O24" i="66"/>
  <c r="O25" i="66"/>
  <c r="P124" i="66"/>
  <c r="O214" i="66"/>
  <c r="O18" i="66"/>
  <c r="AA162" i="66" s="1"/>
  <c r="Z124" i="66"/>
  <c r="O158" i="66"/>
  <c r="O221" i="66"/>
  <c r="O224" i="66"/>
  <c r="O169" i="66"/>
  <c r="O79" i="66"/>
  <c r="AA223" i="66" s="1"/>
  <c r="O5" i="66"/>
  <c r="O15" i="66"/>
  <c r="O77" i="66"/>
  <c r="O240" i="66"/>
  <c r="O114" i="66"/>
  <c r="Z258" i="66" s="1"/>
  <c r="Z268" i="66"/>
  <c r="AA268" i="66"/>
  <c r="O34" i="66"/>
  <c r="O59" i="66"/>
  <c r="AA59" i="66" s="1"/>
  <c r="R238" i="66"/>
  <c r="S238" i="66" s="1"/>
  <c r="U238" i="66" s="1"/>
  <c r="O96" i="66"/>
  <c r="F28" i="39"/>
  <c r="O80" i="66"/>
  <c r="F27" i="39"/>
  <c r="R272" i="66"/>
  <c r="S272" i="66" s="1"/>
  <c r="U272" i="66" s="1"/>
  <c r="M7" i="41"/>
  <c r="J440" i="41"/>
  <c r="O107" i="66"/>
  <c r="Z251" i="66" s="1"/>
  <c r="C50" i="39"/>
  <c r="E97" i="38" s="1"/>
  <c r="H164" i="41"/>
  <c r="K49" i="39"/>
  <c r="E147" i="38" s="1"/>
  <c r="K51" i="39"/>
  <c r="E149" i="38" s="1"/>
  <c r="C36" i="63"/>
  <c r="C49" i="39"/>
  <c r="E96" i="38" s="1"/>
  <c r="C47" i="39"/>
  <c r="E94" i="38" s="1"/>
  <c r="K48" i="39"/>
  <c r="E146" i="38" s="1"/>
  <c r="E401" i="38"/>
  <c r="H496" i="58" s="1"/>
  <c r="H156" i="41"/>
  <c r="C51" i="39"/>
  <c r="E98" i="38" s="1"/>
  <c r="K50" i="39"/>
  <c r="E148" i="38" s="1"/>
  <c r="R144" i="66"/>
  <c r="S144" i="66" s="1"/>
  <c r="U144" i="66" s="1"/>
  <c r="K153" i="66"/>
  <c r="H471" i="58"/>
  <c r="K47" i="39"/>
  <c r="E145" i="38" s="1"/>
  <c r="C6" i="63"/>
  <c r="H152" i="41"/>
  <c r="R128" i="66"/>
  <c r="S128" i="66" s="1"/>
  <c r="U128" i="66" s="1"/>
  <c r="K201" i="66"/>
  <c r="I471" i="58"/>
  <c r="H148" i="41"/>
  <c r="C5" i="63"/>
  <c r="C48" i="39"/>
  <c r="E95" i="38" s="1"/>
  <c r="E398" i="38"/>
  <c r="D29" i="39"/>
  <c r="D32" i="39"/>
  <c r="D33" i="39" s="1"/>
  <c r="H160" i="4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G127" i="66"/>
  <c r="J426" i="41"/>
  <c r="Z15" i="66"/>
  <c r="K57" i="66"/>
  <c r="I471" i="37"/>
  <c r="H493" i="41"/>
  <c r="G40" i="66"/>
  <c r="G40" i="74" s="1"/>
  <c r="O40" i="74" s="1"/>
  <c r="K105" i="66"/>
  <c r="J471" i="37"/>
  <c r="Z5" i="66"/>
  <c r="I156" i="41"/>
  <c r="J451" i="41"/>
  <c r="H471" i="37"/>
  <c r="K9" i="66"/>
  <c r="K9" i="74" s="1"/>
  <c r="T9" i="74" s="1"/>
  <c r="R286" i="66"/>
  <c r="S286" i="66" s="1"/>
  <c r="U286" i="66" s="1"/>
  <c r="J471" i="58"/>
  <c r="K249" i="66"/>
  <c r="O249" i="66" s="1"/>
  <c r="J156" i="41"/>
  <c r="C4" i="63"/>
  <c r="R124" i="66"/>
  <c r="S124" i="66" s="1"/>
  <c r="U124" i="66" s="1"/>
  <c r="E9" i="53"/>
  <c r="F9" i="53" s="1"/>
  <c r="G185" i="66"/>
  <c r="C35" i="63"/>
  <c r="Z25" i="66"/>
  <c r="AA169" i="66"/>
  <c r="H494" i="41"/>
  <c r="E3" i="53"/>
  <c r="F3" i="53" s="1"/>
  <c r="H9" i="53" s="1"/>
  <c r="G41" i="66"/>
  <c r="Z19" i="66" l="1"/>
  <c r="AA5" i="74"/>
  <c r="O19" i="74"/>
  <c r="Z106" i="66"/>
  <c r="O92" i="74"/>
  <c r="Z92" i="74" s="1"/>
  <c r="AC92" i="74"/>
  <c r="AD92" i="74" s="1"/>
  <c r="AC11" i="74"/>
  <c r="AD11" i="74" s="1"/>
  <c r="Z11" i="66"/>
  <c r="AA92" i="74"/>
  <c r="AA79" i="66"/>
  <c r="Z163" i="66"/>
  <c r="Z79" i="66"/>
  <c r="AA252" i="66"/>
  <c r="Z162" i="66"/>
  <c r="O184" i="66"/>
  <c r="Z159" i="66"/>
  <c r="AA159" i="66"/>
  <c r="G41" i="74"/>
  <c r="B22" i="75"/>
  <c r="E22" i="75" s="1"/>
  <c r="G127" i="74"/>
  <c r="O127" i="74" s="1"/>
  <c r="O39" i="66"/>
  <c r="AA210" i="66"/>
  <c r="O183" i="66"/>
  <c r="AC24" i="74"/>
  <c r="AD24" i="74" s="1"/>
  <c r="AA114" i="66"/>
  <c r="AC9" i="74"/>
  <c r="AD9" i="74" s="1"/>
  <c r="AC114" i="74"/>
  <c r="AD114" i="74" s="1"/>
  <c r="O9" i="74"/>
  <c r="P9" i="74" s="1"/>
  <c r="Z155" i="66"/>
  <c r="N39" i="74"/>
  <c r="AC39" i="74" s="1"/>
  <c r="AD39" i="74" s="1"/>
  <c r="Z252" i="66"/>
  <c r="AA108" i="66"/>
  <c r="P252" i="66"/>
  <c r="R252" i="66" s="1"/>
  <c r="S252" i="66" s="1"/>
  <c r="U252" i="66" s="1"/>
  <c r="Z108" i="66"/>
  <c r="V128" i="74"/>
  <c r="W128" i="74"/>
  <c r="Y128" i="74" s="1"/>
  <c r="R128" i="74"/>
  <c r="S128" i="74" s="1"/>
  <c r="U128" i="74" s="1"/>
  <c r="AB57" i="66"/>
  <c r="K57" i="74"/>
  <c r="Z178" i="66"/>
  <c r="S9" i="74"/>
  <c r="U9" i="74" s="1"/>
  <c r="O70" i="74"/>
  <c r="AC70" i="74"/>
  <c r="AD70" i="74" s="1"/>
  <c r="P250" i="66"/>
  <c r="R250" i="66" s="1"/>
  <c r="S250" i="66" s="1"/>
  <c r="U250" i="66" s="1"/>
  <c r="AA106" i="66"/>
  <c r="P106" i="66"/>
  <c r="R106" i="66" s="1"/>
  <c r="S106" i="66" s="1"/>
  <c r="U106" i="66" s="1"/>
  <c r="AA250" i="66"/>
  <c r="AB271" i="66"/>
  <c r="AC271" i="66" s="1"/>
  <c r="Q9" i="74"/>
  <c r="W9" i="74" s="1"/>
  <c r="O107" i="74"/>
  <c r="AC107" i="74"/>
  <c r="AD107" i="74" s="1"/>
  <c r="O80" i="74"/>
  <c r="AC80" i="74"/>
  <c r="AD80" i="74" s="1"/>
  <c r="X9" i="74"/>
  <c r="Z158" i="66"/>
  <c r="AC40" i="74"/>
  <c r="AD40" i="74" s="1"/>
  <c r="O25" i="74"/>
  <c r="AA25" i="74" s="1"/>
  <c r="AC25" i="74"/>
  <c r="AA77" i="74"/>
  <c r="Z77" i="74"/>
  <c r="R28" i="74"/>
  <c r="V28" i="74"/>
  <c r="AB105" i="66"/>
  <c r="AC105" i="66" s="1"/>
  <c r="K105" i="74"/>
  <c r="R10" i="74"/>
  <c r="V10" i="74"/>
  <c r="AC96" i="74"/>
  <c r="AD96" i="74" s="1"/>
  <c r="O96" i="74"/>
  <c r="AC34" i="74"/>
  <c r="O34" i="74"/>
  <c r="AA11" i="74"/>
  <c r="AA15" i="74"/>
  <c r="Z15" i="74"/>
  <c r="K170" i="66"/>
  <c r="O170" i="66" s="1"/>
  <c r="AA124" i="74"/>
  <c r="Z124" i="74"/>
  <c r="K20" i="66"/>
  <c r="Z114" i="74"/>
  <c r="Z106" i="74"/>
  <c r="AA106" i="74"/>
  <c r="V94" i="74"/>
  <c r="R94" i="74"/>
  <c r="S94" i="74" s="1"/>
  <c r="U94" i="74" s="1"/>
  <c r="W94" i="74"/>
  <c r="Y94" i="74" s="1"/>
  <c r="AA59" i="74"/>
  <c r="Z66" i="74"/>
  <c r="V60" i="74"/>
  <c r="W60" i="74"/>
  <c r="Y60" i="74" s="1"/>
  <c r="R60" i="74"/>
  <c r="S60" i="74" s="1"/>
  <c r="U60" i="74" s="1"/>
  <c r="Z59" i="74"/>
  <c r="AA66" i="74"/>
  <c r="K17" i="66"/>
  <c r="S17" i="66" s="1"/>
  <c r="V76" i="74"/>
  <c r="R76" i="74"/>
  <c r="S76" i="74" s="1"/>
  <c r="U76" i="74" s="1"/>
  <c r="W76" i="74"/>
  <c r="Y76" i="74" s="1"/>
  <c r="K30" i="66"/>
  <c r="AA108" i="74"/>
  <c r="Z108" i="74"/>
  <c r="AA79" i="74"/>
  <c r="Z79" i="74"/>
  <c r="AA40" i="74"/>
  <c r="Z18" i="74"/>
  <c r="K186" i="66"/>
  <c r="O186" i="66" s="1"/>
  <c r="Z40" i="74"/>
  <c r="Z14" i="66"/>
  <c r="AA11" i="66"/>
  <c r="K161" i="66"/>
  <c r="AA158" i="66"/>
  <c r="AA155" i="66"/>
  <c r="H464" i="58"/>
  <c r="AA142" i="74"/>
  <c r="Z142" i="74"/>
  <c r="V58" i="74"/>
  <c r="R58" i="74"/>
  <c r="S58" i="74" s="1"/>
  <c r="U58" i="74" s="1"/>
  <c r="W58" i="74"/>
  <c r="Y58" i="74" s="1"/>
  <c r="Z9" i="74"/>
  <c r="H465" i="37"/>
  <c r="AA25" i="66"/>
  <c r="Z114" i="66"/>
  <c r="AA34" i="66"/>
  <c r="Z70" i="66"/>
  <c r="AA224" i="66"/>
  <c r="Z221" i="66"/>
  <c r="Z169" i="66"/>
  <c r="AB249" i="66"/>
  <c r="AC249" i="66" s="1"/>
  <c r="AB170" i="66"/>
  <c r="AC170" i="66" s="1"/>
  <c r="AB40" i="66"/>
  <c r="AC40" i="66" s="1"/>
  <c r="Z77" i="66"/>
  <c r="AC57" i="66"/>
  <c r="AA92" i="66"/>
  <c r="AB161" i="66"/>
  <c r="AC161" i="66" s="1"/>
  <c r="AB153" i="66"/>
  <c r="AC153" i="66" s="1"/>
  <c r="AB127" i="66"/>
  <c r="AC127" i="66" s="1"/>
  <c r="AB201" i="66"/>
  <c r="AC201" i="66" s="1"/>
  <c r="AB9" i="66"/>
  <c r="AC9" i="66" s="1"/>
  <c r="Z92" i="66"/>
  <c r="Z236" i="66"/>
  <c r="AA163" i="66"/>
  <c r="AA236" i="66"/>
  <c r="Z96" i="66"/>
  <c r="AA5" i="66"/>
  <c r="Z214" i="66"/>
  <c r="AA70" i="66"/>
  <c r="AA258" i="66"/>
  <c r="AA214" i="66"/>
  <c r="AA19" i="66"/>
  <c r="H5" i="6"/>
  <c r="AA149" i="66"/>
  <c r="Z66" i="66"/>
  <c r="Z149" i="66"/>
  <c r="AA66" i="66"/>
  <c r="Z18" i="66"/>
  <c r="AA77" i="66"/>
  <c r="AA18" i="66"/>
  <c r="AA221" i="66"/>
  <c r="Z168" i="66"/>
  <c r="AA178" i="66"/>
  <c r="O40" i="66"/>
  <c r="AA184" i="66" s="1"/>
  <c r="AA168" i="66"/>
  <c r="O127" i="66"/>
  <c r="Z127" i="66" s="1"/>
  <c r="AA24" i="66"/>
  <c r="Z24" i="66"/>
  <c r="Z223" i="66"/>
  <c r="Z34" i="66"/>
  <c r="Z203" i="66"/>
  <c r="AA203" i="66"/>
  <c r="Z59" i="66"/>
  <c r="F17" i="39"/>
  <c r="E280" i="38"/>
  <c r="E286" i="38"/>
  <c r="E292" i="38"/>
  <c r="E298" i="38"/>
  <c r="I7" i="6"/>
  <c r="AA240" i="66"/>
  <c r="P224" i="66"/>
  <c r="R224" i="66" s="1"/>
  <c r="S224" i="66" s="1"/>
  <c r="U224" i="66" s="1"/>
  <c r="Z240" i="66"/>
  <c r="P240" i="66"/>
  <c r="AA96" i="66"/>
  <c r="P96" i="66"/>
  <c r="G17" i="39"/>
  <c r="Z80" i="66"/>
  <c r="P80" i="66"/>
  <c r="Z224" i="66"/>
  <c r="I6" i="6"/>
  <c r="AA80" i="66"/>
  <c r="M9" i="41"/>
  <c r="Z107" i="66"/>
  <c r="AA107" i="66"/>
  <c r="AA251" i="66"/>
  <c r="H464" i="37"/>
  <c r="H464" i="41" s="1"/>
  <c r="D2" i="53"/>
  <c r="F2" i="53" s="1"/>
  <c r="H8" i="53" s="1"/>
  <c r="H457" i="58"/>
  <c r="H465" i="58"/>
  <c r="AA183" i="66"/>
  <c r="Z39" i="66"/>
  <c r="AA39" i="66"/>
  <c r="H457" i="37"/>
  <c r="Z183" i="66"/>
  <c r="H495" i="58"/>
  <c r="C41" i="63" s="1"/>
  <c r="H455" i="37"/>
  <c r="H456" i="58"/>
  <c r="K174" i="66"/>
  <c r="H471" i="41"/>
  <c r="K42" i="66"/>
  <c r="K42" i="74" s="1"/>
  <c r="E30" i="39"/>
  <c r="H497" i="58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O30" i="66"/>
  <c r="S30" i="66"/>
  <c r="Q30" i="66"/>
  <c r="T30" i="66"/>
  <c r="K26" i="66"/>
  <c r="K26" i="74" s="1"/>
  <c r="X26" i="74" s="1"/>
  <c r="H456" i="37"/>
  <c r="O153" i="66"/>
  <c r="S153" i="66"/>
  <c r="T153" i="66"/>
  <c r="Q153" i="66"/>
  <c r="O57" i="66"/>
  <c r="Q57" i="66"/>
  <c r="T57" i="66"/>
  <c r="K17" i="39"/>
  <c r="M8" i="41"/>
  <c r="AA271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O9" i="66"/>
  <c r="S9" i="66"/>
  <c r="T9" i="66"/>
  <c r="Q9" i="66"/>
  <c r="O201" i="66"/>
  <c r="T201" i="66"/>
  <c r="Q201" i="66"/>
  <c r="T20" i="66"/>
  <c r="E411" i="38"/>
  <c r="G181" i="66"/>
  <c r="J471" i="41"/>
  <c r="Q17" i="39"/>
  <c r="P29" i="39"/>
  <c r="Q29" i="39" s="1"/>
  <c r="Z40" i="66"/>
  <c r="AA40" i="66"/>
  <c r="G9" i="53"/>
  <c r="H3" i="53"/>
  <c r="G3" i="53" s="1"/>
  <c r="O105" i="66"/>
  <c r="T105" i="66"/>
  <c r="Q105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O161" i="66"/>
  <c r="S161" i="66"/>
  <c r="T161" i="66"/>
  <c r="Q161" i="66"/>
  <c r="Q249" i="66"/>
  <c r="T249" i="66"/>
  <c r="H497" i="37"/>
  <c r="H495" i="37"/>
  <c r="H496" i="37"/>
  <c r="D8" i="53"/>
  <c r="F8" i="53" s="1"/>
  <c r="H2" i="53" s="1"/>
  <c r="H455" i="58"/>
  <c r="K164" i="66"/>
  <c r="Z25" i="74" l="1"/>
  <c r="AA19" i="74"/>
  <c r="Z19" i="74"/>
  <c r="AB17" i="66"/>
  <c r="AC17" i="66" s="1"/>
  <c r="T17" i="66"/>
  <c r="S186" i="66"/>
  <c r="Q186" i="66"/>
  <c r="Q17" i="66"/>
  <c r="T186" i="66"/>
  <c r="U186" i="66" s="1"/>
  <c r="AA9" i="74"/>
  <c r="AC127" i="74"/>
  <c r="AD127" i="74" s="1"/>
  <c r="C11" i="75" s="1"/>
  <c r="Y9" i="74"/>
  <c r="O39" i="74"/>
  <c r="T170" i="66"/>
  <c r="Q170" i="66"/>
  <c r="AD34" i="74"/>
  <c r="B13" i="75" s="1"/>
  <c r="E13" i="75" s="1"/>
  <c r="B28" i="75"/>
  <c r="E28" i="75" s="1"/>
  <c r="S170" i="66"/>
  <c r="AD25" i="74"/>
  <c r="B9" i="75" s="1"/>
  <c r="E9" i="75" s="1"/>
  <c r="B24" i="75"/>
  <c r="E24" i="75" s="1"/>
  <c r="P80" i="74"/>
  <c r="AA80" i="74"/>
  <c r="Z80" i="74"/>
  <c r="Z107" i="74"/>
  <c r="AA107" i="74"/>
  <c r="AB30" i="66"/>
  <c r="AC30" i="66" s="1"/>
  <c r="K30" i="74"/>
  <c r="T30" i="74" s="1"/>
  <c r="O26" i="74"/>
  <c r="P26" i="74" s="1"/>
  <c r="Q57" i="74"/>
  <c r="X57" i="74"/>
  <c r="T57" i="74"/>
  <c r="AC57" i="74"/>
  <c r="AD57" i="74" s="1"/>
  <c r="AC26" i="74"/>
  <c r="Z34" i="74"/>
  <c r="AA34" i="74"/>
  <c r="H465" i="41"/>
  <c r="AB186" i="66"/>
  <c r="AC186" i="66" s="1"/>
  <c r="S26" i="74"/>
  <c r="T26" i="74"/>
  <c r="K20" i="74"/>
  <c r="T20" i="74" s="1"/>
  <c r="P96" i="74"/>
  <c r="Z96" i="74"/>
  <c r="AA96" i="74"/>
  <c r="O17" i="66"/>
  <c r="P17" i="66" s="1"/>
  <c r="K17" i="74"/>
  <c r="X17" i="74" s="1"/>
  <c r="Q26" i="74"/>
  <c r="W26" i="74" s="1"/>
  <c r="Y26" i="74" s="1"/>
  <c r="AC105" i="74"/>
  <c r="AD105" i="74" s="1"/>
  <c r="X105" i="74"/>
  <c r="Q105" i="74"/>
  <c r="T105" i="74"/>
  <c r="O105" i="74"/>
  <c r="Z70" i="74"/>
  <c r="AA70" i="74"/>
  <c r="O57" i="74"/>
  <c r="G180" i="66"/>
  <c r="V142" i="74"/>
  <c r="W142" i="74"/>
  <c r="Y142" i="74" s="1"/>
  <c r="R142" i="74"/>
  <c r="S142" i="74" s="1"/>
  <c r="U142" i="74" s="1"/>
  <c r="X30" i="74"/>
  <c r="O30" i="74"/>
  <c r="P30" i="74" s="1"/>
  <c r="O17" i="74"/>
  <c r="P17" i="74" s="1"/>
  <c r="V124" i="74"/>
  <c r="W124" i="74"/>
  <c r="Y124" i="74" s="1"/>
  <c r="R124" i="74"/>
  <c r="S124" i="74" s="1"/>
  <c r="U124" i="74" s="1"/>
  <c r="V9" i="74"/>
  <c r="R9" i="74"/>
  <c r="T42" i="74"/>
  <c r="Q42" i="74"/>
  <c r="W42" i="74" s="1"/>
  <c r="X42" i="74"/>
  <c r="S42" i="74"/>
  <c r="O42" i="74"/>
  <c r="P42" i="74" s="1"/>
  <c r="AC42" i="74"/>
  <c r="AA39" i="74"/>
  <c r="Z39" i="74"/>
  <c r="V106" i="74"/>
  <c r="W106" i="74"/>
  <c r="Y106" i="74" s="1"/>
  <c r="R106" i="74"/>
  <c r="S106" i="74" s="1"/>
  <c r="U106" i="74" s="1"/>
  <c r="N179" i="66"/>
  <c r="AA127" i="74"/>
  <c r="Z127" i="74"/>
  <c r="V108" i="74"/>
  <c r="W108" i="74"/>
  <c r="Y108" i="74" s="1"/>
  <c r="R108" i="74"/>
  <c r="S108" i="74" s="1"/>
  <c r="U108" i="74" s="1"/>
  <c r="AB174" i="66"/>
  <c r="AC174" i="66" s="1"/>
  <c r="AB26" i="66"/>
  <c r="AC26" i="66" s="1"/>
  <c r="AB42" i="66"/>
  <c r="AC42" i="66" s="1"/>
  <c r="Z184" i="66"/>
  <c r="Z271" i="66"/>
  <c r="AA127" i="66"/>
  <c r="O42" i="66"/>
  <c r="P186" i="66" s="1"/>
  <c r="R186" i="66" s="1"/>
  <c r="O174" i="66"/>
  <c r="P174" i="66" s="1"/>
  <c r="E291" i="38"/>
  <c r="E297" i="38"/>
  <c r="E279" i="38"/>
  <c r="E285" i="38"/>
  <c r="N290" i="66"/>
  <c r="H455" i="41"/>
  <c r="R240" i="66"/>
  <c r="S240" i="66" s="1"/>
  <c r="U240" i="66" s="1"/>
  <c r="R96" i="66"/>
  <c r="S96" i="66" s="1"/>
  <c r="U96" i="66" s="1"/>
  <c r="R80" i="66"/>
  <c r="S80" i="66" s="1"/>
  <c r="U80" i="66" s="1"/>
  <c r="G2" i="53"/>
  <c r="E284" i="38" s="1"/>
  <c r="S174" i="66"/>
  <c r="H497" i="41"/>
  <c r="E410" i="38"/>
  <c r="H457" i="41"/>
  <c r="Q174" i="66"/>
  <c r="T174" i="66"/>
  <c r="Q42" i="66"/>
  <c r="S42" i="66"/>
  <c r="T42" i="66"/>
  <c r="P201" i="66"/>
  <c r="H456" i="41"/>
  <c r="U17" i="66"/>
  <c r="U153" i="66"/>
  <c r="U161" i="66"/>
  <c r="U9" i="66"/>
  <c r="U30" i="66"/>
  <c r="AA249" i="66"/>
  <c r="P105" i="66"/>
  <c r="AA105" i="66"/>
  <c r="Z249" i="66"/>
  <c r="Z105" i="66"/>
  <c r="Z17" i="66"/>
  <c r="AA9" i="66"/>
  <c r="AA153" i="66"/>
  <c r="Z9" i="66"/>
  <c r="P9" i="66"/>
  <c r="Z153" i="66"/>
  <c r="N146" i="66"/>
  <c r="N146" i="74" s="1"/>
  <c r="G8" i="53"/>
  <c r="E405" i="38"/>
  <c r="G37" i="66"/>
  <c r="G37" i="74" s="1"/>
  <c r="H496" i="41"/>
  <c r="AA17" i="66"/>
  <c r="P249" i="66"/>
  <c r="P153" i="66"/>
  <c r="M35" i="66"/>
  <c r="K29" i="39"/>
  <c r="T164" i="66"/>
  <c r="M179" i="66"/>
  <c r="N35" i="66"/>
  <c r="N35" i="74" s="1"/>
  <c r="B18" i="8"/>
  <c r="C11" i="63"/>
  <c r="H495" i="41"/>
  <c r="M181" i="66"/>
  <c r="O181" i="66" s="1"/>
  <c r="J29" i="39"/>
  <c r="Q26" i="66"/>
  <c r="S26" i="66"/>
  <c r="T26" i="66"/>
  <c r="O26" i="66"/>
  <c r="E404" i="38"/>
  <c r="G36" i="66"/>
  <c r="L29" i="39"/>
  <c r="AA57" i="66"/>
  <c r="AA201" i="66"/>
  <c r="P57" i="66"/>
  <c r="Z57" i="66"/>
  <c r="Z201" i="66"/>
  <c r="AA161" i="66" l="1"/>
  <c r="P161" i="66"/>
  <c r="R161" i="66" s="1"/>
  <c r="Z161" i="66"/>
  <c r="AC30" i="74"/>
  <c r="AD30" i="74" s="1"/>
  <c r="C26" i="75"/>
  <c r="G36" i="74"/>
  <c r="S30" i="74"/>
  <c r="U170" i="66"/>
  <c r="Q30" i="74"/>
  <c r="W30" i="74" s="1"/>
  <c r="Y30" i="74" s="1"/>
  <c r="X20" i="74"/>
  <c r="AA186" i="66"/>
  <c r="AA42" i="66"/>
  <c r="P42" i="66"/>
  <c r="R42" i="66" s="1"/>
  <c r="AD26" i="74"/>
  <c r="B10" i="75" s="1"/>
  <c r="E10" i="75" s="1"/>
  <c r="B25" i="75"/>
  <c r="E25" i="75" s="1"/>
  <c r="AD42" i="74"/>
  <c r="B14" i="75" s="1"/>
  <c r="E14" i="75" s="1"/>
  <c r="B29" i="75"/>
  <c r="E29" i="75" s="1"/>
  <c r="U26" i="74"/>
  <c r="AC17" i="74"/>
  <c r="AD17" i="74" s="1"/>
  <c r="S17" i="74"/>
  <c r="V96" i="74"/>
  <c r="R96" i="74"/>
  <c r="S96" i="74" s="1"/>
  <c r="U96" i="74" s="1"/>
  <c r="W96" i="74"/>
  <c r="Y96" i="74" s="1"/>
  <c r="P57" i="74"/>
  <c r="AA57" i="74"/>
  <c r="Z57" i="74"/>
  <c r="P30" i="66"/>
  <c r="R30" i="66" s="1"/>
  <c r="AA174" i="66"/>
  <c r="T17" i="74"/>
  <c r="P105" i="74"/>
  <c r="AA105" i="74"/>
  <c r="Z105" i="74"/>
  <c r="Q17" i="74"/>
  <c r="W17" i="74" s="1"/>
  <c r="Y17" i="74" s="1"/>
  <c r="AA30" i="66"/>
  <c r="Z174" i="66"/>
  <c r="Z30" i="66"/>
  <c r="M35" i="74"/>
  <c r="R80" i="74"/>
  <c r="S80" i="74" s="1"/>
  <c r="U80" i="74" s="1"/>
  <c r="V80" i="74"/>
  <c r="W80" i="74"/>
  <c r="Y80" i="74" s="1"/>
  <c r="Y42" i="74"/>
  <c r="U30" i="74"/>
  <c r="N185" i="66"/>
  <c r="M180" i="66"/>
  <c r="AB180" i="66" s="1"/>
  <c r="AC180" i="66" s="1"/>
  <c r="Z42" i="74"/>
  <c r="AA42" i="74"/>
  <c r="U42" i="74"/>
  <c r="AA17" i="74"/>
  <c r="Z17" i="74"/>
  <c r="Z26" i="74"/>
  <c r="AA26" i="74"/>
  <c r="AA30" i="74"/>
  <c r="Z30" i="74"/>
  <c r="AB35" i="66"/>
  <c r="AC35" i="66" s="1"/>
  <c r="AB179" i="66"/>
  <c r="AC179" i="66" s="1"/>
  <c r="AB181" i="66"/>
  <c r="AC181" i="66" s="1"/>
  <c r="Z42" i="66"/>
  <c r="Z186" i="66"/>
  <c r="E296" i="38"/>
  <c r="E290" i="38"/>
  <c r="E278" i="38"/>
  <c r="N20" i="66"/>
  <c r="U174" i="66"/>
  <c r="R174" i="66"/>
  <c r="R201" i="66"/>
  <c r="S201" i="66" s="1"/>
  <c r="U201" i="66" s="1"/>
  <c r="U42" i="66"/>
  <c r="R153" i="66"/>
  <c r="R105" i="66"/>
  <c r="S105" i="66" s="1"/>
  <c r="U105" i="66" s="1"/>
  <c r="R17" i="66"/>
  <c r="S35" i="66"/>
  <c r="U35" i="66" s="1"/>
  <c r="Q35" i="66"/>
  <c r="O35" i="66"/>
  <c r="N41" i="66"/>
  <c r="N41" i="74" s="1"/>
  <c r="U26" i="66"/>
  <c r="R9" i="66"/>
  <c r="M36" i="66"/>
  <c r="P26" i="66"/>
  <c r="AA26" i="66"/>
  <c r="Z26" i="66"/>
  <c r="Z170" i="66"/>
  <c r="AA170" i="66"/>
  <c r="P170" i="66"/>
  <c r="M41" i="66"/>
  <c r="S179" i="66"/>
  <c r="U179" i="66" s="1"/>
  <c r="Q179" i="66"/>
  <c r="O179" i="66"/>
  <c r="M37" i="66"/>
  <c r="M37" i="74" s="1"/>
  <c r="O37" i="74" s="1"/>
  <c r="P37" i="74" s="1"/>
  <c r="R57" i="66"/>
  <c r="S57" i="66" s="1"/>
  <c r="U57" i="66" s="1"/>
  <c r="Q181" i="66"/>
  <c r="W181" i="66" s="1"/>
  <c r="Y181" i="66" s="1"/>
  <c r="S181" i="66"/>
  <c r="U181" i="66" s="1"/>
  <c r="M185" i="66"/>
  <c r="R249" i="66"/>
  <c r="S249" i="66" s="1"/>
  <c r="U249" i="66" s="1"/>
  <c r="O180" i="66" l="1"/>
  <c r="U17" i="74"/>
  <c r="R105" i="74"/>
  <c r="S105" i="74" s="1"/>
  <c r="U105" i="74" s="1"/>
  <c r="V105" i="74"/>
  <c r="W105" i="74"/>
  <c r="Y105" i="74" s="1"/>
  <c r="AC37" i="74"/>
  <c r="AD37" i="74" s="1"/>
  <c r="S37" i="74"/>
  <c r="U37" i="74" s="1"/>
  <c r="Q37" i="74"/>
  <c r="W37" i="74" s="1"/>
  <c r="Y37" i="74" s="1"/>
  <c r="S35" i="74"/>
  <c r="U35" i="74" s="1"/>
  <c r="Q35" i="74"/>
  <c r="W35" i="74" s="1"/>
  <c r="Y35" i="74" s="1"/>
  <c r="O35" i="74"/>
  <c r="AC35" i="74"/>
  <c r="AD35" i="74" s="1"/>
  <c r="O36" i="66"/>
  <c r="Z36" i="66" s="1"/>
  <c r="M36" i="74"/>
  <c r="V57" i="74"/>
  <c r="W57" i="74"/>
  <c r="Y57" i="74" s="1"/>
  <c r="R57" i="74"/>
  <c r="S57" i="74" s="1"/>
  <c r="U57" i="74" s="1"/>
  <c r="M41" i="74"/>
  <c r="R17" i="74"/>
  <c r="V17" i="74"/>
  <c r="V30" i="74"/>
  <c r="R30" i="74"/>
  <c r="M20" i="66"/>
  <c r="S20" i="66" s="1"/>
  <c r="U20" i="66" s="1"/>
  <c r="N164" i="66"/>
  <c r="N20" i="74" s="1"/>
  <c r="Z37" i="74"/>
  <c r="AA37" i="74"/>
  <c r="Q180" i="66"/>
  <c r="W180" i="66" s="1"/>
  <c r="Y180" i="66" s="1"/>
  <c r="S180" i="66"/>
  <c r="U180" i="66" s="1"/>
  <c r="V26" i="74"/>
  <c r="R26" i="74"/>
  <c r="V42" i="74"/>
  <c r="R42" i="74"/>
  <c r="AB41" i="66"/>
  <c r="AC41" i="66" s="1"/>
  <c r="AB185" i="66"/>
  <c r="AC185" i="66" s="1"/>
  <c r="AB37" i="66"/>
  <c r="AC37" i="66" s="1"/>
  <c r="AB36" i="66"/>
  <c r="AC36" i="66" s="1"/>
  <c r="P179" i="66"/>
  <c r="Q41" i="66"/>
  <c r="W41" i="66" s="1"/>
  <c r="Y41" i="66" s="1"/>
  <c r="S41" i="66"/>
  <c r="U41" i="66" s="1"/>
  <c r="O41" i="66"/>
  <c r="R26" i="66"/>
  <c r="O37" i="66"/>
  <c r="Q37" i="66"/>
  <c r="W37" i="66" s="1"/>
  <c r="Y37" i="66" s="1"/>
  <c r="S37" i="66"/>
  <c r="U37" i="66" s="1"/>
  <c r="S36" i="66"/>
  <c r="U36" i="66" s="1"/>
  <c r="Q36" i="66"/>
  <c r="W36" i="66" s="1"/>
  <c r="Y36" i="66" s="1"/>
  <c r="Z179" i="66"/>
  <c r="P35" i="66"/>
  <c r="AA35" i="66"/>
  <c r="Z35" i="66"/>
  <c r="AA179" i="66"/>
  <c r="R170" i="66"/>
  <c r="B16" i="8"/>
  <c r="S185" i="66"/>
  <c r="U185" i="66" s="1"/>
  <c r="Q185" i="66"/>
  <c r="W185" i="66" s="1"/>
  <c r="Y185" i="66" s="1"/>
  <c r="O185" i="66"/>
  <c r="AA180" i="66"/>
  <c r="M164" i="66"/>
  <c r="Q20" i="66" l="1"/>
  <c r="O20" i="66"/>
  <c r="P180" i="66"/>
  <c r="V180" i="66" s="1"/>
  <c r="S36" i="74"/>
  <c r="U36" i="74" s="1"/>
  <c r="AC36" i="74"/>
  <c r="AD36" i="74" s="1"/>
  <c r="Q36" i="74"/>
  <c r="W36" i="74" s="1"/>
  <c r="Y36" i="74" s="1"/>
  <c r="O36" i="74"/>
  <c r="M20" i="74"/>
  <c r="S20" i="74" s="1"/>
  <c r="U20" i="74" s="1"/>
  <c r="P35" i="74"/>
  <c r="AA35" i="74"/>
  <c r="Z35" i="74"/>
  <c r="AA36" i="66"/>
  <c r="Z180" i="66"/>
  <c r="P36" i="66"/>
  <c r="R36" i="66" s="1"/>
  <c r="O41" i="74"/>
  <c r="Q41" i="74"/>
  <c r="W41" i="74" s="1"/>
  <c r="Y41" i="74" s="1"/>
  <c r="S41" i="74"/>
  <c r="U41" i="74" s="1"/>
  <c r="AC41" i="74"/>
  <c r="AB20" i="66"/>
  <c r="AC20" i="66" s="1"/>
  <c r="V37" i="74"/>
  <c r="R37" i="74"/>
  <c r="AB164" i="66"/>
  <c r="AC164" i="66" s="1"/>
  <c r="R179" i="66"/>
  <c r="P185" i="66"/>
  <c r="R185" i="66" s="1"/>
  <c r="Z185" i="66"/>
  <c r="P41" i="66"/>
  <c r="AA185" i="66"/>
  <c r="Z41" i="66"/>
  <c r="AA41" i="66"/>
  <c r="S164" i="66"/>
  <c r="U164" i="66" s="1"/>
  <c r="Q164" i="66"/>
  <c r="O164" i="66"/>
  <c r="P164" i="66" s="1"/>
  <c r="R35" i="66"/>
  <c r="P37" i="66"/>
  <c r="AA181" i="66"/>
  <c r="Z181" i="66"/>
  <c r="Z37" i="66"/>
  <c r="AA37" i="66"/>
  <c r="P181" i="66"/>
  <c r="Q20" i="74" l="1"/>
  <c r="W20" i="74" s="1"/>
  <c r="Y20" i="74" s="1"/>
  <c r="AC20" i="74"/>
  <c r="AD20" i="74" s="1"/>
  <c r="O20" i="74"/>
  <c r="P20" i="74" s="1"/>
  <c r="AD41" i="74"/>
  <c r="B8" i="75" s="1"/>
  <c r="E8" i="75" s="1"/>
  <c r="B23" i="75"/>
  <c r="E23" i="75" s="1"/>
  <c r="V36" i="66"/>
  <c r="V35" i="74"/>
  <c r="R35" i="74"/>
  <c r="P41" i="74"/>
  <c r="AA41" i="74"/>
  <c r="Z41" i="74"/>
  <c r="R180" i="66"/>
  <c r="P36" i="74"/>
  <c r="Z36" i="74"/>
  <c r="AA36" i="74"/>
  <c r="Z20" i="74"/>
  <c r="AA20" i="74"/>
  <c r="V185" i="66"/>
  <c r="Z20" i="66"/>
  <c r="R164" i="66"/>
  <c r="R37" i="66"/>
  <c r="V37" i="66"/>
  <c r="R41" i="66"/>
  <c r="V41" i="66"/>
  <c r="AA20" i="66"/>
  <c r="V181" i="66"/>
  <c r="R181" i="66"/>
  <c r="Z164" i="66"/>
  <c r="P20" i="66"/>
  <c r="AA164" i="66"/>
  <c r="V36" i="74" l="1"/>
  <c r="R36" i="74"/>
  <c r="R41" i="74"/>
  <c r="V41" i="74"/>
  <c r="R20" i="74"/>
  <c r="V20" i="74"/>
  <c r="R20" i="66"/>
  <c r="H488" i="58" l="1"/>
  <c r="H488" i="37"/>
  <c r="H487" i="58"/>
  <c r="H487" i="37"/>
  <c r="H487" i="41" l="1"/>
  <c r="H488" i="41"/>
  <c r="J6" i="58" l="1"/>
  <c r="H6" i="58"/>
  <c r="I6" i="58"/>
  <c r="I6" i="41" l="1"/>
  <c r="D46" i="39" s="1"/>
  <c r="E108" i="38" s="1"/>
  <c r="G71" i="66"/>
  <c r="G71" i="74" s="1"/>
  <c r="G215" i="66"/>
  <c r="H6" i="41"/>
  <c r="C46" i="39" s="1"/>
  <c r="E91" i="38" s="1"/>
  <c r="G23" i="66"/>
  <c r="G23" i="74" s="1"/>
  <c r="G263" i="66"/>
  <c r="G167" i="66"/>
  <c r="J6" i="41"/>
  <c r="E46" i="39" s="1"/>
  <c r="E125" i="38" s="1"/>
  <c r="G119" i="66"/>
  <c r="G119" i="74" s="1"/>
  <c r="L46" i="39" l="1"/>
  <c r="E159" i="38" s="1"/>
  <c r="M46" i="39"/>
  <c r="E176" i="38" s="1"/>
  <c r="K46" i="39"/>
  <c r="E142" i="38" s="1"/>
  <c r="K119" i="66"/>
  <c r="J467" i="37"/>
  <c r="K23" i="66"/>
  <c r="H467" i="37"/>
  <c r="K71" i="66"/>
  <c r="I467" i="37"/>
  <c r="O71" i="66" l="1"/>
  <c r="O23" i="66"/>
  <c r="O119" i="66"/>
  <c r="K167" i="66"/>
  <c r="O167" i="66" s="1"/>
  <c r="P167" i="66" s="1"/>
  <c r="J467" i="58"/>
  <c r="J467" i="41" s="1"/>
  <c r="K215" i="66"/>
  <c r="F19" i="39" s="1"/>
  <c r="AB71" i="66"/>
  <c r="AC71" i="66" s="1"/>
  <c r="AB23" i="66"/>
  <c r="AC23" i="66" s="1"/>
  <c r="AB119" i="66"/>
  <c r="AC119" i="66" s="1"/>
  <c r="I467" i="58"/>
  <c r="I467" i="41" s="1"/>
  <c r="K263" i="66"/>
  <c r="K119" i="74" s="1"/>
  <c r="H467" i="58"/>
  <c r="H467" i="41" s="1"/>
  <c r="H482" i="37"/>
  <c r="H482" i="58"/>
  <c r="J5" i="58"/>
  <c r="H5" i="58"/>
  <c r="T23" i="66"/>
  <c r="S23" i="66"/>
  <c r="Q23" i="66"/>
  <c r="I5" i="58"/>
  <c r="Q71" i="66"/>
  <c r="T71" i="66"/>
  <c r="Z167" i="66"/>
  <c r="T119" i="66"/>
  <c r="Q119" i="66"/>
  <c r="AA167" i="66" l="1"/>
  <c r="T119" i="74"/>
  <c r="X119" i="74"/>
  <c r="Q119" i="74"/>
  <c r="P23" i="66"/>
  <c r="R23" i="66" s="1"/>
  <c r="AB167" i="66"/>
  <c r="AC167" i="66" s="1"/>
  <c r="AA23" i="66"/>
  <c r="T167" i="66"/>
  <c r="Z23" i="66"/>
  <c r="K23" i="74"/>
  <c r="S167" i="66"/>
  <c r="K71" i="74"/>
  <c r="Q167" i="66"/>
  <c r="O215" i="66"/>
  <c r="P215" i="66" s="1"/>
  <c r="R215" i="66" s="1"/>
  <c r="S215" i="66" s="1"/>
  <c r="T215" i="66"/>
  <c r="Q215" i="66"/>
  <c r="AB215" i="66"/>
  <c r="AC215" i="66" s="1"/>
  <c r="AB263" i="66"/>
  <c r="AC263" i="66" s="1"/>
  <c r="G19" i="39"/>
  <c r="T263" i="66"/>
  <c r="Q263" i="66"/>
  <c r="O263" i="66"/>
  <c r="P263" i="66" s="1"/>
  <c r="R263" i="66" s="1"/>
  <c r="S263" i="66" s="1"/>
  <c r="U167" i="66"/>
  <c r="H482" i="41"/>
  <c r="H481" i="37"/>
  <c r="H481" i="58"/>
  <c r="J5" i="41"/>
  <c r="M52" i="39" s="1"/>
  <c r="E184" i="38" s="1"/>
  <c r="G117" i="66"/>
  <c r="E30" i="53"/>
  <c r="H483" i="37"/>
  <c r="H483" i="58"/>
  <c r="E36" i="53"/>
  <c r="G261" i="66"/>
  <c r="U23" i="66"/>
  <c r="R167" i="66"/>
  <c r="Z71" i="66"/>
  <c r="G213" i="66"/>
  <c r="E24" i="53"/>
  <c r="Z215" i="66"/>
  <c r="G69" i="66"/>
  <c r="G69" i="74" s="1"/>
  <c r="E18" i="53"/>
  <c r="I5" i="41"/>
  <c r="L52" i="39" s="1"/>
  <c r="E167" i="38" s="1"/>
  <c r="P71" i="66"/>
  <c r="AA71" i="66"/>
  <c r="G165" i="66"/>
  <c r="E12" i="53"/>
  <c r="E6" i="53"/>
  <c r="G21" i="66"/>
  <c r="H5" i="41"/>
  <c r="K52" i="39" s="1"/>
  <c r="E150" i="38" s="1"/>
  <c r="G117" i="74" l="1"/>
  <c r="U215" i="66"/>
  <c r="G21" i="74"/>
  <c r="Q71" i="74"/>
  <c r="X71" i="74"/>
  <c r="T71" i="74"/>
  <c r="S23" i="74"/>
  <c r="T23" i="74"/>
  <c r="Q23" i="74"/>
  <c r="W23" i="74" s="1"/>
  <c r="X23" i="74"/>
  <c r="O23" i="74"/>
  <c r="P23" i="74" s="1"/>
  <c r="AC23" i="74"/>
  <c r="AD23" i="74" s="1"/>
  <c r="AA215" i="66"/>
  <c r="U263" i="66"/>
  <c r="Z119" i="66"/>
  <c r="AA263" i="66"/>
  <c r="AA119" i="66"/>
  <c r="Z263" i="66"/>
  <c r="P119" i="66"/>
  <c r="R119" i="66" s="1"/>
  <c r="S119" i="66" s="1"/>
  <c r="U119" i="66" s="1"/>
  <c r="E52" i="39"/>
  <c r="E133" i="38" s="1"/>
  <c r="D52" i="39"/>
  <c r="E116" i="38" s="1"/>
  <c r="H483" i="41"/>
  <c r="C52" i="39"/>
  <c r="E99" i="38" s="1"/>
  <c r="D12" i="53"/>
  <c r="F12" i="53" s="1"/>
  <c r="H6" i="53" s="1"/>
  <c r="K165" i="66"/>
  <c r="H470" i="58"/>
  <c r="H481" i="41"/>
  <c r="R71" i="66"/>
  <c r="S71" i="66" s="1"/>
  <c r="U71" i="66" s="1"/>
  <c r="D36" i="53"/>
  <c r="F36" i="53" s="1"/>
  <c r="H30" i="53" s="1"/>
  <c r="K261" i="66"/>
  <c r="J470" i="58"/>
  <c r="D24" i="53"/>
  <c r="F24" i="53" s="1"/>
  <c r="H18" i="53" s="1"/>
  <c r="K213" i="66"/>
  <c r="I470" i="58"/>
  <c r="U23" i="74" l="1"/>
  <c r="AA23" i="74"/>
  <c r="Y23" i="74"/>
  <c r="Z23" i="74"/>
  <c r="D30" i="53"/>
  <c r="F30" i="53" s="1"/>
  <c r="H36" i="53" s="1"/>
  <c r="G36" i="53" s="1"/>
  <c r="V23" i="74"/>
  <c r="R23" i="74"/>
  <c r="K69" i="66"/>
  <c r="J470" i="37"/>
  <c r="J470" i="41" s="1"/>
  <c r="K117" i="66"/>
  <c r="K117" i="74" s="1"/>
  <c r="I470" i="37"/>
  <c r="I470" i="41" s="1"/>
  <c r="D18" i="53"/>
  <c r="F18" i="53" s="1"/>
  <c r="H24" i="53" s="1"/>
  <c r="G24" i="53" s="1"/>
  <c r="T165" i="66"/>
  <c r="T213" i="66"/>
  <c r="D6" i="53"/>
  <c r="F6" i="53" s="1"/>
  <c r="K21" i="66"/>
  <c r="K21" i="74" s="1"/>
  <c r="T21" i="74" s="1"/>
  <c r="H470" i="37"/>
  <c r="H470" i="41" s="1"/>
  <c r="T261" i="66"/>
  <c r="T69" i="66" l="1"/>
  <c r="K69" i="74"/>
  <c r="X69" i="74" s="1"/>
  <c r="X21" i="74"/>
  <c r="G30" i="53"/>
  <c r="E336" i="38" s="1"/>
  <c r="X117" i="74"/>
  <c r="T117" i="74"/>
  <c r="E342" i="38"/>
  <c r="E348" i="38"/>
  <c r="E318" i="38"/>
  <c r="E324" i="38"/>
  <c r="T117" i="66"/>
  <c r="G18" i="53"/>
  <c r="T21" i="66"/>
  <c r="H12" i="53"/>
  <c r="G12" i="53" s="1"/>
  <c r="G6" i="53"/>
  <c r="E330" i="38" l="1"/>
  <c r="T69" i="74"/>
  <c r="N213" i="66"/>
  <c r="N261" i="66"/>
  <c r="E294" i="38"/>
  <c r="E300" i="38"/>
  <c r="E306" i="38"/>
  <c r="E312" i="38"/>
  <c r="E282" i="38"/>
  <c r="E288" i="38"/>
  <c r="M261" i="66"/>
  <c r="J485" i="58"/>
  <c r="M213" i="66"/>
  <c r="I485" i="58"/>
  <c r="M117" i="66"/>
  <c r="M117" i="74" s="1"/>
  <c r="J485" i="37"/>
  <c r="N117" i="66"/>
  <c r="D19" i="8"/>
  <c r="G25" i="39" l="1"/>
  <c r="N117" i="74"/>
  <c r="O117" i="74" s="1"/>
  <c r="P117" i="74" s="1"/>
  <c r="Q117" i="74"/>
  <c r="N69" i="66"/>
  <c r="N165" i="66"/>
  <c r="I485" i="37"/>
  <c r="I485" i="41" s="1"/>
  <c r="AB117" i="66"/>
  <c r="AC117" i="66" s="1"/>
  <c r="AB213" i="66"/>
  <c r="AC213" i="66" s="1"/>
  <c r="AB261" i="66"/>
  <c r="AC261" i="66" s="1"/>
  <c r="C19" i="8"/>
  <c r="M69" i="66"/>
  <c r="M69" i="74" s="1"/>
  <c r="J485" i="41"/>
  <c r="N21" i="66"/>
  <c r="N21" i="74" s="1"/>
  <c r="B19" i="8"/>
  <c r="M21" i="66"/>
  <c r="H485" i="37"/>
  <c r="O117" i="66"/>
  <c r="Q117" i="66"/>
  <c r="Q213" i="66"/>
  <c r="O213" i="66"/>
  <c r="M165" i="66"/>
  <c r="H485" i="58"/>
  <c r="Q261" i="66"/>
  <c r="O261" i="66"/>
  <c r="M21" i="74" l="1"/>
  <c r="O21" i="74" s="1"/>
  <c r="P21" i="74" s="1"/>
  <c r="F25" i="39"/>
  <c r="N69" i="74"/>
  <c r="O69" i="74" s="1"/>
  <c r="P69" i="74" s="1"/>
  <c r="AC117" i="74"/>
  <c r="AD117" i="74" s="1"/>
  <c r="Q69" i="74"/>
  <c r="Z117" i="74"/>
  <c r="AA117" i="74"/>
  <c r="AB21" i="66"/>
  <c r="AC21" i="66" s="1"/>
  <c r="AB69" i="66"/>
  <c r="AC69" i="66" s="1"/>
  <c r="AB165" i="66"/>
  <c r="AC165" i="66" s="1"/>
  <c r="Q69" i="66"/>
  <c r="O69" i="66"/>
  <c r="H485" i="41"/>
  <c r="P261" i="66"/>
  <c r="O165" i="66"/>
  <c r="Q165" i="66"/>
  <c r="S165" i="66"/>
  <c r="U165" i="66" s="1"/>
  <c r="AA117" i="66"/>
  <c r="Z117" i="66"/>
  <c r="P117" i="66"/>
  <c r="AA261" i="66"/>
  <c r="Z261" i="66"/>
  <c r="Q21" i="66"/>
  <c r="S21" i="66"/>
  <c r="U21" i="66" s="1"/>
  <c r="O21" i="66"/>
  <c r="AA21" i="74" l="1"/>
  <c r="Z21" i="74"/>
  <c r="S21" i="74"/>
  <c r="U21" i="74" s="1"/>
  <c r="Q21" i="74"/>
  <c r="W21" i="74" s="1"/>
  <c r="Y21" i="74" s="1"/>
  <c r="AC21" i="74"/>
  <c r="AD21" i="74" s="1"/>
  <c r="AC69" i="74"/>
  <c r="AD69" i="74" s="1"/>
  <c r="V117" i="74"/>
  <c r="W117" i="74"/>
  <c r="Y117" i="74" s="1"/>
  <c r="R117" i="74"/>
  <c r="S117" i="74" s="1"/>
  <c r="U117" i="74" s="1"/>
  <c r="AA69" i="74"/>
  <c r="Z69" i="74"/>
  <c r="V21" i="74"/>
  <c r="R21" i="74"/>
  <c r="AA69" i="66"/>
  <c r="Z213" i="66"/>
  <c r="AA213" i="66"/>
  <c r="Z69" i="66"/>
  <c r="P213" i="66"/>
  <c r="P69" i="66"/>
  <c r="P165" i="66"/>
  <c r="Z165" i="66"/>
  <c r="AA165" i="66"/>
  <c r="AA21" i="66"/>
  <c r="Z21" i="66"/>
  <c r="P21" i="66"/>
  <c r="R117" i="66"/>
  <c r="S117" i="66" s="1"/>
  <c r="U117" i="66" s="1"/>
  <c r="R261" i="66"/>
  <c r="S261" i="66" s="1"/>
  <c r="U261" i="66" s="1"/>
  <c r="V69" i="74" l="1"/>
  <c r="W69" i="74"/>
  <c r="Y69" i="74" s="1"/>
  <c r="R69" i="74"/>
  <c r="S69" i="74" s="1"/>
  <c r="U69" i="74" s="1"/>
  <c r="R213" i="66"/>
  <c r="S213" i="66" s="1"/>
  <c r="U213" i="66" s="1"/>
  <c r="R69" i="66"/>
  <c r="S69" i="66" s="1"/>
  <c r="U69" i="66" s="1"/>
  <c r="R21" i="66"/>
  <c r="R165" i="66"/>
  <c r="X146" i="66" l="1"/>
  <c r="X194" i="66"/>
  <c r="X242" i="66"/>
  <c r="X50" i="66"/>
  <c r="X290" i="66"/>
  <c r="X98" i="66"/>
  <c r="X186" i="66"/>
  <c r="V186" i="66"/>
  <c r="X42" i="66"/>
  <c r="W186" i="66"/>
  <c r="V42" i="66"/>
  <c r="W42" i="66"/>
  <c r="X17" i="66"/>
  <c r="X161" i="66"/>
  <c r="W17" i="66"/>
  <c r="W161" i="66"/>
  <c r="V161" i="66"/>
  <c r="V17" i="66"/>
  <c r="X87" i="66"/>
  <c r="X231" i="66"/>
  <c r="X183" i="66"/>
  <c r="V183" i="66"/>
  <c r="X279" i="66"/>
  <c r="W39" i="66"/>
  <c r="X39" i="66"/>
  <c r="X135" i="66"/>
  <c r="V87" i="66"/>
  <c r="V279" i="66"/>
  <c r="W87" i="66"/>
  <c r="W183" i="66"/>
  <c r="V135" i="66"/>
  <c r="W135" i="66"/>
  <c r="V39" i="66"/>
  <c r="W231" i="66"/>
  <c r="V231" i="66"/>
  <c r="W279" i="66"/>
  <c r="X112" i="66"/>
  <c r="W256" i="66"/>
  <c r="X256" i="66"/>
  <c r="W64" i="66"/>
  <c r="V160" i="66"/>
  <c r="X64" i="66"/>
  <c r="V256" i="66"/>
  <c r="W208" i="66"/>
  <c r="X160" i="66"/>
  <c r="V64" i="66"/>
  <c r="X208" i="66"/>
  <c r="X16" i="66"/>
  <c r="V16" i="66"/>
  <c r="W160" i="66"/>
  <c r="W16" i="66"/>
  <c r="W112" i="66"/>
  <c r="V208" i="66"/>
  <c r="V112" i="66"/>
  <c r="X88" i="66"/>
  <c r="W136" i="66"/>
  <c r="X136" i="66"/>
  <c r="W184" i="66"/>
  <c r="X280" i="66"/>
  <c r="V40" i="66"/>
  <c r="X232" i="66"/>
  <c r="W40" i="66"/>
  <c r="X40" i="66"/>
  <c r="W280" i="66"/>
  <c r="X184" i="66"/>
  <c r="V232" i="66"/>
  <c r="V88" i="66"/>
  <c r="V280" i="66"/>
  <c r="W232" i="66"/>
  <c r="V136" i="66"/>
  <c r="V184" i="66"/>
  <c r="W88" i="66"/>
  <c r="X275" i="66"/>
  <c r="X35" i="66"/>
  <c r="X227" i="66"/>
  <c r="X83" i="66"/>
  <c r="X179" i="66"/>
  <c r="X131" i="66"/>
  <c r="W179" i="66"/>
  <c r="W35" i="66"/>
  <c r="V179" i="66"/>
  <c r="V35" i="66"/>
  <c r="X204" i="66"/>
  <c r="X156" i="66"/>
  <c r="X12" i="66"/>
  <c r="X108" i="66"/>
  <c r="X252" i="66"/>
  <c r="X60" i="66"/>
  <c r="W156" i="66"/>
  <c r="W12" i="66"/>
  <c r="V156" i="66"/>
  <c r="V12" i="66"/>
  <c r="V204" i="66"/>
  <c r="W204" i="66"/>
  <c r="W60" i="66"/>
  <c r="V60" i="66"/>
  <c r="W252" i="66"/>
  <c r="V252" i="66"/>
  <c r="V108" i="66"/>
  <c r="W108" i="66"/>
  <c r="X170" i="66"/>
  <c r="X26" i="66"/>
  <c r="W170" i="66"/>
  <c r="W26" i="66"/>
  <c r="V170" i="66"/>
  <c r="V26" i="66"/>
  <c r="X58" i="66"/>
  <c r="X106" i="66"/>
  <c r="X202" i="66"/>
  <c r="X250" i="66"/>
  <c r="X10" i="66"/>
  <c r="W10" i="66"/>
  <c r="X154" i="66"/>
  <c r="W154" i="66"/>
  <c r="V154" i="66"/>
  <c r="V10" i="66"/>
  <c r="W202" i="66"/>
  <c r="V202" i="66"/>
  <c r="W250" i="66"/>
  <c r="V250" i="66"/>
  <c r="V58" i="66"/>
  <c r="W58" i="66"/>
  <c r="V106" i="66"/>
  <c r="W106" i="66"/>
  <c r="X80" i="66"/>
  <c r="X224" i="66"/>
  <c r="X32" i="66"/>
  <c r="X272" i="66"/>
  <c r="X128" i="66"/>
  <c r="W32" i="66"/>
  <c r="X176" i="66"/>
  <c r="W176" i="66"/>
  <c r="V32" i="66"/>
  <c r="V176" i="66"/>
  <c r="W272" i="66"/>
  <c r="W128" i="66"/>
  <c r="V128" i="66"/>
  <c r="V272" i="66"/>
  <c r="W80" i="66"/>
  <c r="W224" i="66"/>
  <c r="V224" i="66"/>
  <c r="V80" i="66"/>
  <c r="X9" i="66"/>
  <c r="X105" i="66"/>
  <c r="X153" i="66"/>
  <c r="X201" i="66"/>
  <c r="X57" i="66"/>
  <c r="X249" i="66"/>
  <c r="W9" i="66"/>
  <c r="W153" i="66"/>
  <c r="V201" i="66"/>
  <c r="W57" i="66"/>
  <c r="V249" i="66"/>
  <c r="W249" i="66"/>
  <c r="V153" i="66"/>
  <c r="V57" i="66"/>
  <c r="V9" i="66"/>
  <c r="W201" i="66"/>
  <c r="V105" i="66"/>
  <c r="W105" i="66"/>
  <c r="X30" i="66"/>
  <c r="W30" i="66"/>
  <c r="X174" i="66"/>
  <c r="V30" i="66"/>
  <c r="W174" i="66"/>
  <c r="V174" i="66"/>
  <c r="X172" i="66"/>
  <c r="X124" i="66"/>
  <c r="X268" i="66"/>
  <c r="X76" i="66"/>
  <c r="X220" i="66"/>
  <c r="W172" i="66"/>
  <c r="X28" i="66"/>
  <c r="W28" i="66"/>
  <c r="V172" i="66"/>
  <c r="V28" i="66"/>
  <c r="V76" i="66"/>
  <c r="W76" i="66"/>
  <c r="W268" i="66"/>
  <c r="V268" i="66"/>
  <c r="V220" i="66"/>
  <c r="W220" i="66"/>
  <c r="W124" i="66"/>
  <c r="V124" i="66"/>
  <c r="X5" i="66"/>
  <c r="V149" i="66"/>
  <c r="V53" i="66"/>
  <c r="X53" i="66"/>
  <c r="X101" i="66"/>
  <c r="X245" i="66"/>
  <c r="X149" i="66"/>
  <c r="X197" i="66"/>
  <c r="V5" i="66"/>
  <c r="W245" i="66"/>
  <c r="V101" i="66"/>
  <c r="W53" i="66"/>
  <c r="V245" i="66"/>
  <c r="W101" i="66"/>
  <c r="W149" i="66"/>
  <c r="W197" i="66"/>
  <c r="V197" i="66"/>
  <c r="W5" i="66"/>
  <c r="V265" i="66"/>
  <c r="W73" i="66"/>
  <c r="V73" i="66"/>
  <c r="W265" i="66"/>
  <c r="V25" i="66"/>
  <c r="W217" i="66"/>
  <c r="V121" i="66"/>
  <c r="W25" i="66"/>
  <c r="V169" i="66"/>
  <c r="W121" i="66"/>
  <c r="V217" i="66"/>
  <c r="W169" i="66"/>
  <c r="X217" i="66"/>
  <c r="X121" i="66"/>
  <c r="X169" i="66"/>
  <c r="X73" i="66"/>
  <c r="X265" i="66"/>
  <c r="X25" i="66"/>
  <c r="X96" i="66"/>
  <c r="X144" i="66"/>
  <c r="X288" i="66"/>
  <c r="X48" i="66"/>
  <c r="X192" i="66"/>
  <c r="W48" i="66"/>
  <c r="W192" i="66"/>
  <c r="X240" i="66"/>
  <c r="V192" i="66"/>
  <c r="V48" i="66"/>
  <c r="W288" i="66"/>
  <c r="V144" i="66"/>
  <c r="W144" i="66"/>
  <c r="V288" i="66"/>
  <c r="W240" i="66"/>
  <c r="V96" i="66"/>
  <c r="W96" i="66"/>
  <c r="V240" i="66"/>
  <c r="X263" i="66"/>
  <c r="X23" i="66"/>
  <c r="X167" i="66"/>
  <c r="X119" i="66"/>
  <c r="X215" i="66"/>
  <c r="X71" i="66"/>
  <c r="W167" i="66"/>
  <c r="V215" i="66"/>
  <c r="V23" i="66"/>
  <c r="W23" i="66"/>
  <c r="W263" i="66"/>
  <c r="V263" i="66"/>
  <c r="V167" i="66"/>
  <c r="W215" i="66"/>
  <c r="W71" i="66"/>
  <c r="V71" i="66"/>
  <c r="V119" i="66"/>
  <c r="W119" i="66"/>
  <c r="X238" i="66"/>
  <c r="X94" i="66"/>
  <c r="X286" i="66"/>
  <c r="X142" i="66"/>
  <c r="X46" i="66"/>
  <c r="X190" i="66"/>
  <c r="W190" i="66"/>
  <c r="W46" i="66"/>
  <c r="V46" i="66"/>
  <c r="V190" i="66"/>
  <c r="W94" i="66"/>
  <c r="V94" i="66"/>
  <c r="W238" i="66"/>
  <c r="V238" i="66"/>
  <c r="W142" i="66"/>
  <c r="V286" i="66"/>
  <c r="V142" i="66"/>
  <c r="W286" i="66"/>
  <c r="X165" i="66"/>
  <c r="X261" i="66"/>
  <c r="X213" i="66"/>
  <c r="X69" i="66"/>
  <c r="X117" i="66"/>
  <c r="X21" i="66"/>
  <c r="W21" i="66"/>
  <c r="V261" i="66"/>
  <c r="W165" i="66"/>
  <c r="W261" i="66"/>
  <c r="W117" i="66"/>
  <c r="V117" i="66"/>
  <c r="W213" i="66"/>
  <c r="V165" i="66"/>
  <c r="V69" i="66"/>
  <c r="V21" i="66"/>
  <c r="W69" i="66"/>
  <c r="V213" i="66"/>
  <c r="X141" i="66"/>
  <c r="X93" i="66"/>
  <c r="X285" i="66"/>
  <c r="X237" i="66"/>
  <c r="V237" i="66"/>
  <c r="W237" i="66"/>
  <c r="V93" i="66"/>
  <c r="W93" i="66"/>
  <c r="V141" i="66"/>
  <c r="W141" i="66"/>
  <c r="W285" i="66"/>
  <c r="V285" i="66"/>
  <c r="X45" i="66"/>
  <c r="X189" i="66"/>
  <c r="W45" i="66"/>
  <c r="W189" i="66"/>
  <c r="V189" i="66"/>
  <c r="V45" i="66"/>
  <c r="X20" i="66"/>
  <c r="X164" i="66"/>
  <c r="W20" i="66"/>
  <c r="W164" i="66"/>
  <c r="V164" i="66"/>
  <c r="V20" i="66"/>
  <c r="Y238" i="66" l="1"/>
  <c r="Y201" i="66"/>
  <c r="Y288" i="66"/>
  <c r="Y124" i="66"/>
  <c r="Y69" i="66"/>
  <c r="Y285" i="66"/>
  <c r="Y237" i="66"/>
  <c r="Y286" i="66"/>
  <c r="Y105" i="66"/>
  <c r="Y106" i="66"/>
  <c r="Y108" i="66"/>
  <c r="Y232" i="66"/>
  <c r="Y161" i="66"/>
  <c r="Y32" i="66"/>
  <c r="Y261" i="66"/>
  <c r="Y23" i="66"/>
  <c r="Y197" i="66"/>
  <c r="Y30" i="66"/>
  <c r="Y40" i="66"/>
  <c r="Y256" i="66"/>
  <c r="Y128" i="66"/>
  <c r="Y279" i="66"/>
  <c r="Y28" i="66"/>
  <c r="Y119" i="66"/>
  <c r="Y121" i="66"/>
  <c r="Y53" i="66"/>
  <c r="Y272" i="66"/>
  <c r="Y231" i="66"/>
  <c r="Y48" i="66"/>
  <c r="Y154" i="66"/>
  <c r="Y10" i="66"/>
  <c r="Y215" i="66"/>
  <c r="Y76" i="66"/>
  <c r="Y249" i="66"/>
  <c r="Y117" i="66"/>
  <c r="Y57" i="66"/>
  <c r="Y153" i="66"/>
  <c r="Y160" i="66"/>
  <c r="Y20" i="66"/>
  <c r="Y217" i="66"/>
  <c r="Y172" i="66"/>
  <c r="Y88" i="66"/>
  <c r="Y39" i="66"/>
  <c r="Y94" i="66"/>
  <c r="Y141" i="66"/>
  <c r="Y265" i="66"/>
  <c r="Y220" i="66"/>
  <c r="Y174" i="66"/>
  <c r="Y58" i="66"/>
  <c r="Y26" i="66"/>
  <c r="Y184" i="66"/>
  <c r="Y93" i="66"/>
  <c r="Y176" i="66"/>
  <c r="Y35" i="66"/>
  <c r="Y136" i="66"/>
  <c r="Y135" i="66"/>
  <c r="Y169" i="66"/>
  <c r="Y5" i="66"/>
  <c r="Y204" i="66"/>
  <c r="Y183" i="66"/>
  <c r="Y17" i="66"/>
  <c r="Y42" i="66"/>
  <c r="Y263" i="66"/>
  <c r="Y96" i="66"/>
  <c r="Y202" i="66"/>
  <c r="Y170" i="66"/>
  <c r="Y87" i="66"/>
  <c r="Y189" i="66"/>
  <c r="Y224" i="66"/>
  <c r="Y112" i="66"/>
  <c r="Y45" i="66"/>
  <c r="Y165" i="66"/>
  <c r="Y149" i="66"/>
  <c r="Y80" i="66"/>
  <c r="Y245" i="66"/>
  <c r="Y71" i="66"/>
  <c r="Y252" i="66"/>
  <c r="Y46" i="66"/>
  <c r="Y73" i="66"/>
  <c r="Y208" i="66"/>
  <c r="Y213" i="66"/>
  <c r="Y190" i="66"/>
  <c r="Y192" i="66"/>
  <c r="Y268" i="66"/>
  <c r="Y250" i="66"/>
  <c r="Y60" i="66"/>
  <c r="Y179" i="66"/>
  <c r="Y280" i="66"/>
  <c r="Y64" i="66"/>
  <c r="Y186" i="66"/>
  <c r="Y164" i="66"/>
  <c r="Y142" i="66"/>
  <c r="Y240" i="66"/>
  <c r="Y16" i="66"/>
  <c r="Y25" i="66"/>
  <c r="Y101" i="66"/>
  <c r="Y12" i="66"/>
  <c r="Y21" i="66"/>
  <c r="Y167" i="66"/>
  <c r="Y144" i="66"/>
  <c r="Y9" i="66"/>
  <c r="Y156" i="66"/>
  <c r="C8" i="63" l="1"/>
  <c r="C2" i="63"/>
  <c r="E287" i="38" l="1"/>
  <c r="G51" i="66" l="1"/>
  <c r="E5" i="53"/>
  <c r="F5" i="53" s="1"/>
  <c r="G50" i="66"/>
  <c r="H11" i="53" l="1"/>
  <c r="M291" i="66" l="1"/>
  <c r="M195" i="66"/>
  <c r="M51" i="74" s="1"/>
  <c r="M243" i="66"/>
  <c r="M99" i="66"/>
  <c r="M99" i="74" s="1"/>
  <c r="M147" i="66"/>
  <c r="M147" i="74" s="1"/>
  <c r="Q291" i="66" l="1"/>
  <c r="W291" i="66" s="1"/>
  <c r="Y291" i="66" s="1"/>
  <c r="S291" i="66"/>
  <c r="U291" i="66" s="1"/>
  <c r="N242" i="66"/>
  <c r="N98" i="66"/>
  <c r="N98" i="74" s="1"/>
  <c r="N194" i="66"/>
  <c r="N50" i="66"/>
  <c r="N50" i="74" s="1"/>
  <c r="N51" i="66"/>
  <c r="Q147" i="66"/>
  <c r="W147" i="66" s="1"/>
  <c r="Y147" i="66" s="1"/>
  <c r="S147" i="66"/>
  <c r="U147" i="66" s="1"/>
  <c r="Q99" i="66"/>
  <c r="W99" i="66" s="1"/>
  <c r="Y99" i="66" s="1"/>
  <c r="S99" i="66"/>
  <c r="U99" i="66" s="1"/>
  <c r="Q243" i="66"/>
  <c r="W243" i="66" s="1"/>
  <c r="Y243" i="66" s="1"/>
  <c r="S243" i="66"/>
  <c r="U243" i="66" s="1"/>
  <c r="Q195" i="66"/>
  <c r="W195" i="66" s="1"/>
  <c r="Y195" i="66" s="1"/>
  <c r="S195" i="66"/>
  <c r="U195" i="66" s="1"/>
  <c r="AB51" i="66" l="1"/>
  <c r="AC51" i="66" s="1"/>
  <c r="O51" i="66"/>
  <c r="X8" i="74" l="1"/>
  <c r="T8" i="74"/>
  <c r="X7" i="74" l="1"/>
  <c r="T7" i="74"/>
  <c r="U7" i="74" s="1"/>
  <c r="S8" i="74"/>
  <c r="U8" i="74" s="1"/>
  <c r="Q8" i="74"/>
  <c r="W8" i="74" s="1"/>
  <c r="Y8" i="74" s="1"/>
  <c r="X146" i="74" l="1"/>
  <c r="T146" i="74"/>
  <c r="X147" i="74"/>
  <c r="T147" i="74"/>
  <c r="X98" i="74"/>
  <c r="T98" i="74"/>
  <c r="X50" i="74"/>
  <c r="T50" i="74"/>
  <c r="X99" i="74" l="1"/>
  <c r="T99" i="74"/>
  <c r="Q147" i="74"/>
  <c r="W147" i="74" s="1"/>
  <c r="Y147" i="74" s="1"/>
  <c r="S147" i="74"/>
  <c r="U147" i="74" s="1"/>
  <c r="X51" i="74"/>
  <c r="T51" i="74"/>
  <c r="Q99" i="74" l="1"/>
  <c r="W99" i="74" s="1"/>
  <c r="Y99" i="74" s="1"/>
  <c r="Q51" i="74"/>
  <c r="W51" i="74" s="1"/>
  <c r="Y51" i="74" s="1"/>
  <c r="S99" i="74"/>
  <c r="U99" i="74" s="1"/>
  <c r="S51" i="74"/>
  <c r="U51" i="74" s="1"/>
  <c r="O26" i="9" l="1" a="1"/>
  <c r="O26" i="9" s="1"/>
  <c r="Q19" i="20" s="1"/>
  <c r="O28" i="9" a="1"/>
  <c r="O28" i="9" s="1"/>
  <c r="Q36" i="9" a="1"/>
  <c r="Q36" i="9" s="1"/>
  <c r="O36" i="9" a="1"/>
  <c r="O36" i="9" s="1"/>
  <c r="H39" i="20" s="1"/>
  <c r="O38" i="9" a="1"/>
  <c r="O38" i="9" s="1"/>
  <c r="E75" i="22" s="1"/>
  <c r="Q28" i="9" a="1"/>
  <c r="Q28" i="9" s="1"/>
  <c r="R28" i="9" a="1"/>
  <c r="R28" i="9" s="1"/>
  <c r="R38" i="9" a="1"/>
  <c r="R38" i="9" s="1"/>
  <c r="E90" i="22" s="1"/>
  <c r="Q9" i="20" l="1"/>
  <c r="Q10" i="20"/>
  <c r="H35" i="20"/>
  <c r="Q8" i="20"/>
  <c r="H41" i="20"/>
  <c r="H17" i="20"/>
  <c r="H11" i="20"/>
  <c r="H8" i="20"/>
  <c r="H18" i="20"/>
  <c r="H12" i="20"/>
  <c r="H14" i="20"/>
  <c r="H10" i="20"/>
  <c r="H13" i="20"/>
  <c r="Q7" i="20"/>
  <c r="E40" i="22"/>
  <c r="R8" i="9"/>
  <c r="E45" i="22"/>
  <c r="O30" i="9"/>
  <c r="O8" i="9"/>
  <c r="E30" i="22"/>
  <c r="J44" i="20"/>
  <c r="S44" i="20"/>
  <c r="Q38" i="20"/>
  <c r="Q35" i="20"/>
  <c r="H37" i="20"/>
  <c r="H46" i="20"/>
  <c r="J43" i="20"/>
  <c r="J35" i="20"/>
  <c r="Q15" i="20"/>
  <c r="Q18" i="20"/>
  <c r="O6" i="9"/>
  <c r="Q6" i="20"/>
  <c r="H40" i="20"/>
  <c r="H43" i="20"/>
  <c r="J45" i="20"/>
  <c r="J41" i="20"/>
  <c r="H9" i="20"/>
  <c r="Q12" i="20"/>
  <c r="J33" i="20"/>
  <c r="S45" i="20"/>
  <c r="H36" i="20"/>
  <c r="S38" i="20"/>
  <c r="S43" i="20"/>
  <c r="Q40" i="20"/>
  <c r="J34" i="20"/>
  <c r="H19" i="20"/>
  <c r="Q13" i="20"/>
  <c r="S33" i="20"/>
  <c r="Q45" i="20"/>
  <c r="Q39" i="20"/>
  <c r="S42" i="20"/>
  <c r="Q46" i="20"/>
  <c r="H44" i="20"/>
  <c r="O40" i="9"/>
  <c r="S40" i="20"/>
  <c r="J37" i="20"/>
  <c r="E28" i="22"/>
  <c r="Q16" i="20"/>
  <c r="Q11" i="20"/>
  <c r="R36" i="9" a="1"/>
  <c r="R36" i="9" s="1"/>
  <c r="S41" i="20"/>
  <c r="E73" i="22"/>
  <c r="S34" i="20"/>
  <c r="H42" i="20"/>
  <c r="Q38" i="9" a="1"/>
  <c r="Q38" i="9" s="1"/>
  <c r="E85" i="22" s="1"/>
  <c r="H38" i="20"/>
  <c r="Q41" i="20"/>
  <c r="J42" i="20"/>
  <c r="J38" i="20"/>
  <c r="J39" i="20"/>
  <c r="H7" i="20"/>
  <c r="H16" i="20"/>
  <c r="Q17" i="20"/>
  <c r="Q33" i="20"/>
  <c r="Q42" i="20"/>
  <c r="S39" i="20"/>
  <c r="J36" i="20"/>
  <c r="S35" i="20"/>
  <c r="H33" i="20"/>
  <c r="H45" i="20"/>
  <c r="Q26" i="9" a="1"/>
  <c r="Q26" i="9" s="1"/>
  <c r="Q34" i="20"/>
  <c r="Q36" i="20"/>
  <c r="Q44" i="20"/>
  <c r="S46" i="20"/>
  <c r="E83" i="22"/>
  <c r="J46" i="20"/>
  <c r="Q14" i="20"/>
  <c r="R26" i="9" a="1"/>
  <c r="R26" i="9" s="1"/>
  <c r="S36" i="20"/>
  <c r="H34" i="20"/>
  <c r="S37" i="20"/>
  <c r="H6" i="20"/>
  <c r="Q37" i="20"/>
  <c r="Q43" i="20"/>
  <c r="J40" i="20"/>
  <c r="H15" i="20"/>
  <c r="R6" i="9" l="1"/>
  <c r="T6" i="20"/>
  <c r="K12" i="20"/>
  <c r="T12" i="20"/>
  <c r="T19" i="20"/>
  <c r="T18" i="20"/>
  <c r="T8" i="20"/>
  <c r="T13" i="20"/>
  <c r="T17" i="20"/>
  <c r="T7" i="20"/>
  <c r="K18" i="20"/>
  <c r="K15" i="20"/>
  <c r="T9" i="20"/>
  <c r="K11" i="20"/>
  <c r="K10" i="20"/>
  <c r="K6" i="20"/>
  <c r="R30" i="9"/>
  <c r="K9" i="20"/>
  <c r="K7" i="20"/>
  <c r="K17" i="20"/>
  <c r="T11" i="20"/>
  <c r="T10" i="20"/>
  <c r="K16" i="20"/>
  <c r="K14" i="20"/>
  <c r="K8" i="20"/>
  <c r="T16" i="20"/>
  <c r="K13" i="20"/>
  <c r="K19" i="20"/>
  <c r="E43" i="22"/>
  <c r="T14" i="20"/>
  <c r="T15" i="20"/>
  <c r="N36" i="9" a="1"/>
  <c r="N36" i="9" s="1"/>
  <c r="N28" i="9" a="1"/>
  <c r="N28" i="9" s="1"/>
  <c r="N26" i="9" a="1"/>
  <c r="N26" i="9" s="1"/>
  <c r="N38" i="9" a="1"/>
  <c r="N38" i="9" s="1"/>
  <c r="E70" i="22" s="1"/>
  <c r="I147" i="35" a="1"/>
  <c r="I147" i="35" s="1"/>
  <c r="I151" i="35" a="1"/>
  <c r="I151" i="35" s="1"/>
  <c r="I149" i="35" a="1"/>
  <c r="I149" i="35" s="1"/>
  <c r="I143" i="35" a="1"/>
  <c r="I143" i="35" s="1"/>
  <c r="I146" i="35" a="1"/>
  <c r="I146" i="35" s="1"/>
  <c r="I154" i="35" a="1"/>
  <c r="I154" i="35" s="1"/>
  <c r="I155" i="35" a="1"/>
  <c r="I155" i="35" s="1"/>
  <c r="I156" i="35" a="1"/>
  <c r="I156" i="35" s="1"/>
  <c r="I150" i="35" a="1"/>
  <c r="I150" i="35" s="1"/>
  <c r="I144" i="35" a="1"/>
  <c r="I144" i="35" s="1"/>
  <c r="I152" i="35" a="1"/>
  <c r="I152" i="35" s="1"/>
  <c r="I148" i="35" a="1"/>
  <c r="I148" i="35" s="1"/>
  <c r="I145" i="35" a="1"/>
  <c r="I145" i="35" s="1"/>
  <c r="I153" i="35" a="1"/>
  <c r="I153" i="35" s="1"/>
  <c r="G409" i="18" a="1"/>
  <c r="G409" i="18" s="1"/>
  <c r="G421" i="18" a="1"/>
  <c r="G421" i="18" s="1"/>
  <c r="G412" i="18" a="1"/>
  <c r="G412" i="18" s="1"/>
  <c r="G413" i="18" a="1"/>
  <c r="G413" i="18" s="1"/>
  <c r="G418" i="18" a="1"/>
  <c r="G418" i="18" s="1"/>
  <c r="G417" i="18" a="1"/>
  <c r="G417" i="18" s="1"/>
  <c r="G416" i="18" a="1"/>
  <c r="G416" i="18" s="1"/>
  <c r="G420" i="18" a="1"/>
  <c r="G420" i="18" s="1"/>
  <c r="G411" i="18" a="1"/>
  <c r="G411" i="18" s="1"/>
  <c r="G415" i="18" a="1"/>
  <c r="G415" i="18" s="1"/>
  <c r="G408" i="18" a="1"/>
  <c r="G408" i="18" s="1"/>
  <c r="G410" i="18" a="1"/>
  <c r="G410" i="18" s="1"/>
  <c r="G419" i="18" a="1"/>
  <c r="G419" i="18" s="1"/>
  <c r="G414" i="18" a="1"/>
  <c r="G414" i="18" s="1"/>
  <c r="S47" i="20"/>
  <c r="H31" i="35" a="1"/>
  <c r="H31" i="35" s="1"/>
  <c r="H39" i="35" a="1"/>
  <c r="H39" i="35" s="1"/>
  <c r="H36" i="35" a="1"/>
  <c r="H36" i="35" s="1"/>
  <c r="H40" i="35" a="1"/>
  <c r="H40" i="35" s="1"/>
  <c r="H42" i="35" a="1"/>
  <c r="H42" i="35" s="1"/>
  <c r="H44" i="35" a="1"/>
  <c r="H44" i="35" s="1"/>
  <c r="H43" i="35" a="1"/>
  <c r="H43" i="35" s="1"/>
  <c r="H34" i="35" a="1"/>
  <c r="H34" i="35" s="1"/>
  <c r="H35" i="35" a="1"/>
  <c r="H35" i="35" s="1"/>
  <c r="H32" i="35" a="1"/>
  <c r="H32" i="35" s="1"/>
  <c r="H41" i="35" a="1"/>
  <c r="H41" i="35" s="1"/>
  <c r="H38" i="35" a="1"/>
  <c r="H38" i="35" s="1"/>
  <c r="H33" i="35" a="1"/>
  <c r="H33" i="35" s="1"/>
  <c r="H37" i="35" a="1"/>
  <c r="H37" i="35" s="1"/>
  <c r="G186" i="18" a="1"/>
  <c r="G186" i="18" s="1"/>
  <c r="G197" i="18" a="1"/>
  <c r="G197" i="18" s="1"/>
  <c r="G189" i="18" a="1"/>
  <c r="G189" i="18" s="1"/>
  <c r="G191" i="18" a="1"/>
  <c r="G191" i="18" s="1"/>
  <c r="H20" i="20"/>
  <c r="G195" i="18" a="1"/>
  <c r="G195" i="18" s="1"/>
  <c r="G192" i="18" a="1"/>
  <c r="G192" i="18" s="1"/>
  <c r="G188" i="18" a="1"/>
  <c r="G188" i="18" s="1"/>
  <c r="G184" i="18" a="1"/>
  <c r="G184" i="18" s="1"/>
  <c r="G185" i="18" a="1"/>
  <c r="G185" i="18" s="1"/>
  <c r="G194" i="18" a="1"/>
  <c r="G194" i="18" s="1"/>
  <c r="G193" i="18" a="1"/>
  <c r="G193" i="18" s="1"/>
  <c r="G196" i="18" a="1"/>
  <c r="G196" i="18" s="1"/>
  <c r="G187" i="18" a="1"/>
  <c r="G187" i="18" s="1"/>
  <c r="G190" i="18" a="1"/>
  <c r="G190" i="18" s="1"/>
  <c r="H123" i="35" a="1"/>
  <c r="H123" i="35" s="1"/>
  <c r="H118" i="35" a="1"/>
  <c r="H118" i="35" s="1"/>
  <c r="H117" i="35" a="1"/>
  <c r="H117" i="35" s="1"/>
  <c r="H125" i="35" a="1"/>
  <c r="H125" i="35" s="1"/>
  <c r="H122" i="35" a="1"/>
  <c r="H122" i="35" s="1"/>
  <c r="H120" i="35" a="1"/>
  <c r="H120" i="35" s="1"/>
  <c r="H128" i="35" a="1"/>
  <c r="H128" i="35" s="1"/>
  <c r="H124" i="35" a="1"/>
  <c r="H124" i="35" s="1"/>
  <c r="H115" i="35" a="1"/>
  <c r="H115" i="35" s="1"/>
  <c r="H119" i="35" a="1"/>
  <c r="H119" i="35" s="1"/>
  <c r="H126" i="35" a="1"/>
  <c r="H126" i="35" s="1"/>
  <c r="H127" i="35" a="1"/>
  <c r="H127" i="35" s="1"/>
  <c r="H121" i="35" a="1"/>
  <c r="H121" i="35" s="1"/>
  <c r="H116" i="35" a="1"/>
  <c r="H116" i="35" s="1"/>
  <c r="G438" i="18" a="1"/>
  <c r="G438" i="18" s="1"/>
  <c r="G441" i="18" a="1"/>
  <c r="G441" i="18" s="1"/>
  <c r="G442" i="18" a="1"/>
  <c r="G442" i="18" s="1"/>
  <c r="G439" i="18" a="1"/>
  <c r="G439" i="18" s="1"/>
  <c r="G448" i="18" a="1"/>
  <c r="G448" i="18" s="1"/>
  <c r="G445" i="18" a="1"/>
  <c r="G445" i="18" s="1"/>
  <c r="G444" i="18" a="1"/>
  <c r="G444" i="18" s="1"/>
  <c r="G436" i="18" a="1"/>
  <c r="G436" i="18" s="1"/>
  <c r="H47" i="20"/>
  <c r="G446" i="18" a="1"/>
  <c r="G446" i="18" s="1"/>
  <c r="G440" i="18" a="1"/>
  <c r="G440" i="18" s="1"/>
  <c r="G449" i="18" a="1"/>
  <c r="G449" i="18" s="1"/>
  <c r="G447" i="18" a="1"/>
  <c r="G447" i="18" s="1"/>
  <c r="G443" i="18" a="1"/>
  <c r="G443" i="18" s="1"/>
  <c r="G437" i="18" a="1"/>
  <c r="G437" i="18" s="1"/>
  <c r="S11" i="20"/>
  <c r="S17" i="20"/>
  <c r="S13" i="20"/>
  <c r="S16" i="20"/>
  <c r="S19" i="20"/>
  <c r="Q6" i="9"/>
  <c r="S9" i="20"/>
  <c r="E38" i="22"/>
  <c r="J14" i="20"/>
  <c r="S8" i="20"/>
  <c r="S10" i="20"/>
  <c r="S18" i="20"/>
  <c r="J12" i="20"/>
  <c r="J16" i="20"/>
  <c r="J17" i="20"/>
  <c r="S12" i="20"/>
  <c r="J11" i="20"/>
  <c r="J18" i="20"/>
  <c r="S6" i="20"/>
  <c r="J7" i="20"/>
  <c r="S14" i="20"/>
  <c r="J10" i="20"/>
  <c r="J15" i="20"/>
  <c r="J19" i="20"/>
  <c r="J6" i="20"/>
  <c r="S15" i="20"/>
  <c r="S7" i="20"/>
  <c r="J13" i="20"/>
  <c r="J9" i="20"/>
  <c r="Q30" i="9"/>
  <c r="J8" i="20"/>
  <c r="H81" i="35" a="1"/>
  <c r="H81" i="35" s="1"/>
  <c r="H82" i="35" a="1"/>
  <c r="H82" i="35" s="1"/>
  <c r="H73" i="35" a="1"/>
  <c r="H73" i="35" s="1"/>
  <c r="H76" i="35" a="1"/>
  <c r="H76" i="35" s="1"/>
  <c r="H86" i="35" a="1"/>
  <c r="H86" i="35" s="1"/>
  <c r="H75" i="35" a="1"/>
  <c r="H75" i="35" s="1"/>
  <c r="H79" i="35" a="1"/>
  <c r="H79" i="35" s="1"/>
  <c r="H77" i="35" a="1"/>
  <c r="H77" i="35" s="1"/>
  <c r="H74" i="35" a="1"/>
  <c r="H74" i="35" s="1"/>
  <c r="H83" i="35" a="1"/>
  <c r="H83" i="35" s="1"/>
  <c r="H85" i="35" a="1"/>
  <c r="H85" i="35" s="1"/>
  <c r="H84" i="35" a="1"/>
  <c r="H84" i="35" s="1"/>
  <c r="H78" i="35" a="1"/>
  <c r="H78" i="35" s="1"/>
  <c r="H80" i="35" a="1"/>
  <c r="H80" i="35" s="1"/>
  <c r="G238" i="18" a="1"/>
  <c r="G238" i="18" s="1"/>
  <c r="G232" i="18" a="1"/>
  <c r="G232" i="18" s="1"/>
  <c r="G236" i="18" a="1"/>
  <c r="G236" i="18" s="1"/>
  <c r="G233" i="18" a="1"/>
  <c r="G233" i="18" s="1"/>
  <c r="G226" i="18" a="1"/>
  <c r="G226" i="18" s="1"/>
  <c r="G237" i="18" a="1"/>
  <c r="G237" i="18" s="1"/>
  <c r="G234" i="18" a="1"/>
  <c r="G234" i="18" s="1"/>
  <c r="G239" i="18" a="1"/>
  <c r="G239" i="18" s="1"/>
  <c r="Q20" i="20"/>
  <c r="G228" i="18" a="1"/>
  <c r="G228" i="18" s="1"/>
  <c r="G231" i="18" a="1"/>
  <c r="G231" i="18" s="1"/>
  <c r="G230" i="18" a="1"/>
  <c r="G230" i="18" s="1"/>
  <c r="G235" i="18" a="1"/>
  <c r="G235" i="18" s="1"/>
  <c r="G227" i="18" a="1"/>
  <c r="G227" i="18" s="1"/>
  <c r="G229" i="18" a="1"/>
  <c r="G229" i="18" s="1"/>
  <c r="D27" i="17"/>
  <c r="O10" i="9"/>
  <c r="D25" i="17"/>
  <c r="Q40" i="9"/>
  <c r="I111" i="35" a="1"/>
  <c r="I111" i="35" s="1"/>
  <c r="I103" i="35" a="1"/>
  <c r="I103" i="35" s="1"/>
  <c r="I101" i="35" a="1"/>
  <c r="I101" i="35" s="1"/>
  <c r="I109" i="35" a="1"/>
  <c r="I109" i="35" s="1"/>
  <c r="I106" i="35" a="1"/>
  <c r="I106" i="35" s="1"/>
  <c r="I104" i="35" a="1"/>
  <c r="I104" i="35" s="1"/>
  <c r="I113" i="35" a="1"/>
  <c r="I113" i="35" s="1"/>
  <c r="I114" i="35" a="1"/>
  <c r="I114" i="35" s="1"/>
  <c r="I112" i="35" a="1"/>
  <c r="I112" i="35" s="1"/>
  <c r="I107" i="35" a="1"/>
  <c r="I107" i="35" s="1"/>
  <c r="I108" i="35" a="1"/>
  <c r="I108" i="35" s="1"/>
  <c r="I105" i="35" a="1"/>
  <c r="I105" i="35" s="1"/>
  <c r="I102" i="35" a="1"/>
  <c r="I102" i="35" s="1"/>
  <c r="I110" i="35" a="1"/>
  <c r="I110" i="35" s="1"/>
  <c r="G379" i="18" a="1"/>
  <c r="G379" i="18" s="1"/>
  <c r="G367" i="18" a="1"/>
  <c r="G367" i="18" s="1"/>
  <c r="G369" i="18" a="1"/>
  <c r="G369" i="18" s="1"/>
  <c r="G370" i="18" a="1"/>
  <c r="G370" i="18" s="1"/>
  <c r="G376" i="18" a="1"/>
  <c r="G376" i="18" s="1"/>
  <c r="G366" i="18" a="1"/>
  <c r="G366" i="18" s="1"/>
  <c r="G372" i="18" a="1"/>
  <c r="G372" i="18" s="1"/>
  <c r="G378" i="18" a="1"/>
  <c r="G378" i="18" s="1"/>
  <c r="G371" i="18" a="1"/>
  <c r="G371" i="18" s="1"/>
  <c r="G375" i="18" a="1"/>
  <c r="G375" i="18" s="1"/>
  <c r="G373" i="18" a="1"/>
  <c r="G373" i="18" s="1"/>
  <c r="G368" i="18" a="1"/>
  <c r="G368" i="18" s="1"/>
  <c r="G374" i="18" a="1"/>
  <c r="G374" i="18" s="1"/>
  <c r="G377" i="18" a="1"/>
  <c r="G377" i="18" s="1"/>
  <c r="J47" i="20"/>
  <c r="H167" i="35" a="1"/>
  <c r="H167" i="35" s="1"/>
  <c r="H159" i="35" a="1"/>
  <c r="H159" i="35" s="1"/>
  <c r="H161" i="35" a="1"/>
  <c r="H161" i="35" s="1"/>
  <c r="H166" i="35" a="1"/>
  <c r="H166" i="35" s="1"/>
  <c r="H157" i="35" a="1"/>
  <c r="H157" i="35" s="1"/>
  <c r="H160" i="35" a="1"/>
  <c r="H160" i="35" s="1"/>
  <c r="H170" i="35" a="1"/>
  <c r="H170" i="35" s="1"/>
  <c r="H163" i="35" a="1"/>
  <c r="H163" i="35" s="1"/>
  <c r="H158" i="35" a="1"/>
  <c r="H158" i="35" s="1"/>
  <c r="H162" i="35" a="1"/>
  <c r="H162" i="35" s="1"/>
  <c r="H168" i="35" a="1"/>
  <c r="H168" i="35" s="1"/>
  <c r="H165" i="35" a="1"/>
  <c r="H165" i="35" s="1"/>
  <c r="H164" i="35" a="1"/>
  <c r="H164" i="35" s="1"/>
  <c r="H169" i="35" a="1"/>
  <c r="H169" i="35" s="1"/>
  <c r="G491" i="18" a="1"/>
  <c r="G491" i="18" s="1"/>
  <c r="G487" i="18" a="1"/>
  <c r="G487" i="18" s="1"/>
  <c r="G481" i="18" a="1"/>
  <c r="G481" i="18" s="1"/>
  <c r="G478" i="18" a="1"/>
  <c r="G478" i="18" s="1"/>
  <c r="G485" i="18" a="1"/>
  <c r="G485" i="18" s="1"/>
  <c r="G488" i="18" a="1"/>
  <c r="G488" i="18" s="1"/>
  <c r="G479" i="18" a="1"/>
  <c r="G479" i="18" s="1"/>
  <c r="G480" i="18" a="1"/>
  <c r="G480" i="18" s="1"/>
  <c r="G486" i="18" a="1"/>
  <c r="G486" i="18" s="1"/>
  <c r="G484" i="18" a="1"/>
  <c r="G484" i="18" s="1"/>
  <c r="Q47" i="20"/>
  <c r="G490" i="18" a="1"/>
  <c r="G490" i="18" s="1"/>
  <c r="G483" i="18" a="1"/>
  <c r="G483" i="18" s="1"/>
  <c r="G489" i="18" a="1"/>
  <c r="G489" i="18" s="1"/>
  <c r="G482" i="18" a="1"/>
  <c r="G482" i="18" s="1"/>
  <c r="Q8" i="9"/>
  <c r="V8" i="9" s="1"/>
  <c r="T33" i="20"/>
  <c r="K33" i="20"/>
  <c r="T43" i="20"/>
  <c r="T40" i="20"/>
  <c r="T41" i="20"/>
  <c r="T35" i="20"/>
  <c r="K40" i="20"/>
  <c r="K44" i="20"/>
  <c r="T34" i="20"/>
  <c r="T46" i="20"/>
  <c r="K42" i="20"/>
  <c r="R40" i="9"/>
  <c r="T45" i="20"/>
  <c r="K38" i="20"/>
  <c r="K41" i="20"/>
  <c r="K34" i="20"/>
  <c r="E88" i="22"/>
  <c r="K36" i="20"/>
  <c r="T44" i="20"/>
  <c r="K43" i="20"/>
  <c r="T37" i="20"/>
  <c r="T38" i="20"/>
  <c r="K37" i="20"/>
  <c r="K39" i="20"/>
  <c r="T39" i="20"/>
  <c r="T36" i="20"/>
  <c r="K45" i="20"/>
  <c r="K46" i="20"/>
  <c r="K35" i="20"/>
  <c r="T42" i="20"/>
  <c r="I403" i="58" l="1"/>
  <c r="I404" i="58"/>
  <c r="I402" i="58"/>
  <c r="I343" i="58"/>
  <c r="I341" i="58"/>
  <c r="I344" i="58"/>
  <c r="I342" i="58"/>
  <c r="I376" i="18"/>
  <c r="H376" i="18"/>
  <c r="J390" i="58"/>
  <c r="J391" i="58"/>
  <c r="J392" i="58"/>
  <c r="H227" i="18"/>
  <c r="I227" i="18"/>
  <c r="I232" i="18"/>
  <c r="H232" i="18"/>
  <c r="I318" i="58"/>
  <c r="I320" i="58"/>
  <c r="I319" i="58"/>
  <c r="I367" i="58"/>
  <c r="I368" i="58"/>
  <c r="I366" i="58"/>
  <c r="I365" i="58"/>
  <c r="I370" i="18"/>
  <c r="H370" i="18"/>
  <c r="J210" i="58"/>
  <c r="J211" i="58"/>
  <c r="J212" i="58"/>
  <c r="I235" i="18"/>
  <c r="H235" i="18"/>
  <c r="I238" i="18"/>
  <c r="H238" i="18"/>
  <c r="I161" i="37"/>
  <c r="I162" i="37"/>
  <c r="I163" i="37"/>
  <c r="I164" i="37"/>
  <c r="I447" i="18"/>
  <c r="H447" i="18"/>
  <c r="I438" i="18"/>
  <c r="H438" i="18"/>
  <c r="I331" i="58"/>
  <c r="I330" i="58"/>
  <c r="I332" i="58"/>
  <c r="I329" i="58"/>
  <c r="I195" i="18"/>
  <c r="H195" i="18"/>
  <c r="I213" i="37"/>
  <c r="I215" i="37"/>
  <c r="I214" i="37"/>
  <c r="I408" i="18"/>
  <c r="H408" i="18"/>
  <c r="J339" i="58"/>
  <c r="J338" i="58"/>
  <c r="J337" i="58"/>
  <c r="J340" i="58"/>
  <c r="J179" i="58"/>
  <c r="J177" i="58"/>
  <c r="J178" i="58"/>
  <c r="H484" i="18"/>
  <c r="I484" i="18"/>
  <c r="I284" i="58"/>
  <c r="I283" i="58"/>
  <c r="I282" i="58"/>
  <c r="I369" i="18"/>
  <c r="H369" i="18"/>
  <c r="J194" i="58"/>
  <c r="J193" i="58"/>
  <c r="J192" i="58"/>
  <c r="H230" i="18"/>
  <c r="I230" i="18"/>
  <c r="I318" i="37"/>
  <c r="I318" i="41" s="1"/>
  <c r="I319" i="37"/>
  <c r="I319" i="41" s="1"/>
  <c r="I320" i="37"/>
  <c r="I320" i="41" s="1"/>
  <c r="I302" i="37"/>
  <c r="I300" i="37"/>
  <c r="I301" i="37"/>
  <c r="H449" i="18"/>
  <c r="I449" i="18"/>
  <c r="I234" i="58"/>
  <c r="I233" i="58"/>
  <c r="I235" i="58"/>
  <c r="I236" i="58"/>
  <c r="I214" i="58"/>
  <c r="I213" i="58"/>
  <c r="I215" i="58"/>
  <c r="I394" i="37"/>
  <c r="I395" i="37"/>
  <c r="I393" i="37"/>
  <c r="H415" i="18"/>
  <c r="I415" i="18"/>
  <c r="J203" i="58"/>
  <c r="J201" i="58"/>
  <c r="J202" i="58"/>
  <c r="H490" i="18"/>
  <c r="I490" i="18"/>
  <c r="I385" i="58"/>
  <c r="I386" i="58"/>
  <c r="I384" i="58"/>
  <c r="I377" i="18"/>
  <c r="H377" i="18"/>
  <c r="I367" i="18"/>
  <c r="H367" i="18"/>
  <c r="J270" i="58"/>
  <c r="J272" i="58"/>
  <c r="J271" i="58"/>
  <c r="I231" i="18"/>
  <c r="H231" i="18"/>
  <c r="I204" i="37"/>
  <c r="I206" i="37"/>
  <c r="I205" i="37"/>
  <c r="I283" i="37"/>
  <c r="I283" i="41" s="1"/>
  <c r="I284" i="37"/>
  <c r="I284" i="41" s="1"/>
  <c r="I282" i="37"/>
  <c r="I440" i="18"/>
  <c r="H440" i="18"/>
  <c r="I256" i="58"/>
  <c r="I255" i="58"/>
  <c r="I257" i="58"/>
  <c r="I275" i="58"/>
  <c r="I273" i="58"/>
  <c r="I274" i="58"/>
  <c r="I191" i="18"/>
  <c r="H191" i="18"/>
  <c r="I412" i="37"/>
  <c r="I411" i="37"/>
  <c r="I413" i="37"/>
  <c r="I411" i="18"/>
  <c r="H411" i="18"/>
  <c r="J299" i="58"/>
  <c r="J298" i="58"/>
  <c r="J297" i="58"/>
  <c r="G6" i="20"/>
  <c r="N6" i="9"/>
  <c r="P6" i="20"/>
  <c r="G16" i="20"/>
  <c r="P18" i="20"/>
  <c r="N30" i="9"/>
  <c r="P14" i="20"/>
  <c r="G18" i="20"/>
  <c r="P10" i="20"/>
  <c r="G12" i="20"/>
  <c r="G13" i="20"/>
  <c r="P11" i="20"/>
  <c r="G11" i="20"/>
  <c r="G14" i="20"/>
  <c r="P16" i="20"/>
  <c r="P7" i="20"/>
  <c r="P9" i="20"/>
  <c r="G8" i="20"/>
  <c r="P15" i="20"/>
  <c r="E23" i="22"/>
  <c r="P12" i="20"/>
  <c r="G15" i="20"/>
  <c r="G19" i="20"/>
  <c r="P8" i="20"/>
  <c r="G10" i="20"/>
  <c r="P17" i="20"/>
  <c r="G9" i="20"/>
  <c r="G17" i="20"/>
  <c r="P19" i="20"/>
  <c r="P13" i="20"/>
  <c r="G7" i="20"/>
  <c r="I480" i="18"/>
  <c r="H480" i="18"/>
  <c r="I205" i="58"/>
  <c r="I206" i="58"/>
  <c r="I204" i="58"/>
  <c r="I374" i="18"/>
  <c r="H374" i="18"/>
  <c r="H379" i="18"/>
  <c r="I379" i="18"/>
  <c r="J146" i="58"/>
  <c r="J147" i="58"/>
  <c r="J145" i="58"/>
  <c r="J148" i="58"/>
  <c r="H228" i="18"/>
  <c r="I228" i="18"/>
  <c r="I385" i="37"/>
  <c r="I386" i="37"/>
  <c r="I386" i="41" s="1"/>
  <c r="I384" i="37"/>
  <c r="I384" i="41" s="1"/>
  <c r="I61" i="35" a="1"/>
  <c r="I61" i="35" s="1"/>
  <c r="I63" i="35" a="1"/>
  <c r="I63" i="35" s="1"/>
  <c r="I64" i="35" a="1"/>
  <c r="I64" i="35" s="1"/>
  <c r="I71" i="35" a="1"/>
  <c r="I71" i="35" s="1"/>
  <c r="I65" i="35" a="1"/>
  <c r="I65" i="35" s="1"/>
  <c r="I62" i="35" a="1"/>
  <c r="I62" i="35" s="1"/>
  <c r="I60" i="35" a="1"/>
  <c r="I60" i="35" s="1"/>
  <c r="I59" i="35" a="1"/>
  <c r="I59" i="35" s="1"/>
  <c r="I70" i="35" a="1"/>
  <c r="I70" i="35" s="1"/>
  <c r="I67" i="35" a="1"/>
  <c r="I67" i="35" s="1"/>
  <c r="I66" i="35" a="1"/>
  <c r="I66" i="35" s="1"/>
  <c r="I72" i="35" a="1"/>
  <c r="I72" i="35" s="1"/>
  <c r="I68" i="35" a="1"/>
  <c r="I68" i="35" s="1"/>
  <c r="I69" i="35" a="1"/>
  <c r="I69" i="35" s="1"/>
  <c r="G158" i="18" a="1"/>
  <c r="G158" i="18" s="1"/>
  <c r="G164" i="18" a="1"/>
  <c r="G164" i="18" s="1"/>
  <c r="G156" i="18" a="1"/>
  <c r="G156" i="18" s="1"/>
  <c r="G162" i="18" a="1"/>
  <c r="G162" i="18" s="1"/>
  <c r="G160" i="18" a="1"/>
  <c r="G160" i="18" s="1"/>
  <c r="G163" i="18" a="1"/>
  <c r="G163" i="18" s="1"/>
  <c r="G168" i="18" a="1"/>
  <c r="G168" i="18" s="1"/>
  <c r="G167" i="18" a="1"/>
  <c r="G167" i="18" s="1"/>
  <c r="G159" i="18" a="1"/>
  <c r="G159" i="18" s="1"/>
  <c r="G157" i="18" a="1"/>
  <c r="G157" i="18" s="1"/>
  <c r="G169" i="18" a="1"/>
  <c r="G169" i="18" s="1"/>
  <c r="G166" i="18" a="1"/>
  <c r="G166" i="18" s="1"/>
  <c r="S20" i="20"/>
  <c r="G165" i="18" a="1"/>
  <c r="G165" i="18" s="1"/>
  <c r="G161" i="18" a="1"/>
  <c r="G161" i="18" s="1"/>
  <c r="I446" i="18"/>
  <c r="H446" i="18"/>
  <c r="I395" i="58"/>
  <c r="I394" i="58"/>
  <c r="I393" i="58"/>
  <c r="I190" i="18"/>
  <c r="H190" i="18"/>
  <c r="I189" i="18"/>
  <c r="H189" i="18"/>
  <c r="I375" i="37"/>
  <c r="I376" i="37"/>
  <c r="I377" i="37"/>
  <c r="I420" i="18"/>
  <c r="H420" i="18"/>
  <c r="J242" i="58"/>
  <c r="J244" i="58"/>
  <c r="J243" i="58"/>
  <c r="J241" i="58"/>
  <c r="E25" i="22"/>
  <c r="N8" i="9"/>
  <c r="U8" i="9" s="1"/>
  <c r="I479" i="18"/>
  <c r="H479" i="18"/>
  <c r="I368" i="18"/>
  <c r="H368" i="18"/>
  <c r="J288" i="58"/>
  <c r="J289" i="58"/>
  <c r="J290" i="58"/>
  <c r="J325" i="58"/>
  <c r="J326" i="58"/>
  <c r="J328" i="58"/>
  <c r="J327" i="58"/>
  <c r="I404" i="37"/>
  <c r="I404" i="41" s="1"/>
  <c r="I403" i="37"/>
  <c r="I403" i="41" s="1"/>
  <c r="I402" i="37"/>
  <c r="I402" i="41" s="1"/>
  <c r="E24" i="17"/>
  <c r="V6" i="9"/>
  <c r="Q10" i="9"/>
  <c r="E26" i="17"/>
  <c r="I377" i="58"/>
  <c r="I376" i="58"/>
  <c r="I375" i="58"/>
  <c r="H187" i="18"/>
  <c r="I187" i="18"/>
  <c r="H197" i="18"/>
  <c r="I197" i="18"/>
  <c r="I293" i="37"/>
  <c r="I292" i="37"/>
  <c r="I291" i="37"/>
  <c r="I416" i="18"/>
  <c r="H416" i="18"/>
  <c r="J315" i="58"/>
  <c r="J316" i="58"/>
  <c r="J317" i="58"/>
  <c r="G33" i="20"/>
  <c r="P33" i="20"/>
  <c r="P44" i="20"/>
  <c r="P45" i="20"/>
  <c r="G44" i="20"/>
  <c r="P35" i="20"/>
  <c r="G40" i="20"/>
  <c r="P36" i="20"/>
  <c r="P42" i="20"/>
  <c r="G38" i="20"/>
  <c r="E68" i="22"/>
  <c r="G45" i="20"/>
  <c r="G37" i="20"/>
  <c r="P40" i="20"/>
  <c r="P38" i="20"/>
  <c r="G35" i="20"/>
  <c r="G39" i="20"/>
  <c r="G34" i="20"/>
  <c r="P46" i="20"/>
  <c r="G46" i="20"/>
  <c r="G41" i="20"/>
  <c r="P39" i="20"/>
  <c r="P37" i="20"/>
  <c r="P41" i="20"/>
  <c r="G36" i="20"/>
  <c r="G42" i="20"/>
  <c r="P34" i="20"/>
  <c r="N40" i="9"/>
  <c r="P43" i="20"/>
  <c r="G43" i="20"/>
  <c r="H486" i="18"/>
  <c r="I486" i="18"/>
  <c r="I248" i="58"/>
  <c r="I247" i="58"/>
  <c r="I245" i="58"/>
  <c r="I246" i="58"/>
  <c r="I115" i="35" a="1"/>
  <c r="I115" i="35" s="1"/>
  <c r="I117" i="35" a="1"/>
  <c r="I117" i="35" s="1"/>
  <c r="I125" i="35" a="1"/>
  <c r="I125" i="35" s="1"/>
  <c r="I118" i="35" a="1"/>
  <c r="I118" i="35" s="1"/>
  <c r="I116" i="35" a="1"/>
  <c r="I116" i="35" s="1"/>
  <c r="I126" i="35" a="1"/>
  <c r="I126" i="35" s="1"/>
  <c r="I127" i="35" a="1"/>
  <c r="I127" i="35" s="1"/>
  <c r="I119" i="35" a="1"/>
  <c r="I119" i="35" s="1"/>
  <c r="I124" i="35" a="1"/>
  <c r="I124" i="35" s="1"/>
  <c r="I122" i="35" a="1"/>
  <c r="I122" i="35" s="1"/>
  <c r="I123" i="35" a="1"/>
  <c r="I123" i="35" s="1"/>
  <c r="G455" i="18" a="1"/>
  <c r="G455" i="18" s="1"/>
  <c r="I128" i="35" a="1"/>
  <c r="I128" i="35" s="1"/>
  <c r="I121" i="35" a="1"/>
  <c r="I121" i="35" s="1"/>
  <c r="I120" i="35" a="1"/>
  <c r="I120" i="35" s="1"/>
  <c r="G460" i="18" a="1"/>
  <c r="G460" i="18" s="1"/>
  <c r="G462" i="18" a="1"/>
  <c r="G462" i="18" s="1"/>
  <c r="G451" i="18" a="1"/>
  <c r="G451" i="18" s="1"/>
  <c r="G457" i="18" a="1"/>
  <c r="G457" i="18" s="1"/>
  <c r="G454" i="18" a="1"/>
  <c r="G454" i="18" s="1"/>
  <c r="G452" i="18" a="1"/>
  <c r="G452" i="18" s="1"/>
  <c r="G450" i="18" a="1"/>
  <c r="G450" i="18" s="1"/>
  <c r="G461" i="18" a="1"/>
  <c r="G461" i="18" s="1"/>
  <c r="G458" i="18" a="1"/>
  <c r="G458" i="18" s="1"/>
  <c r="G456" i="18" a="1"/>
  <c r="G456" i="18" s="1"/>
  <c r="G459" i="18" a="1"/>
  <c r="G459" i="18" s="1"/>
  <c r="G463" i="18" a="1"/>
  <c r="G463" i="18" s="1"/>
  <c r="G453" i="18" a="1"/>
  <c r="G453" i="18" s="1"/>
  <c r="K47" i="20"/>
  <c r="I488" i="18"/>
  <c r="H488" i="18"/>
  <c r="I264" i="58"/>
  <c r="I265" i="58"/>
  <c r="I266" i="58"/>
  <c r="I373" i="18"/>
  <c r="H373" i="18"/>
  <c r="J229" i="58"/>
  <c r="J231" i="58"/>
  <c r="J230" i="58"/>
  <c r="J232" i="58"/>
  <c r="J349" i="58"/>
  <c r="J352" i="58"/>
  <c r="J351" i="58"/>
  <c r="J350" i="58"/>
  <c r="I239" i="18"/>
  <c r="H239" i="18"/>
  <c r="I365" i="37"/>
  <c r="I366" i="37"/>
  <c r="I366" i="41" s="1"/>
  <c r="I367" i="37"/>
  <c r="I367" i="41" s="1"/>
  <c r="I368" i="37"/>
  <c r="I436" i="18"/>
  <c r="H436" i="18"/>
  <c r="I172" i="58"/>
  <c r="I173" i="58"/>
  <c r="I171" i="58"/>
  <c r="I196" i="18"/>
  <c r="H196" i="18"/>
  <c r="H186" i="18"/>
  <c r="I186" i="18"/>
  <c r="I195" i="37"/>
  <c r="I197" i="37"/>
  <c r="I196" i="37"/>
  <c r="H417" i="18"/>
  <c r="I417" i="18"/>
  <c r="J418" i="58"/>
  <c r="J419" i="58"/>
  <c r="J417" i="58"/>
  <c r="I162" i="35" a="1"/>
  <c r="I162" i="35" s="1"/>
  <c r="I166" i="35" a="1"/>
  <c r="I166" i="35" s="1"/>
  <c r="I169" i="35" a="1"/>
  <c r="I169" i="35" s="1"/>
  <c r="I170" i="35" a="1"/>
  <c r="I170" i="35" s="1"/>
  <c r="I157" i="35" a="1"/>
  <c r="I157" i="35" s="1"/>
  <c r="I165" i="35" a="1"/>
  <c r="I165" i="35" s="1"/>
  <c r="I163" i="35" a="1"/>
  <c r="I163" i="35" s="1"/>
  <c r="I159" i="35" a="1"/>
  <c r="I159" i="35" s="1"/>
  <c r="I161" i="35" a="1"/>
  <c r="I161" i="35" s="1"/>
  <c r="J187" i="58" s="1"/>
  <c r="I158" i="35" a="1"/>
  <c r="I158" i="35" s="1"/>
  <c r="I167" i="35" a="1"/>
  <c r="I167" i="35" s="1"/>
  <c r="I164" i="35" a="1"/>
  <c r="I164" i="35" s="1"/>
  <c r="G501" i="18" a="1"/>
  <c r="G501" i="18" s="1"/>
  <c r="I168" i="35" a="1"/>
  <c r="I168" i="35" s="1"/>
  <c r="G500" i="18" a="1"/>
  <c r="G500" i="18" s="1"/>
  <c r="I160" i="35" a="1"/>
  <c r="I160" i="35" s="1"/>
  <c r="G495" i="18" a="1"/>
  <c r="G495" i="18" s="1"/>
  <c r="G498" i="18" a="1"/>
  <c r="G498" i="18" s="1"/>
  <c r="G499" i="18" a="1"/>
  <c r="G499" i="18" s="1"/>
  <c r="G502" i="18" a="1"/>
  <c r="G502" i="18" s="1"/>
  <c r="G493" i="18" a="1"/>
  <c r="G493" i="18" s="1"/>
  <c r="G505" i="18" a="1"/>
  <c r="G505" i="18" s="1"/>
  <c r="G496" i="18" a="1"/>
  <c r="G496" i="18" s="1"/>
  <c r="G497" i="18" a="1"/>
  <c r="G497" i="18" s="1"/>
  <c r="G494" i="18" a="1"/>
  <c r="G494" i="18" s="1"/>
  <c r="G504" i="18" a="1"/>
  <c r="G504" i="18" s="1"/>
  <c r="G503" i="18" a="1"/>
  <c r="G503" i="18" s="1"/>
  <c r="G492" i="18" a="1"/>
  <c r="G492" i="18" s="1"/>
  <c r="T47" i="20"/>
  <c r="H485" i="18"/>
  <c r="I485" i="18"/>
  <c r="I422" i="58"/>
  <c r="I420" i="58"/>
  <c r="I421" i="58"/>
  <c r="I375" i="18"/>
  <c r="H375" i="18"/>
  <c r="J185" i="58"/>
  <c r="J168" i="58"/>
  <c r="J169" i="58"/>
  <c r="J183" i="58"/>
  <c r="J184" i="58"/>
  <c r="J170" i="58"/>
  <c r="I234" i="18"/>
  <c r="H234" i="18"/>
  <c r="I247" i="37"/>
  <c r="I248" i="37"/>
  <c r="I245" i="37"/>
  <c r="I246" i="37"/>
  <c r="H444" i="18"/>
  <c r="I444" i="18"/>
  <c r="I152" i="58"/>
  <c r="I149" i="58"/>
  <c r="I150" i="58"/>
  <c r="I151" i="58"/>
  <c r="I193" i="18"/>
  <c r="H193" i="18"/>
  <c r="I255" i="37"/>
  <c r="I257" i="37"/>
  <c r="I257" i="41" s="1"/>
  <c r="I256" i="37"/>
  <c r="I256" i="41" s="1"/>
  <c r="I273" i="37"/>
  <c r="I274" i="37"/>
  <c r="I274" i="41" s="1"/>
  <c r="I275" i="37"/>
  <c r="I418" i="18"/>
  <c r="H418" i="18"/>
  <c r="J401" i="58"/>
  <c r="J400" i="58"/>
  <c r="J399" i="58"/>
  <c r="I223" i="58"/>
  <c r="I224" i="58"/>
  <c r="I222" i="58"/>
  <c r="J307" i="58"/>
  <c r="J306" i="58"/>
  <c r="J308" i="58"/>
  <c r="I237" i="18"/>
  <c r="H237" i="18"/>
  <c r="I182" i="37"/>
  <c r="I180" i="37"/>
  <c r="I181" i="37"/>
  <c r="I445" i="18"/>
  <c r="H445" i="18"/>
  <c r="I291" i="58"/>
  <c r="I292" i="58"/>
  <c r="I293" i="58"/>
  <c r="I194" i="18"/>
  <c r="H194" i="18"/>
  <c r="I332" i="37"/>
  <c r="I332" i="41" s="1"/>
  <c r="I331" i="37"/>
  <c r="I331" i="41" s="1"/>
  <c r="I330" i="37"/>
  <c r="I330" i="41" s="1"/>
  <c r="I329" i="37"/>
  <c r="I329" i="41" s="1"/>
  <c r="I152" i="37"/>
  <c r="I149" i="37"/>
  <c r="I150" i="37"/>
  <c r="I151" i="37"/>
  <c r="I413" i="18"/>
  <c r="H413" i="18"/>
  <c r="J383" i="58"/>
  <c r="J381" i="58"/>
  <c r="J382" i="58"/>
  <c r="I478" i="18"/>
  <c r="H478" i="18"/>
  <c r="H371" i="18"/>
  <c r="I371" i="18"/>
  <c r="I482" i="18"/>
  <c r="H482" i="18"/>
  <c r="H481" i="18"/>
  <c r="I481" i="18"/>
  <c r="I161" i="58"/>
  <c r="I164" i="58"/>
  <c r="I162" i="58"/>
  <c r="I163" i="58"/>
  <c r="I378" i="18"/>
  <c r="H378" i="18"/>
  <c r="J252" i="58"/>
  <c r="J253" i="58"/>
  <c r="J254" i="58"/>
  <c r="I226" i="18"/>
  <c r="H226" i="18"/>
  <c r="I265" i="37"/>
  <c r="I264" i="37"/>
  <c r="I266" i="37"/>
  <c r="I266" i="41" s="1"/>
  <c r="I448" i="18"/>
  <c r="H448" i="18"/>
  <c r="I413" i="58"/>
  <c r="I412" i="58"/>
  <c r="I411" i="58"/>
  <c r="I185" i="18"/>
  <c r="H185" i="18"/>
  <c r="I311" i="37"/>
  <c r="I310" i="37"/>
  <c r="I309" i="37"/>
  <c r="I412" i="18"/>
  <c r="H412" i="18"/>
  <c r="J220" i="58"/>
  <c r="J221" i="58"/>
  <c r="J219" i="58"/>
  <c r="I42" i="35" a="1"/>
  <c r="I42" i="35" s="1"/>
  <c r="I43" i="35" a="1"/>
  <c r="I43" i="35" s="1"/>
  <c r="I38" i="35" a="1"/>
  <c r="I38" i="35" s="1"/>
  <c r="I34" i="35" a="1"/>
  <c r="I34" i="35" s="1"/>
  <c r="I41" i="35" a="1"/>
  <c r="I41" i="35" s="1"/>
  <c r="I44" i="35" a="1"/>
  <c r="I44" i="35" s="1"/>
  <c r="I31" i="35" a="1"/>
  <c r="I31" i="35" s="1"/>
  <c r="I33" i="35" a="1"/>
  <c r="I33" i="35" s="1"/>
  <c r="I36" i="35" a="1"/>
  <c r="I36" i="35" s="1"/>
  <c r="I35" i="35" a="1"/>
  <c r="I35" i="35" s="1"/>
  <c r="I37" i="35" a="1"/>
  <c r="I37" i="35" s="1"/>
  <c r="I40" i="35" a="1"/>
  <c r="I40" i="35" s="1"/>
  <c r="I32" i="35" a="1"/>
  <c r="I32" i="35" s="1"/>
  <c r="I39" i="35" a="1"/>
  <c r="I39" i="35" s="1"/>
  <c r="G199" i="18" a="1"/>
  <c r="G199" i="18" s="1"/>
  <c r="G201" i="18" a="1"/>
  <c r="G201" i="18" s="1"/>
  <c r="G205" i="18" a="1"/>
  <c r="G205" i="18" s="1"/>
  <c r="G198" i="18" a="1"/>
  <c r="G198" i="18" s="1"/>
  <c r="G203" i="18" a="1"/>
  <c r="G203" i="18" s="1"/>
  <c r="G207" i="18" a="1"/>
  <c r="G207" i="18" s="1"/>
  <c r="G211" i="18" a="1"/>
  <c r="G211" i="18" s="1"/>
  <c r="G204" i="18" a="1"/>
  <c r="G204" i="18" s="1"/>
  <c r="G206" i="18" a="1"/>
  <c r="G206" i="18" s="1"/>
  <c r="G210" i="18" a="1"/>
  <c r="G210" i="18" s="1"/>
  <c r="G200" i="18" a="1"/>
  <c r="G200" i="18" s="1"/>
  <c r="G209" i="18" a="1"/>
  <c r="G209" i="18" s="1"/>
  <c r="G208" i="18" a="1"/>
  <c r="G208" i="18" s="1"/>
  <c r="K20" i="20"/>
  <c r="G202" i="18" a="1"/>
  <c r="G202" i="18" s="1"/>
  <c r="H487" i="18"/>
  <c r="I487" i="18"/>
  <c r="I301" i="58"/>
  <c r="I302" i="58"/>
  <c r="I300" i="58"/>
  <c r="H372" i="18"/>
  <c r="I372" i="18"/>
  <c r="J374" i="58"/>
  <c r="J373" i="58"/>
  <c r="J372" i="58"/>
  <c r="I233" i="18"/>
  <c r="H233" i="18"/>
  <c r="I341" i="37"/>
  <c r="I341" i="41" s="1"/>
  <c r="I344" i="37"/>
  <c r="I344" i="41" s="1"/>
  <c r="I342" i="37"/>
  <c r="I343" i="37"/>
  <c r="I343" i="41" s="1"/>
  <c r="I30" i="35" a="1"/>
  <c r="I30" i="35" s="1"/>
  <c r="I20" i="35" a="1"/>
  <c r="I20" i="35" s="1"/>
  <c r="I26" i="35" a="1"/>
  <c r="I26" i="35" s="1"/>
  <c r="I28" i="35" a="1"/>
  <c r="I28" i="35" s="1"/>
  <c r="I18" i="35" a="1"/>
  <c r="I18" i="35" s="1"/>
  <c r="I27" i="35" a="1"/>
  <c r="I27" i="35" s="1"/>
  <c r="I25" i="35" a="1"/>
  <c r="I25" i="35" s="1"/>
  <c r="I24" i="35" a="1"/>
  <c r="I24" i="35" s="1"/>
  <c r="I17" i="35" a="1"/>
  <c r="I17" i="35" s="1"/>
  <c r="I23" i="35" a="1"/>
  <c r="I23" i="35" s="1"/>
  <c r="I22" i="35" a="1"/>
  <c r="I22" i="35" s="1"/>
  <c r="I29" i="35" a="1"/>
  <c r="I29" i="35" s="1"/>
  <c r="I19" i="35" a="1"/>
  <c r="I19" i="35" s="1"/>
  <c r="I21" i="35" a="1"/>
  <c r="I21" i="35" s="1"/>
  <c r="G118" i="18" a="1"/>
  <c r="G118" i="18" s="1"/>
  <c r="G117" i="18" a="1"/>
  <c r="G117" i="18" s="1"/>
  <c r="G126" i="18" a="1"/>
  <c r="G126" i="18" s="1"/>
  <c r="G120" i="18" a="1"/>
  <c r="G120" i="18" s="1"/>
  <c r="G116" i="18" a="1"/>
  <c r="G116" i="18" s="1"/>
  <c r="G114" i="18" a="1"/>
  <c r="G114" i="18" s="1"/>
  <c r="G122" i="18" a="1"/>
  <c r="G122" i="18" s="1"/>
  <c r="G121" i="18" a="1"/>
  <c r="G121" i="18" s="1"/>
  <c r="G124" i="18" a="1"/>
  <c r="G124" i="18" s="1"/>
  <c r="G115" i="18" a="1"/>
  <c r="G115" i="18" s="1"/>
  <c r="G119" i="18" a="1"/>
  <c r="G119" i="18" s="1"/>
  <c r="G125" i="18" a="1"/>
  <c r="G125" i="18" s="1"/>
  <c r="G127" i="18" a="1"/>
  <c r="G127" i="18" s="1"/>
  <c r="J20" i="20"/>
  <c r="G123" i="18" a="1"/>
  <c r="G123" i="18" s="1"/>
  <c r="I439" i="18"/>
  <c r="H439" i="18"/>
  <c r="I197" i="58"/>
  <c r="I195" i="58"/>
  <c r="I196" i="58"/>
  <c r="I184" i="18"/>
  <c r="H184" i="18"/>
  <c r="I354" i="37"/>
  <c r="I356" i="37"/>
  <c r="I355" i="37"/>
  <c r="I353" i="37"/>
  <c r="H414" i="18"/>
  <c r="I414" i="18"/>
  <c r="I421" i="18"/>
  <c r="H421" i="18"/>
  <c r="J160" i="58"/>
  <c r="J159" i="58"/>
  <c r="J157" i="58"/>
  <c r="J158" i="58"/>
  <c r="H489" i="18"/>
  <c r="I489" i="18"/>
  <c r="I483" i="18"/>
  <c r="H483" i="18"/>
  <c r="I491" i="18"/>
  <c r="H491" i="18"/>
  <c r="I181" i="58"/>
  <c r="I182" i="58"/>
  <c r="I180" i="58"/>
  <c r="H366" i="18"/>
  <c r="I366" i="18"/>
  <c r="J410" i="58"/>
  <c r="J409" i="58"/>
  <c r="J408" i="58"/>
  <c r="I229" i="18"/>
  <c r="H229" i="18"/>
  <c r="H236" i="18"/>
  <c r="I236" i="18"/>
  <c r="I421" i="37"/>
  <c r="I420" i="37"/>
  <c r="I422" i="37"/>
  <c r="I422" i="41" s="1"/>
  <c r="I437" i="18"/>
  <c r="H437" i="18"/>
  <c r="I442" i="18"/>
  <c r="H442" i="18"/>
  <c r="I310" i="58"/>
  <c r="I311" i="58"/>
  <c r="I309" i="58"/>
  <c r="H188" i="18"/>
  <c r="I188" i="18"/>
  <c r="I235" i="37"/>
  <c r="I233" i="37"/>
  <c r="I233" i="41" s="1"/>
  <c r="I234" i="37"/>
  <c r="I236" i="37"/>
  <c r="I236" i="41" s="1"/>
  <c r="I419" i="18"/>
  <c r="H419" i="18"/>
  <c r="H409" i="18"/>
  <c r="I409" i="18"/>
  <c r="J261" i="58"/>
  <c r="J263" i="58"/>
  <c r="J262" i="58"/>
  <c r="I84" i="35" a="1"/>
  <c r="I84" i="35" s="1"/>
  <c r="I74" i="35" a="1"/>
  <c r="I74" i="35" s="1"/>
  <c r="I79" i="35" a="1"/>
  <c r="I79" i="35" s="1"/>
  <c r="I82" i="35" a="1"/>
  <c r="I82" i="35" s="1"/>
  <c r="I77" i="35" a="1"/>
  <c r="I77" i="35" s="1"/>
  <c r="I80" i="35" a="1"/>
  <c r="I80" i="35" s="1"/>
  <c r="I78" i="35" a="1"/>
  <c r="I78" i="35" s="1"/>
  <c r="I86" i="35" a="1"/>
  <c r="I86" i="35" s="1"/>
  <c r="I85" i="35" a="1"/>
  <c r="I85" i="35" s="1"/>
  <c r="I73" i="35" a="1"/>
  <c r="I73" i="35" s="1"/>
  <c r="I83" i="35" a="1"/>
  <c r="I83" i="35" s="1"/>
  <c r="I75" i="35" a="1"/>
  <c r="I75" i="35" s="1"/>
  <c r="I76" i="35" a="1"/>
  <c r="I76" i="35" s="1"/>
  <c r="I81" i="35" a="1"/>
  <c r="I81" i="35" s="1"/>
  <c r="G250" i="18" a="1"/>
  <c r="G250" i="18" s="1"/>
  <c r="G241" i="18" a="1"/>
  <c r="G241" i="18" s="1"/>
  <c r="G247" i="18" a="1"/>
  <c r="G247" i="18" s="1"/>
  <c r="G243" i="18" a="1"/>
  <c r="G243" i="18" s="1"/>
  <c r="G245" i="18" a="1"/>
  <c r="G245" i="18" s="1"/>
  <c r="G249" i="18" a="1"/>
  <c r="G249" i="18" s="1"/>
  <c r="G251" i="18" a="1"/>
  <c r="G251" i="18" s="1"/>
  <c r="G246" i="18" a="1"/>
  <c r="G246" i="18" s="1"/>
  <c r="G242" i="18" a="1"/>
  <c r="G242" i="18" s="1"/>
  <c r="T20" i="20"/>
  <c r="G240" i="18" a="1"/>
  <c r="G240" i="18" s="1"/>
  <c r="G252" i="18" a="1"/>
  <c r="G252" i="18" s="1"/>
  <c r="G253" i="18" a="1"/>
  <c r="G253" i="18" s="1"/>
  <c r="G244" i="18" a="1"/>
  <c r="G244" i="18" s="1"/>
  <c r="G248" i="18" a="1"/>
  <c r="G248" i="18" s="1"/>
  <c r="I222" i="37"/>
  <c r="I222" i="41" s="1"/>
  <c r="I224" i="37"/>
  <c r="I224" i="41" s="1"/>
  <c r="I223" i="37"/>
  <c r="I223" i="41" s="1"/>
  <c r="I443" i="18"/>
  <c r="H443" i="18"/>
  <c r="H441" i="18"/>
  <c r="I441" i="18"/>
  <c r="I354" i="58"/>
  <c r="I355" i="58"/>
  <c r="I353" i="58"/>
  <c r="I356" i="58"/>
  <c r="I192" i="18"/>
  <c r="H192" i="18"/>
  <c r="I171" i="37"/>
  <c r="I171" i="41" s="1"/>
  <c r="I173" i="37"/>
  <c r="I173" i="41" s="1"/>
  <c r="I172" i="37"/>
  <c r="I172" i="41" s="1"/>
  <c r="I410" i="18"/>
  <c r="H410" i="18"/>
  <c r="J361" i="58"/>
  <c r="J363" i="58"/>
  <c r="J364" i="58"/>
  <c r="J362" i="58"/>
  <c r="J280" i="58"/>
  <c r="J279" i="58"/>
  <c r="J281" i="58"/>
  <c r="E25" i="17"/>
  <c r="R10" i="9"/>
  <c r="E27" i="17"/>
  <c r="I420" i="41" l="1"/>
  <c r="I342" i="41"/>
  <c r="I265" i="41"/>
  <c r="I248" i="41"/>
  <c r="I234" i="41"/>
  <c r="I421" i="41"/>
  <c r="I264" i="41"/>
  <c r="I235" i="41"/>
  <c r="I368" i="41"/>
  <c r="I245" i="41"/>
  <c r="I255" i="41"/>
  <c r="I385" i="41"/>
  <c r="I273" i="41"/>
  <c r="I247" i="41"/>
  <c r="I365" i="41"/>
  <c r="I275" i="41"/>
  <c r="I151" i="41"/>
  <c r="I246" i="41"/>
  <c r="I353" i="41"/>
  <c r="I182" i="41"/>
  <c r="I355" i="41"/>
  <c r="I354" i="41"/>
  <c r="J367" i="37"/>
  <c r="J365" i="37"/>
  <c r="J366" i="37"/>
  <c r="J368" i="37"/>
  <c r="H117" i="18"/>
  <c r="I117" i="18"/>
  <c r="J373" i="37"/>
  <c r="J373" i="41" s="1"/>
  <c r="J374" i="37"/>
  <c r="J374" i="41" s="1"/>
  <c r="J372" i="37"/>
  <c r="H200" i="18"/>
  <c r="I200" i="18"/>
  <c r="J233" i="37"/>
  <c r="J236" i="37"/>
  <c r="J235" i="37"/>
  <c r="J234" i="37"/>
  <c r="J375" i="37"/>
  <c r="J377" i="37"/>
  <c r="J376" i="37"/>
  <c r="H492" i="18"/>
  <c r="I492" i="18"/>
  <c r="J223" i="58"/>
  <c r="J224" i="58"/>
  <c r="J222" i="58"/>
  <c r="J421" i="58"/>
  <c r="J420" i="58"/>
  <c r="J422" i="58"/>
  <c r="J186" i="18"/>
  <c r="F186" i="18"/>
  <c r="F373" i="18"/>
  <c r="J373" i="18"/>
  <c r="H461" i="18"/>
  <c r="I461" i="18"/>
  <c r="J274" i="58"/>
  <c r="J275" i="58"/>
  <c r="J273" i="58"/>
  <c r="H168" i="18"/>
  <c r="I168" i="18"/>
  <c r="J382" i="37"/>
  <c r="J382" i="41" s="1"/>
  <c r="J381" i="37"/>
  <c r="J381" i="41" s="1"/>
  <c r="J383" i="37"/>
  <c r="J383" i="41" s="1"/>
  <c r="J228" i="18"/>
  <c r="F228" i="18"/>
  <c r="I215" i="41"/>
  <c r="I164" i="41"/>
  <c r="J370" i="18"/>
  <c r="F370" i="18"/>
  <c r="J441" i="18"/>
  <c r="F441" i="18"/>
  <c r="F410" i="18"/>
  <c r="J410" i="18"/>
  <c r="J164" i="37"/>
  <c r="J161" i="37"/>
  <c r="J163" i="37"/>
  <c r="J162" i="37"/>
  <c r="F229" i="18"/>
  <c r="J229" i="18"/>
  <c r="J483" i="18"/>
  <c r="F483" i="18"/>
  <c r="I127" i="18"/>
  <c r="H127" i="18"/>
  <c r="I118" i="18"/>
  <c r="H118" i="18"/>
  <c r="J289" i="37"/>
  <c r="J289" i="41" s="1"/>
  <c r="J288" i="37"/>
  <c r="J290" i="37"/>
  <c r="J290" i="41" s="1"/>
  <c r="J372" i="18"/>
  <c r="F372" i="18"/>
  <c r="I210" i="18"/>
  <c r="H210" i="18"/>
  <c r="J293" i="37"/>
  <c r="J292" i="37"/>
  <c r="J291" i="37"/>
  <c r="F378" i="18"/>
  <c r="J378" i="18"/>
  <c r="J478" i="18"/>
  <c r="F478" i="18"/>
  <c r="F418" i="18"/>
  <c r="J418" i="18"/>
  <c r="C46" i="63"/>
  <c r="H503" i="18"/>
  <c r="I503" i="18"/>
  <c r="I500" i="18"/>
  <c r="H500" i="18"/>
  <c r="J402" i="58"/>
  <c r="J404" i="58"/>
  <c r="J403" i="58"/>
  <c r="I450" i="18"/>
  <c r="H450" i="18"/>
  <c r="J310" i="58"/>
  <c r="J309" i="58"/>
  <c r="J311" i="58"/>
  <c r="I163" i="18"/>
  <c r="H163" i="18"/>
  <c r="J159" i="37"/>
  <c r="J159" i="41" s="1"/>
  <c r="J160" i="37"/>
  <c r="J160" i="41" s="1"/>
  <c r="J157" i="37"/>
  <c r="J157" i="41" s="1"/>
  <c r="J158" i="37"/>
  <c r="J158" i="41" s="1"/>
  <c r="J186" i="58"/>
  <c r="I213" i="41"/>
  <c r="I163" i="41"/>
  <c r="I242" i="18"/>
  <c r="H242" i="18"/>
  <c r="I246" i="18"/>
  <c r="H246" i="18"/>
  <c r="F443" i="18"/>
  <c r="J443" i="18"/>
  <c r="H251" i="18"/>
  <c r="I251" i="18"/>
  <c r="J402" i="37"/>
  <c r="J403" i="37"/>
  <c r="J403" i="41" s="1"/>
  <c r="J404" i="37"/>
  <c r="J409" i="18"/>
  <c r="F409" i="18"/>
  <c r="F489" i="18"/>
  <c r="J489" i="18"/>
  <c r="I356" i="41"/>
  <c r="H125" i="18"/>
  <c r="I125" i="18"/>
  <c r="J185" i="37"/>
  <c r="J183" i="37"/>
  <c r="J183" i="41" s="1"/>
  <c r="J168" i="37"/>
  <c r="J169" i="37"/>
  <c r="J169" i="41" s="1"/>
  <c r="J170" i="37"/>
  <c r="J170" i="41" s="1"/>
  <c r="J184" i="37"/>
  <c r="J184" i="41" s="1"/>
  <c r="J210" i="37"/>
  <c r="J212" i="37"/>
  <c r="J212" i="41" s="1"/>
  <c r="J211" i="37"/>
  <c r="J211" i="41" s="1"/>
  <c r="I206" i="18"/>
  <c r="H206" i="18"/>
  <c r="J257" i="37"/>
  <c r="J256" i="37"/>
  <c r="J255" i="37"/>
  <c r="F237" i="18"/>
  <c r="J237" i="18"/>
  <c r="J444" i="18"/>
  <c r="F444" i="18"/>
  <c r="H504" i="18"/>
  <c r="I504" i="18"/>
  <c r="J386" i="58"/>
  <c r="J385" i="58"/>
  <c r="J384" i="58"/>
  <c r="J302" i="58"/>
  <c r="J301" i="58"/>
  <c r="J300" i="58"/>
  <c r="D76" i="57" s="1"/>
  <c r="F239" i="18"/>
  <c r="J239" i="18"/>
  <c r="H452" i="18"/>
  <c r="I452" i="18"/>
  <c r="J291" i="58"/>
  <c r="J293" i="58"/>
  <c r="J292" i="58"/>
  <c r="H160" i="18"/>
  <c r="I160" i="18"/>
  <c r="J241" i="37"/>
  <c r="J241" i="41" s="1"/>
  <c r="J244" i="37"/>
  <c r="J244" i="41" s="1"/>
  <c r="J243" i="37"/>
  <c r="J243" i="41" s="1"/>
  <c r="J242" i="37"/>
  <c r="J242" i="41" s="1"/>
  <c r="C55" i="63"/>
  <c r="F480" i="18"/>
  <c r="J480" i="18"/>
  <c r="J411" i="18"/>
  <c r="F411" i="18"/>
  <c r="I162" i="41"/>
  <c r="I249" i="18"/>
  <c r="H249" i="18"/>
  <c r="J422" i="37"/>
  <c r="J420" i="37"/>
  <c r="J421" i="37"/>
  <c r="J421" i="41" s="1"/>
  <c r="I119" i="18"/>
  <c r="H119" i="18"/>
  <c r="J328" i="37"/>
  <c r="J328" i="41" s="1"/>
  <c r="J327" i="37"/>
  <c r="J327" i="41" s="1"/>
  <c r="J325" i="37"/>
  <c r="J326" i="37"/>
  <c r="J326" i="41" s="1"/>
  <c r="J410" i="37"/>
  <c r="J410" i="41" s="1"/>
  <c r="J409" i="37"/>
  <c r="J409" i="41" s="1"/>
  <c r="J408" i="37"/>
  <c r="J408" i="41" s="1"/>
  <c r="H204" i="18"/>
  <c r="I204" i="18"/>
  <c r="J172" i="37"/>
  <c r="J171" i="37"/>
  <c r="J173" i="37"/>
  <c r="F448" i="18"/>
  <c r="J448" i="18"/>
  <c r="I494" i="18"/>
  <c r="H494" i="18"/>
  <c r="I501" i="18"/>
  <c r="H501" i="18"/>
  <c r="J205" i="58"/>
  <c r="J206" i="58"/>
  <c r="J204" i="58"/>
  <c r="F196" i="18"/>
  <c r="J196" i="18"/>
  <c r="H454" i="18"/>
  <c r="I454" i="18"/>
  <c r="J172" i="58"/>
  <c r="J173" i="58"/>
  <c r="J171" i="58"/>
  <c r="J486" i="18"/>
  <c r="F486" i="18"/>
  <c r="J416" i="18"/>
  <c r="F416" i="18"/>
  <c r="F420" i="18"/>
  <c r="J420" i="18"/>
  <c r="F446" i="18"/>
  <c r="J446" i="18"/>
  <c r="I162" i="18"/>
  <c r="H162" i="18"/>
  <c r="J219" i="37"/>
  <c r="J219" i="41" s="1"/>
  <c r="J221" i="37"/>
  <c r="J221" i="41" s="1"/>
  <c r="J220" i="37"/>
  <c r="J220" i="41" s="1"/>
  <c r="I413" i="41"/>
  <c r="J440" i="18"/>
  <c r="F440" i="18"/>
  <c r="F415" i="18"/>
  <c r="J415" i="18"/>
  <c r="F449" i="18"/>
  <c r="J449" i="18"/>
  <c r="J188" i="58"/>
  <c r="C54" i="63" s="1"/>
  <c r="J195" i="18"/>
  <c r="F195" i="18"/>
  <c r="I161" i="41"/>
  <c r="H245" i="18"/>
  <c r="I245" i="18"/>
  <c r="J205" i="37"/>
  <c r="J204" i="37"/>
  <c r="J206" i="37"/>
  <c r="J442" i="18"/>
  <c r="F442" i="18"/>
  <c r="H115" i="18"/>
  <c r="I115" i="18"/>
  <c r="J390" i="37"/>
  <c r="J392" i="37"/>
  <c r="J392" i="41" s="1"/>
  <c r="J391" i="37"/>
  <c r="J391" i="41" s="1"/>
  <c r="H211" i="18"/>
  <c r="I211" i="18"/>
  <c r="J195" i="37"/>
  <c r="J196" i="37"/>
  <c r="J197" i="37"/>
  <c r="F194" i="18"/>
  <c r="J194" i="18"/>
  <c r="H497" i="18"/>
  <c r="I497" i="18"/>
  <c r="J319" i="58"/>
  <c r="J318" i="58"/>
  <c r="J320" i="58"/>
  <c r="H457" i="18"/>
  <c r="I457" i="18"/>
  <c r="J393" i="58"/>
  <c r="J395" i="58"/>
  <c r="J394" i="58"/>
  <c r="I291" i="41"/>
  <c r="I377" i="41"/>
  <c r="I161" i="18"/>
  <c r="H161" i="18"/>
  <c r="H156" i="18"/>
  <c r="I156" i="18"/>
  <c r="J262" i="37"/>
  <c r="J262" i="41" s="1"/>
  <c r="J261" i="37"/>
  <c r="J261" i="41" s="1"/>
  <c r="J263" i="37"/>
  <c r="J263" i="41" s="1"/>
  <c r="I411" i="41"/>
  <c r="I282" i="41"/>
  <c r="F367" i="18"/>
  <c r="J367" i="18"/>
  <c r="F376" i="18"/>
  <c r="J376" i="18"/>
  <c r="J318" i="37"/>
  <c r="J320" i="37"/>
  <c r="J319" i="37"/>
  <c r="F419" i="18"/>
  <c r="J419" i="18"/>
  <c r="F366" i="18"/>
  <c r="J366" i="18"/>
  <c r="J184" i="18"/>
  <c r="F184" i="18"/>
  <c r="I124" i="18"/>
  <c r="H124" i="18"/>
  <c r="J193" i="37"/>
  <c r="J193" i="41" s="1"/>
  <c r="J192" i="37"/>
  <c r="J194" i="37"/>
  <c r="J194" i="41" s="1"/>
  <c r="H207" i="18"/>
  <c r="I207" i="18"/>
  <c r="J331" i="37"/>
  <c r="J330" i="37"/>
  <c r="J332" i="37"/>
  <c r="J329" i="37"/>
  <c r="J412" i="18"/>
  <c r="F412" i="18"/>
  <c r="J375" i="18"/>
  <c r="F375" i="18"/>
  <c r="H496" i="18"/>
  <c r="I496" i="18"/>
  <c r="J365" i="58"/>
  <c r="J368" i="58"/>
  <c r="J366" i="58"/>
  <c r="J367" i="58"/>
  <c r="J488" i="18"/>
  <c r="F488" i="18"/>
  <c r="I451" i="18"/>
  <c r="H451" i="18"/>
  <c r="J376" i="58"/>
  <c r="J377" i="58"/>
  <c r="J375" i="58"/>
  <c r="D78" i="57" s="1"/>
  <c r="I292" i="41"/>
  <c r="E28" i="17"/>
  <c r="F368" i="18"/>
  <c r="J368" i="18"/>
  <c r="I376" i="41"/>
  <c r="I165" i="18"/>
  <c r="H165" i="18"/>
  <c r="H164" i="18"/>
  <c r="I164" i="18"/>
  <c r="J401" i="37"/>
  <c r="J401" i="41" s="1"/>
  <c r="J399" i="37"/>
  <c r="J399" i="41" s="1"/>
  <c r="J400" i="37"/>
  <c r="J400" i="41" s="1"/>
  <c r="I412" i="41"/>
  <c r="I393" i="41"/>
  <c r="I301" i="41"/>
  <c r="F369" i="18"/>
  <c r="J369" i="18"/>
  <c r="F238" i="18"/>
  <c r="J238" i="18"/>
  <c r="F192" i="18"/>
  <c r="J192" i="18"/>
  <c r="I309" i="41"/>
  <c r="J481" i="18"/>
  <c r="F481" i="18"/>
  <c r="J413" i="18"/>
  <c r="F413" i="18"/>
  <c r="I505" i="18"/>
  <c r="H505" i="18"/>
  <c r="J246" i="58"/>
  <c r="J248" i="58"/>
  <c r="J245" i="58"/>
  <c r="J247" i="58"/>
  <c r="I462" i="18"/>
  <c r="H462" i="18"/>
  <c r="J234" i="58"/>
  <c r="J233" i="58"/>
  <c r="J235" i="58"/>
  <c r="J236" i="58"/>
  <c r="I293" i="41"/>
  <c r="I375" i="41"/>
  <c r="H158" i="18"/>
  <c r="I158" i="18"/>
  <c r="J203" i="37"/>
  <c r="J203" i="41" s="1"/>
  <c r="J201" i="37"/>
  <c r="J201" i="41" s="1"/>
  <c r="J202" i="37"/>
  <c r="J202" i="41" s="1"/>
  <c r="F379" i="18"/>
  <c r="J379" i="18"/>
  <c r="F377" i="18"/>
  <c r="J377" i="18"/>
  <c r="I395" i="41"/>
  <c r="I300" i="41"/>
  <c r="H248" i="18"/>
  <c r="I248" i="18"/>
  <c r="H203" i="18"/>
  <c r="I203" i="18"/>
  <c r="I198" i="18"/>
  <c r="H198" i="18"/>
  <c r="J412" i="37"/>
  <c r="J413" i="37"/>
  <c r="J411" i="37"/>
  <c r="I310" i="41"/>
  <c r="I493" i="18"/>
  <c r="H493" i="18"/>
  <c r="J180" i="58"/>
  <c r="J182" i="58"/>
  <c r="J181" i="58"/>
  <c r="F417" i="18"/>
  <c r="J417" i="18"/>
  <c r="I453" i="18"/>
  <c r="H453" i="18"/>
  <c r="I460" i="18"/>
  <c r="H460" i="18"/>
  <c r="J213" i="58"/>
  <c r="J214" i="58"/>
  <c r="J215" i="58"/>
  <c r="F197" i="18"/>
  <c r="J197" i="18"/>
  <c r="J479" i="18"/>
  <c r="F479" i="18"/>
  <c r="I166" i="18"/>
  <c r="H166" i="18"/>
  <c r="J361" i="37"/>
  <c r="J361" i="41" s="1"/>
  <c r="J363" i="37"/>
  <c r="J363" i="41" s="1"/>
  <c r="J364" i="37"/>
  <c r="J364" i="41" s="1"/>
  <c r="J362" i="37"/>
  <c r="J362" i="41" s="1"/>
  <c r="J177" i="37"/>
  <c r="J177" i="41" s="1"/>
  <c r="J179" i="37"/>
  <c r="J179" i="41" s="1"/>
  <c r="J186" i="37"/>
  <c r="J188" i="37"/>
  <c r="J187" i="37"/>
  <c r="J187" i="41" s="1"/>
  <c r="J178" i="37"/>
  <c r="J178" i="41" s="1"/>
  <c r="H66" i="35" a="1"/>
  <c r="H66" i="35" s="1"/>
  <c r="H59" i="35" a="1"/>
  <c r="H59" i="35" s="1"/>
  <c r="H65" i="35" a="1"/>
  <c r="H65" i="35" s="1"/>
  <c r="H72" i="35" a="1"/>
  <c r="H72" i="35" s="1"/>
  <c r="H71" i="35" a="1"/>
  <c r="H71" i="35" s="1"/>
  <c r="H60" i="35" a="1"/>
  <c r="H60" i="35" s="1"/>
  <c r="H64" i="35" a="1"/>
  <c r="H64" i="35" s="1"/>
  <c r="H61" i="35" a="1"/>
  <c r="H61" i="35" s="1"/>
  <c r="H69" i="35" a="1"/>
  <c r="H69" i="35" s="1"/>
  <c r="H67" i="35" a="1"/>
  <c r="H67" i="35" s="1"/>
  <c r="H62" i="35" a="1"/>
  <c r="H62" i="35" s="1"/>
  <c r="H68" i="35" a="1"/>
  <c r="H68" i="35" s="1"/>
  <c r="H70" i="35" a="1"/>
  <c r="H70" i="35" s="1"/>
  <c r="H63" i="35" a="1"/>
  <c r="H63" i="35" s="1"/>
  <c r="G147" i="18" a="1"/>
  <c r="G147" i="18" s="1"/>
  <c r="G143" i="18" a="1"/>
  <c r="G143" i="18" s="1"/>
  <c r="G153" i="18" a="1"/>
  <c r="G153" i="18" s="1"/>
  <c r="G149" i="18" a="1"/>
  <c r="G149" i="18" s="1"/>
  <c r="G152" i="18" a="1"/>
  <c r="G152" i="18" s="1"/>
  <c r="G144" i="18" a="1"/>
  <c r="G144" i="18" s="1"/>
  <c r="G145" i="18" a="1"/>
  <c r="G145" i="18" s="1"/>
  <c r="G148" i="18" a="1"/>
  <c r="G148" i="18" s="1"/>
  <c r="G150" i="18" a="1"/>
  <c r="G150" i="18" s="1"/>
  <c r="G154" i="18" a="1"/>
  <c r="G154" i="18" s="1"/>
  <c r="G151" i="18" a="1"/>
  <c r="G151" i="18" s="1"/>
  <c r="P20" i="20"/>
  <c r="G146" i="18" a="1"/>
  <c r="G146" i="18" s="1"/>
  <c r="G142" i="18" a="1"/>
  <c r="G142" i="18" s="1"/>
  <c r="G155" i="18" a="1"/>
  <c r="G155" i="18" s="1"/>
  <c r="F191" i="18"/>
  <c r="J191" i="18"/>
  <c r="I205" i="41"/>
  <c r="I394" i="41"/>
  <c r="I302" i="41"/>
  <c r="F235" i="18"/>
  <c r="J235" i="18"/>
  <c r="J254" i="37"/>
  <c r="J254" i="41" s="1"/>
  <c r="J253" i="37"/>
  <c r="J253" i="41" s="1"/>
  <c r="J252" i="37"/>
  <c r="H241" i="18"/>
  <c r="I241" i="18"/>
  <c r="J302" i="37"/>
  <c r="J300" i="37"/>
  <c r="J301" i="37"/>
  <c r="J301" i="41" s="1"/>
  <c r="H122" i="18"/>
  <c r="I122" i="18"/>
  <c r="J146" i="37"/>
  <c r="J145" i="37"/>
  <c r="J147" i="37"/>
  <c r="J148" i="37"/>
  <c r="I253" i="18"/>
  <c r="H253" i="18"/>
  <c r="I250" i="18"/>
  <c r="H250" i="18"/>
  <c r="J264" i="37"/>
  <c r="J266" i="37"/>
  <c r="J265" i="37"/>
  <c r="H114" i="18"/>
  <c r="I114" i="18"/>
  <c r="J308" i="37"/>
  <c r="J308" i="41" s="1"/>
  <c r="J307" i="37"/>
  <c r="J307" i="41" s="1"/>
  <c r="J306" i="37"/>
  <c r="I202" i="18"/>
  <c r="H202" i="18"/>
  <c r="I205" i="18"/>
  <c r="H205" i="18"/>
  <c r="J356" i="37"/>
  <c r="J354" i="37"/>
  <c r="J353" i="37"/>
  <c r="J355" i="37"/>
  <c r="I311" i="41"/>
  <c r="J226" i="18"/>
  <c r="F226" i="18"/>
  <c r="I150" i="41"/>
  <c r="I502" i="18"/>
  <c r="H502" i="18"/>
  <c r="J341" i="58"/>
  <c r="J343" i="58"/>
  <c r="J344" i="58"/>
  <c r="J342" i="58"/>
  <c r="F436" i="18"/>
  <c r="J436" i="18"/>
  <c r="I463" i="18"/>
  <c r="H463" i="18"/>
  <c r="J196" i="58"/>
  <c r="J195" i="58"/>
  <c r="G265" i="66" s="1"/>
  <c r="J197" i="58"/>
  <c r="J353" i="58"/>
  <c r="G254" i="66" s="1"/>
  <c r="J356" i="58"/>
  <c r="J354" i="58"/>
  <c r="J355" i="58"/>
  <c r="F189" i="18"/>
  <c r="J189" i="18"/>
  <c r="I169" i="18"/>
  <c r="H169" i="18"/>
  <c r="J298" i="37"/>
  <c r="J298" i="41" s="1"/>
  <c r="J299" i="37"/>
  <c r="J299" i="41" s="1"/>
  <c r="J297" i="37"/>
  <c r="J297" i="41" s="1"/>
  <c r="J338" i="37"/>
  <c r="J338" i="41" s="1"/>
  <c r="J337" i="37"/>
  <c r="J337" i="41" s="1"/>
  <c r="J339" i="37"/>
  <c r="J339" i="41" s="1"/>
  <c r="J340" i="37"/>
  <c r="J340" i="41" s="1"/>
  <c r="N10" i="9"/>
  <c r="D24" i="17"/>
  <c r="D28" i="17" s="1"/>
  <c r="D26" i="17"/>
  <c r="U6" i="9"/>
  <c r="I206" i="41"/>
  <c r="H247" i="18"/>
  <c r="I247" i="18"/>
  <c r="J182" i="37"/>
  <c r="J181" i="37"/>
  <c r="J180" i="37"/>
  <c r="J437" i="18"/>
  <c r="F437" i="18"/>
  <c r="I244" i="18"/>
  <c r="H244" i="18"/>
  <c r="H252" i="18"/>
  <c r="I252" i="18"/>
  <c r="J282" i="37"/>
  <c r="J283" i="37"/>
  <c r="J284" i="37"/>
  <c r="J247" i="37"/>
  <c r="J248" i="37"/>
  <c r="J246" i="37"/>
  <c r="J245" i="37"/>
  <c r="J421" i="18"/>
  <c r="F421" i="18"/>
  <c r="I116" i="18"/>
  <c r="H116" i="18"/>
  <c r="J271" i="37"/>
  <c r="J271" i="41" s="1"/>
  <c r="J270" i="37"/>
  <c r="J272" i="37"/>
  <c r="J272" i="41" s="1"/>
  <c r="J233" i="18"/>
  <c r="F233" i="18"/>
  <c r="I201" i="18"/>
  <c r="H201" i="18"/>
  <c r="J215" i="37"/>
  <c r="J213" i="37"/>
  <c r="J213" i="41" s="1"/>
  <c r="J214" i="37"/>
  <c r="J214" i="41" s="1"/>
  <c r="F482" i="18"/>
  <c r="J482" i="18"/>
  <c r="I149" i="41"/>
  <c r="F445" i="18"/>
  <c r="J445" i="18"/>
  <c r="J193" i="18"/>
  <c r="F193" i="18"/>
  <c r="F234" i="18"/>
  <c r="J234" i="18"/>
  <c r="F485" i="18"/>
  <c r="J485" i="18"/>
  <c r="I499" i="18"/>
  <c r="H499" i="18"/>
  <c r="J264" i="58"/>
  <c r="J266" i="58"/>
  <c r="J265" i="58"/>
  <c r="I196" i="41"/>
  <c r="H459" i="18"/>
  <c r="I459" i="18"/>
  <c r="J255" i="58"/>
  <c r="J257" i="58"/>
  <c r="J256" i="58"/>
  <c r="J329" i="58"/>
  <c r="J332" i="58"/>
  <c r="J331" i="58"/>
  <c r="J330" i="58"/>
  <c r="H146" i="35" a="1"/>
  <c r="H146" i="35" s="1"/>
  <c r="H150" i="35" a="1"/>
  <c r="H150" i="35" s="1"/>
  <c r="H144" i="35" a="1"/>
  <c r="H144" i="35" s="1"/>
  <c r="H153" i="35" a="1"/>
  <c r="H153" i="35" s="1"/>
  <c r="H143" i="35" a="1"/>
  <c r="H143" i="35" s="1"/>
  <c r="H145" i="35" a="1"/>
  <c r="H145" i="35" s="1"/>
  <c r="H156" i="35" a="1"/>
  <c r="H156" i="35" s="1"/>
  <c r="H148" i="35" a="1"/>
  <c r="H148" i="35" s="1"/>
  <c r="H155" i="35" a="1"/>
  <c r="H155" i="35" s="1"/>
  <c r="G403" i="18" a="1"/>
  <c r="G403" i="18" s="1"/>
  <c r="H151" i="35" a="1"/>
  <c r="H151" i="35" s="1"/>
  <c r="H147" i="35" a="1"/>
  <c r="H147" i="35" s="1"/>
  <c r="H152" i="35" a="1"/>
  <c r="H152" i="35" s="1"/>
  <c r="H149" i="35" a="1"/>
  <c r="H149" i="35" s="1"/>
  <c r="G395" i="18" a="1"/>
  <c r="G395" i="18" s="1"/>
  <c r="P47" i="20"/>
  <c r="G406" i="18" a="1"/>
  <c r="G406" i="18" s="1"/>
  <c r="G405" i="18" a="1"/>
  <c r="G405" i="18" s="1"/>
  <c r="G407" i="18" a="1"/>
  <c r="G407" i="18" s="1"/>
  <c r="G398" i="18" a="1"/>
  <c r="G398" i="18" s="1"/>
  <c r="G394" i="18" a="1"/>
  <c r="G394" i="18" s="1"/>
  <c r="G404" i="18" a="1"/>
  <c r="G404" i="18" s="1"/>
  <c r="G401" i="18" a="1"/>
  <c r="G401" i="18" s="1"/>
  <c r="H154" i="35" a="1"/>
  <c r="H154" i="35" s="1"/>
  <c r="G396" i="18" a="1"/>
  <c r="G396" i="18" s="1"/>
  <c r="G400" i="18" a="1"/>
  <c r="G400" i="18" s="1"/>
  <c r="G397" i="18" a="1"/>
  <c r="G397" i="18" s="1"/>
  <c r="G402" i="18" a="1"/>
  <c r="G402" i="18" s="1"/>
  <c r="G399" i="18" a="1"/>
  <c r="G399" i="18" s="1"/>
  <c r="F187" i="18"/>
  <c r="J187" i="18"/>
  <c r="H157" i="18"/>
  <c r="I157" i="18"/>
  <c r="J419" i="37"/>
  <c r="J419" i="41" s="1"/>
  <c r="J417" i="37"/>
  <c r="J417" i="41" s="1"/>
  <c r="J418" i="37"/>
  <c r="J418" i="41" s="1"/>
  <c r="J374" i="18"/>
  <c r="F374" i="18"/>
  <c r="H20" i="35" a="1"/>
  <c r="H20" i="35" s="1"/>
  <c r="H29" i="35" a="1"/>
  <c r="H29" i="35" s="1"/>
  <c r="H26" i="35" a="1"/>
  <c r="H26" i="35" s="1"/>
  <c r="H28" i="35" a="1"/>
  <c r="H28" i="35" s="1"/>
  <c r="H17" i="35" a="1"/>
  <c r="H17" i="35" s="1"/>
  <c r="H19" i="35" a="1"/>
  <c r="H19" i="35" s="1"/>
  <c r="H30" i="35" a="1"/>
  <c r="H30" i="35" s="1"/>
  <c r="H24" i="35" a="1"/>
  <c r="H24" i="35" s="1"/>
  <c r="H23" i="35" a="1"/>
  <c r="H23" i="35" s="1"/>
  <c r="H22" i="35" a="1"/>
  <c r="H22" i="35" s="1"/>
  <c r="H27" i="35" a="1"/>
  <c r="H27" i="35" s="1"/>
  <c r="H25" i="35" a="1"/>
  <c r="H25" i="35" s="1"/>
  <c r="H18" i="35" a="1"/>
  <c r="H18" i="35" s="1"/>
  <c r="H21" i="35" a="1"/>
  <c r="H21" i="35" s="1"/>
  <c r="G113" i="18" a="1"/>
  <c r="G113" i="18" s="1"/>
  <c r="G107" i="18" a="1"/>
  <c r="G107" i="18" s="1"/>
  <c r="G109" i="18" a="1"/>
  <c r="G109" i="18" s="1"/>
  <c r="G20" i="20"/>
  <c r="G104" i="18" a="1"/>
  <c r="G104" i="18" s="1"/>
  <c r="G111" i="18" a="1"/>
  <c r="G111" i="18" s="1"/>
  <c r="G108" i="18" a="1"/>
  <c r="G108" i="18" s="1"/>
  <c r="G110" i="18" a="1"/>
  <c r="G110" i="18" s="1"/>
  <c r="G103" i="18" a="1"/>
  <c r="G103" i="18" s="1"/>
  <c r="G106" i="18" a="1"/>
  <c r="G106" i="18" s="1"/>
  <c r="G102" i="18" a="1"/>
  <c r="G102" i="18" s="1"/>
  <c r="G112" i="18" a="1"/>
  <c r="G112" i="18" s="1"/>
  <c r="G101" i="18" a="1"/>
  <c r="G101" i="18" s="1"/>
  <c r="G100" i="18" a="1"/>
  <c r="G100" i="18" s="1"/>
  <c r="G105" i="18" a="1"/>
  <c r="G105" i="18" s="1"/>
  <c r="I204" i="41"/>
  <c r="F484" i="18"/>
  <c r="J484" i="18"/>
  <c r="J438" i="18"/>
  <c r="F438" i="18"/>
  <c r="J232" i="18"/>
  <c r="F232" i="18"/>
  <c r="J344" i="37"/>
  <c r="J341" i="37"/>
  <c r="J343" i="37"/>
  <c r="J342" i="37"/>
  <c r="I243" i="18"/>
  <c r="H243" i="18"/>
  <c r="I121" i="18"/>
  <c r="H121" i="18"/>
  <c r="J487" i="18"/>
  <c r="F487" i="18"/>
  <c r="J152" i="37"/>
  <c r="J149" i="37"/>
  <c r="J151" i="37"/>
  <c r="J150" i="37"/>
  <c r="H240" i="18"/>
  <c r="I240" i="18"/>
  <c r="J223" i="37"/>
  <c r="J223" i="41" s="1"/>
  <c r="J224" i="37"/>
  <c r="J224" i="41" s="1"/>
  <c r="J222" i="37"/>
  <c r="J222" i="41" s="1"/>
  <c r="J384" i="37"/>
  <c r="J384" i="41" s="1"/>
  <c r="J385" i="37"/>
  <c r="J386" i="37"/>
  <c r="J188" i="18"/>
  <c r="F188" i="18"/>
  <c r="F236" i="18"/>
  <c r="J236" i="18"/>
  <c r="F414" i="18"/>
  <c r="J414" i="18"/>
  <c r="J439" i="18"/>
  <c r="F439" i="18"/>
  <c r="I120" i="18"/>
  <c r="H120" i="18"/>
  <c r="J352" i="37"/>
  <c r="J352" i="41" s="1"/>
  <c r="J351" i="37"/>
  <c r="J351" i="41" s="1"/>
  <c r="J349" i="37"/>
  <c r="J350" i="37"/>
  <c r="J350" i="41" s="1"/>
  <c r="I208" i="18"/>
  <c r="H208" i="18"/>
  <c r="I199" i="18"/>
  <c r="H199" i="18"/>
  <c r="J310" i="37"/>
  <c r="J310" i="41" s="1"/>
  <c r="J311" i="37"/>
  <c r="J309" i="37"/>
  <c r="J309" i="41" s="1"/>
  <c r="F185" i="18"/>
  <c r="J185" i="18"/>
  <c r="J371" i="18"/>
  <c r="F371" i="18"/>
  <c r="I152" i="41"/>
  <c r="C16" i="63"/>
  <c r="I181" i="41"/>
  <c r="I498" i="18"/>
  <c r="H498" i="18"/>
  <c r="J283" i="58"/>
  <c r="J284" i="58"/>
  <c r="J282" i="58"/>
  <c r="G255" i="66" s="1"/>
  <c r="I197" i="41"/>
  <c r="H456" i="18"/>
  <c r="I456" i="18"/>
  <c r="J412" i="58"/>
  <c r="J413" i="58"/>
  <c r="J411" i="58"/>
  <c r="J152" i="58"/>
  <c r="J149" i="58"/>
  <c r="J151" i="58"/>
  <c r="J150" i="58"/>
  <c r="H101" i="35" a="1"/>
  <c r="H101" i="35" s="1"/>
  <c r="H103" i="35" a="1"/>
  <c r="H103" i="35" s="1"/>
  <c r="H104" i="35" a="1"/>
  <c r="H104" i="35" s="1"/>
  <c r="H110" i="35" a="1"/>
  <c r="H110" i="35" s="1"/>
  <c r="H113" i="35" a="1"/>
  <c r="H113" i="35" s="1"/>
  <c r="H108" i="35" a="1"/>
  <c r="H108" i="35" s="1"/>
  <c r="H107" i="35" a="1"/>
  <c r="H107" i="35" s="1"/>
  <c r="H112" i="35" a="1"/>
  <c r="H112" i="35" s="1"/>
  <c r="H106" i="35" a="1"/>
  <c r="H106" i="35" s="1"/>
  <c r="H109" i="35" a="1"/>
  <c r="H109" i="35" s="1"/>
  <c r="H114" i="35" a="1"/>
  <c r="H114" i="35" s="1"/>
  <c r="H111" i="35" a="1"/>
  <c r="H111" i="35" s="1"/>
  <c r="H102" i="35" a="1"/>
  <c r="H102" i="35" s="1"/>
  <c r="H105" i="35" a="1"/>
  <c r="H105" i="35" s="1"/>
  <c r="G352" i="18" a="1"/>
  <c r="G352" i="18" s="1"/>
  <c r="G357" i="18" a="1"/>
  <c r="G357" i="18" s="1"/>
  <c r="G365" i="18" a="1"/>
  <c r="G365" i="18" s="1"/>
  <c r="G359" i="18" a="1"/>
  <c r="G359" i="18" s="1"/>
  <c r="G356" i="18" a="1"/>
  <c r="G356" i="18" s="1"/>
  <c r="G364" i="18" a="1"/>
  <c r="G364" i="18" s="1"/>
  <c r="G360" i="18" a="1"/>
  <c r="G360" i="18" s="1"/>
  <c r="G354" i="18" a="1"/>
  <c r="G354" i="18" s="1"/>
  <c r="G361" i="18" a="1"/>
  <c r="G361" i="18" s="1"/>
  <c r="G355" i="18" a="1"/>
  <c r="G355" i="18" s="1"/>
  <c r="G47" i="20"/>
  <c r="G362" i="18" a="1"/>
  <c r="G362" i="18" s="1"/>
  <c r="G358" i="18" a="1"/>
  <c r="G358" i="18" s="1"/>
  <c r="G363" i="18" a="1"/>
  <c r="G363" i="18" s="1"/>
  <c r="G353" i="18" a="1"/>
  <c r="G353" i="18" s="1"/>
  <c r="J190" i="18"/>
  <c r="F190" i="18"/>
  <c r="I159" i="18"/>
  <c r="H159" i="18"/>
  <c r="J317" i="37"/>
  <c r="J317" i="41" s="1"/>
  <c r="J316" i="37"/>
  <c r="J316" i="41" s="1"/>
  <c r="J315" i="37"/>
  <c r="J315" i="41" s="1"/>
  <c r="J490" i="18"/>
  <c r="F490" i="18"/>
  <c r="J408" i="18"/>
  <c r="F408" i="18"/>
  <c r="F227" i="18"/>
  <c r="J227" i="18"/>
  <c r="F491" i="18"/>
  <c r="J491" i="18"/>
  <c r="I123" i="18"/>
  <c r="H123" i="18"/>
  <c r="I126" i="18"/>
  <c r="H126" i="18"/>
  <c r="J230" i="37"/>
  <c r="J230" i="41" s="1"/>
  <c r="J231" i="37"/>
  <c r="J231" i="41" s="1"/>
  <c r="J229" i="37"/>
  <c r="J232" i="37"/>
  <c r="J232" i="41" s="1"/>
  <c r="I209" i="18"/>
  <c r="H209" i="18"/>
  <c r="J273" i="37"/>
  <c r="J273" i="41" s="1"/>
  <c r="J275" i="37"/>
  <c r="J275" i="41" s="1"/>
  <c r="J274" i="37"/>
  <c r="J274" i="41" s="1"/>
  <c r="J393" i="37"/>
  <c r="J395" i="37"/>
  <c r="J394" i="37"/>
  <c r="I180" i="41"/>
  <c r="I495" i="18"/>
  <c r="H495" i="18"/>
  <c r="J164" i="58"/>
  <c r="J163" i="58"/>
  <c r="J161" i="58"/>
  <c r="J162" i="58"/>
  <c r="I195" i="41"/>
  <c r="I458" i="18"/>
  <c r="H458" i="18"/>
  <c r="I455" i="18"/>
  <c r="H455" i="18"/>
  <c r="H167" i="18"/>
  <c r="I167" i="18"/>
  <c r="J280" i="37"/>
  <c r="J280" i="41" s="1"/>
  <c r="J279" i="37"/>
  <c r="J279" i="41" s="1"/>
  <c r="J281" i="37"/>
  <c r="J281" i="41" s="1"/>
  <c r="J231" i="18"/>
  <c r="F231" i="18"/>
  <c r="J230" i="18"/>
  <c r="F230" i="18"/>
  <c r="I214" i="41"/>
  <c r="F447" i="18"/>
  <c r="J447" i="18"/>
  <c r="J420" i="41" l="1"/>
  <c r="G257" i="66"/>
  <c r="J404" i="41"/>
  <c r="AB265" i="66"/>
  <c r="AC265" i="66" s="1"/>
  <c r="AB254" i="66"/>
  <c r="AC254" i="66" s="1"/>
  <c r="AB255" i="66"/>
  <c r="AC255" i="66" s="1"/>
  <c r="O255" i="66"/>
  <c r="O254" i="66"/>
  <c r="O265" i="66"/>
  <c r="G264" i="66"/>
  <c r="J302" i="41"/>
  <c r="G270" i="66"/>
  <c r="D69" i="57"/>
  <c r="J341" i="41"/>
  <c r="J188" i="41"/>
  <c r="D68" i="57"/>
  <c r="J215" i="41"/>
  <c r="J318" i="41"/>
  <c r="J342" i="41"/>
  <c r="D74" i="57"/>
  <c r="J311" i="41"/>
  <c r="J386" i="41"/>
  <c r="J385" i="41"/>
  <c r="J180" i="41"/>
  <c r="G282" i="66"/>
  <c r="G275" i="66"/>
  <c r="J206" i="41"/>
  <c r="G245" i="66"/>
  <c r="J395" i="41"/>
  <c r="O3" i="58"/>
  <c r="G274" i="66"/>
  <c r="J300" i="41"/>
  <c r="J393" i="41"/>
  <c r="J245" i="41"/>
  <c r="J248" i="41"/>
  <c r="J402" i="41"/>
  <c r="D73" i="57"/>
  <c r="J343" i="41"/>
  <c r="J247" i="41"/>
  <c r="J186" i="41"/>
  <c r="J422" i="41"/>
  <c r="J394" i="41"/>
  <c r="D71" i="57"/>
  <c r="D70" i="57"/>
  <c r="J356" i="41"/>
  <c r="J264" i="41"/>
  <c r="J319" i="41"/>
  <c r="J246" i="41"/>
  <c r="J181" i="41"/>
  <c r="J182" i="41"/>
  <c r="G260" i="66"/>
  <c r="I372" i="58"/>
  <c r="I373" i="58"/>
  <c r="I374" i="58"/>
  <c r="H111" i="18"/>
  <c r="I111" i="18"/>
  <c r="I308" i="37"/>
  <c r="I306" i="37"/>
  <c r="I307" i="37"/>
  <c r="I404" i="18"/>
  <c r="H404" i="18"/>
  <c r="H403" i="18"/>
  <c r="I403" i="18"/>
  <c r="J499" i="18"/>
  <c r="F499" i="18"/>
  <c r="F244" i="18"/>
  <c r="J244" i="18"/>
  <c r="I152" i="18"/>
  <c r="H152" i="18"/>
  <c r="I201" i="37"/>
  <c r="I202" i="37"/>
  <c r="I203" i="37"/>
  <c r="F493" i="18"/>
  <c r="J493" i="18"/>
  <c r="F451" i="18"/>
  <c r="J451" i="18"/>
  <c r="J115" i="18"/>
  <c r="F115" i="18"/>
  <c r="G259" i="66"/>
  <c r="G113" i="66"/>
  <c r="G113" i="74" s="1"/>
  <c r="J210" i="41"/>
  <c r="D31" i="57"/>
  <c r="F242" i="18"/>
  <c r="J242" i="18"/>
  <c r="J494" i="58"/>
  <c r="J233" i="41"/>
  <c r="I354" i="18"/>
  <c r="H354" i="18"/>
  <c r="I270" i="58"/>
  <c r="I272" i="58"/>
  <c r="I271" i="58"/>
  <c r="J120" i="18"/>
  <c r="F120" i="18"/>
  <c r="J121" i="18"/>
  <c r="F121" i="18"/>
  <c r="H104" i="18"/>
  <c r="I104" i="18"/>
  <c r="I409" i="37"/>
  <c r="I410" i="37"/>
  <c r="I408" i="37"/>
  <c r="F157" i="18"/>
  <c r="J157" i="18"/>
  <c r="H394" i="18"/>
  <c r="I394" i="18"/>
  <c r="I401" i="58"/>
  <c r="I399" i="58"/>
  <c r="I400" i="58"/>
  <c r="H149" i="18"/>
  <c r="I149" i="18"/>
  <c r="I242" i="37"/>
  <c r="I244" i="37"/>
  <c r="I241" i="37"/>
  <c r="I243" i="37"/>
  <c r="F505" i="18"/>
  <c r="J505" i="18"/>
  <c r="J329" i="41"/>
  <c r="F501" i="18"/>
  <c r="J501" i="18"/>
  <c r="F249" i="18"/>
  <c r="J249" i="18"/>
  <c r="J162" i="41"/>
  <c r="F200" i="18"/>
  <c r="J200" i="18"/>
  <c r="I361" i="18"/>
  <c r="H361" i="18"/>
  <c r="I409" i="58"/>
  <c r="I410" i="58"/>
  <c r="I408" i="58"/>
  <c r="J167" i="18"/>
  <c r="F167" i="18"/>
  <c r="J495" i="18"/>
  <c r="F495" i="18"/>
  <c r="I360" i="18"/>
  <c r="H360" i="18"/>
  <c r="I192" i="58"/>
  <c r="I193" i="58"/>
  <c r="I194" i="58"/>
  <c r="C56" i="63"/>
  <c r="I328" i="37"/>
  <c r="I327" i="37"/>
  <c r="I325" i="37"/>
  <c r="I326" i="37"/>
  <c r="H398" i="18"/>
  <c r="I398" i="18"/>
  <c r="I202" i="58"/>
  <c r="I201" i="58"/>
  <c r="I203" i="58"/>
  <c r="F205" i="18"/>
  <c r="J205" i="18"/>
  <c r="J250" i="18"/>
  <c r="F250" i="18"/>
  <c r="F241" i="18"/>
  <c r="J241" i="18"/>
  <c r="I155" i="18"/>
  <c r="H155" i="18"/>
  <c r="H153" i="18"/>
  <c r="I153" i="18"/>
  <c r="I400" i="37"/>
  <c r="I399" i="37"/>
  <c r="I401" i="37"/>
  <c r="J411" i="41"/>
  <c r="J165" i="18"/>
  <c r="F165" i="18"/>
  <c r="J332" i="41"/>
  <c r="D79" i="57"/>
  <c r="J163" i="41"/>
  <c r="J498" i="18"/>
  <c r="F498" i="18"/>
  <c r="J199" i="18"/>
  <c r="F199" i="18"/>
  <c r="F243" i="18"/>
  <c r="J243" i="18"/>
  <c r="I105" i="18"/>
  <c r="H105" i="18"/>
  <c r="H109" i="18"/>
  <c r="I109" i="18"/>
  <c r="I148" i="37"/>
  <c r="I145" i="37"/>
  <c r="I146" i="37"/>
  <c r="I147" i="37"/>
  <c r="H407" i="18"/>
  <c r="I407" i="18"/>
  <c r="I418" i="58"/>
  <c r="I419" i="58"/>
  <c r="I417" i="58"/>
  <c r="I142" i="18"/>
  <c r="H142" i="18"/>
  <c r="I143" i="18"/>
  <c r="H143" i="18"/>
  <c r="I418" i="37"/>
  <c r="I417" i="37"/>
  <c r="I419" i="37"/>
  <c r="F460" i="18"/>
  <c r="J460" i="18"/>
  <c r="J413" i="41"/>
  <c r="J330" i="41"/>
  <c r="J162" i="18"/>
  <c r="F162" i="18"/>
  <c r="J494" i="18"/>
  <c r="F494" i="18"/>
  <c r="E34" i="53"/>
  <c r="F34" i="53" s="1"/>
  <c r="G130" i="66"/>
  <c r="G130" i="74" s="1"/>
  <c r="J288" i="41"/>
  <c r="D37" i="57"/>
  <c r="J161" i="41"/>
  <c r="G120" i="66"/>
  <c r="J372" i="41"/>
  <c r="D39" i="57"/>
  <c r="H356" i="18"/>
  <c r="I356" i="18"/>
  <c r="I100" i="18"/>
  <c r="H100" i="18"/>
  <c r="I107" i="18"/>
  <c r="H107" i="18"/>
  <c r="I373" i="37"/>
  <c r="I373" i="41" s="1"/>
  <c r="I372" i="37"/>
  <c r="I374" i="37"/>
  <c r="I405" i="18"/>
  <c r="H405" i="18"/>
  <c r="I339" i="58"/>
  <c r="I338" i="58"/>
  <c r="I340" i="58"/>
  <c r="I337" i="58"/>
  <c r="J201" i="18"/>
  <c r="F201" i="18"/>
  <c r="F502" i="18"/>
  <c r="J502" i="18"/>
  <c r="J202" i="18"/>
  <c r="F202" i="18"/>
  <c r="J253" i="18"/>
  <c r="F253" i="18"/>
  <c r="G138" i="66"/>
  <c r="J252" i="41"/>
  <c r="O3" i="37"/>
  <c r="D34" i="57"/>
  <c r="I146" i="18"/>
  <c r="H146" i="18"/>
  <c r="I147" i="18"/>
  <c r="H147" i="18"/>
  <c r="I263" i="37"/>
  <c r="I261" i="37"/>
  <c r="I262" i="37"/>
  <c r="J412" i="41"/>
  <c r="J331" i="41"/>
  <c r="J457" i="18"/>
  <c r="F457" i="18"/>
  <c r="J197" i="41"/>
  <c r="G135" i="66"/>
  <c r="J494" i="37"/>
  <c r="J493" i="37"/>
  <c r="J325" i="41"/>
  <c r="D30" i="57"/>
  <c r="E394" i="38"/>
  <c r="G115" i="66"/>
  <c r="G115" i="74" s="1"/>
  <c r="J168" i="41"/>
  <c r="D32" i="57"/>
  <c r="D72" i="57"/>
  <c r="F450" i="18"/>
  <c r="J450" i="18"/>
  <c r="J164" i="41"/>
  <c r="J461" i="18"/>
  <c r="F461" i="18"/>
  <c r="J492" i="18"/>
  <c r="F492" i="18"/>
  <c r="I252" i="58"/>
  <c r="I254" i="58"/>
  <c r="I253" i="58"/>
  <c r="F240" i="18"/>
  <c r="J240" i="18"/>
  <c r="F208" i="18"/>
  <c r="J208" i="18"/>
  <c r="H101" i="18"/>
  <c r="I101" i="18"/>
  <c r="I113" i="18"/>
  <c r="H113" i="18"/>
  <c r="I290" i="37"/>
  <c r="I289" i="37"/>
  <c r="I288" i="37"/>
  <c r="H399" i="18"/>
  <c r="I399" i="18"/>
  <c r="H406" i="18"/>
  <c r="I406" i="18"/>
  <c r="I160" i="58"/>
  <c r="I159" i="58"/>
  <c r="I157" i="58"/>
  <c r="I158" i="58"/>
  <c r="F459" i="18"/>
  <c r="J459" i="18"/>
  <c r="G126" i="66"/>
  <c r="D35" i="57"/>
  <c r="J306" i="41"/>
  <c r="M50" i="39" s="1"/>
  <c r="E182" i="38" s="1"/>
  <c r="J148" i="41"/>
  <c r="C25" i="63"/>
  <c r="I179" i="37"/>
  <c r="I188" i="37"/>
  <c r="I187" i="37"/>
  <c r="I177" i="37"/>
  <c r="I186" i="37"/>
  <c r="I178" i="37"/>
  <c r="I160" i="37"/>
  <c r="I157" i="37"/>
  <c r="I158" i="37"/>
  <c r="I159" i="37"/>
  <c r="J453" i="18"/>
  <c r="F453" i="18"/>
  <c r="J462" i="18"/>
  <c r="F462" i="18"/>
  <c r="E32" i="53"/>
  <c r="F207" i="18"/>
  <c r="J207" i="18"/>
  <c r="J196" i="41"/>
  <c r="J204" i="41"/>
  <c r="F454" i="18"/>
  <c r="J454" i="18"/>
  <c r="J255" i="41"/>
  <c r="F251" i="18"/>
  <c r="J251" i="18"/>
  <c r="H364" i="18"/>
  <c r="I364" i="18"/>
  <c r="J150" i="41"/>
  <c r="H112" i="18"/>
  <c r="I112" i="18"/>
  <c r="I185" i="37"/>
  <c r="I169" i="37"/>
  <c r="I183" i="37"/>
  <c r="I170" i="37"/>
  <c r="I168" i="37"/>
  <c r="I184" i="37"/>
  <c r="I391" i="37"/>
  <c r="I390" i="37"/>
  <c r="I392" i="37"/>
  <c r="H402" i="18"/>
  <c r="I402" i="18"/>
  <c r="I363" i="58"/>
  <c r="I361" i="58"/>
  <c r="I364" i="58"/>
  <c r="I362" i="58"/>
  <c r="J284" i="41"/>
  <c r="J247" i="18"/>
  <c r="F247" i="18"/>
  <c r="J147" i="41"/>
  <c r="H151" i="18"/>
  <c r="I151" i="18"/>
  <c r="I381" i="37"/>
  <c r="I383" i="37"/>
  <c r="I382" i="37"/>
  <c r="I315" i="37"/>
  <c r="I317" i="37"/>
  <c r="I316" i="37"/>
  <c r="F166" i="18"/>
  <c r="J166" i="18"/>
  <c r="F198" i="18"/>
  <c r="J198" i="18"/>
  <c r="D77" i="57"/>
  <c r="J195" i="41"/>
  <c r="J205" i="41"/>
  <c r="D75" i="57"/>
  <c r="F160" i="18"/>
  <c r="J160" i="18"/>
  <c r="J256" i="41"/>
  <c r="J185" i="41"/>
  <c r="O7" i="41" s="1"/>
  <c r="C24" i="63"/>
  <c r="J118" i="18"/>
  <c r="F118" i="18"/>
  <c r="F168" i="18"/>
  <c r="J168" i="18"/>
  <c r="J376" i="41"/>
  <c r="J117" i="18"/>
  <c r="F117" i="18"/>
  <c r="I359" i="18"/>
  <c r="H359" i="18"/>
  <c r="I353" i="18"/>
  <c r="H353" i="18"/>
  <c r="I365" i="18"/>
  <c r="H365" i="18"/>
  <c r="I390" i="58"/>
  <c r="I391" i="58"/>
  <c r="I392" i="58"/>
  <c r="J456" i="18"/>
  <c r="F456" i="18"/>
  <c r="J458" i="18"/>
  <c r="F458" i="18"/>
  <c r="I363" i="18"/>
  <c r="H363" i="18"/>
  <c r="I357" i="18"/>
  <c r="H357" i="18"/>
  <c r="I289" i="58"/>
  <c r="I288" i="58"/>
  <c r="I290" i="58"/>
  <c r="J151" i="41"/>
  <c r="J344" i="41"/>
  <c r="I102" i="18"/>
  <c r="H102" i="18"/>
  <c r="I230" i="37"/>
  <c r="I232" i="37"/>
  <c r="I229" i="37"/>
  <c r="I231" i="37"/>
  <c r="I211" i="37"/>
  <c r="I212" i="37"/>
  <c r="I210" i="37"/>
  <c r="I397" i="18"/>
  <c r="H397" i="18"/>
  <c r="I395" i="18"/>
  <c r="H395" i="18"/>
  <c r="I244" i="58"/>
  <c r="I243" i="58"/>
  <c r="I241" i="58"/>
  <c r="I242" i="58"/>
  <c r="J283" i="41"/>
  <c r="G122" i="66"/>
  <c r="D28" i="57"/>
  <c r="J145" i="41"/>
  <c r="H154" i="18"/>
  <c r="I154" i="18"/>
  <c r="I299" i="37"/>
  <c r="I298" i="37"/>
  <c r="I297" i="37"/>
  <c r="J203" i="18"/>
  <c r="F203" i="18"/>
  <c r="F496" i="18"/>
  <c r="J496" i="18"/>
  <c r="J320" i="41"/>
  <c r="F156" i="18"/>
  <c r="J156" i="18"/>
  <c r="J211" i="18"/>
  <c r="F211" i="18"/>
  <c r="F245" i="18"/>
  <c r="J245" i="18"/>
  <c r="J173" i="41"/>
  <c r="J257" i="41"/>
  <c r="F125" i="18"/>
  <c r="J125" i="18"/>
  <c r="J291" i="41"/>
  <c r="J377" i="41"/>
  <c r="F159" i="18"/>
  <c r="J159" i="18"/>
  <c r="I358" i="18"/>
  <c r="H358" i="18"/>
  <c r="I352" i="18"/>
  <c r="H352" i="18"/>
  <c r="I212" i="58"/>
  <c r="I211" i="58"/>
  <c r="I210" i="58"/>
  <c r="J149" i="41"/>
  <c r="I106" i="18"/>
  <c r="H106" i="18"/>
  <c r="I270" i="37"/>
  <c r="I271" i="37"/>
  <c r="I271" i="41" s="1"/>
  <c r="I272" i="37"/>
  <c r="H400" i="18"/>
  <c r="I400" i="18"/>
  <c r="I261" i="58"/>
  <c r="I262" i="58"/>
  <c r="I263" i="58"/>
  <c r="I316" i="58"/>
  <c r="I317" i="58"/>
  <c r="I315" i="58"/>
  <c r="G111" i="66"/>
  <c r="G111" i="74" s="1"/>
  <c r="J270" i="41"/>
  <c r="D36" i="57"/>
  <c r="J282" i="41"/>
  <c r="J463" i="18"/>
  <c r="F463" i="18"/>
  <c r="F114" i="18"/>
  <c r="J114" i="18"/>
  <c r="E26" i="53"/>
  <c r="G116" i="66"/>
  <c r="G116" i="74" s="1"/>
  <c r="J146" i="41"/>
  <c r="I150" i="18"/>
  <c r="H150" i="18"/>
  <c r="I221" i="37"/>
  <c r="I219" i="37"/>
  <c r="I220" i="37"/>
  <c r="F158" i="18"/>
  <c r="J158" i="18"/>
  <c r="J192" i="41"/>
  <c r="D33" i="57"/>
  <c r="G121" i="66"/>
  <c r="G121" i="74" s="1"/>
  <c r="D67" i="57"/>
  <c r="J171" i="41"/>
  <c r="J119" i="18"/>
  <c r="F119" i="18"/>
  <c r="J292" i="41"/>
  <c r="F127" i="18"/>
  <c r="J127" i="18"/>
  <c r="J493" i="58"/>
  <c r="J375" i="41"/>
  <c r="J368" i="41"/>
  <c r="G101" i="66"/>
  <c r="G101" i="74" s="1"/>
  <c r="AC101" i="74" s="1"/>
  <c r="D29" i="57"/>
  <c r="J229" i="41"/>
  <c r="I306" i="58"/>
  <c r="I307" i="58"/>
  <c r="I308" i="58"/>
  <c r="J152" i="41"/>
  <c r="C26" i="63"/>
  <c r="H103" i="18"/>
  <c r="I103" i="18"/>
  <c r="I352" i="37"/>
  <c r="I350" i="37"/>
  <c r="I351" i="37"/>
  <c r="I349" i="37"/>
  <c r="H396" i="18"/>
  <c r="I396" i="18"/>
  <c r="I299" i="58"/>
  <c r="I298" i="58"/>
  <c r="I297" i="58"/>
  <c r="I220" i="58"/>
  <c r="I219" i="58"/>
  <c r="I221" i="58"/>
  <c r="J252" i="18"/>
  <c r="F252" i="18"/>
  <c r="F169" i="18"/>
  <c r="J169" i="18"/>
  <c r="J355" i="41"/>
  <c r="F122" i="18"/>
  <c r="J122" i="18"/>
  <c r="H148" i="18"/>
  <c r="I148" i="18"/>
  <c r="I280" i="37"/>
  <c r="I281" i="37"/>
  <c r="I279" i="37"/>
  <c r="J248" i="18"/>
  <c r="F248" i="18"/>
  <c r="F497" i="18"/>
  <c r="J497" i="18"/>
  <c r="G266" i="66"/>
  <c r="J172" i="41"/>
  <c r="F504" i="18"/>
  <c r="J504" i="18"/>
  <c r="F206" i="18"/>
  <c r="J206" i="18"/>
  <c r="F500" i="18"/>
  <c r="J500" i="18"/>
  <c r="J293" i="41"/>
  <c r="E397" i="38"/>
  <c r="J234" i="41"/>
  <c r="J366" i="41"/>
  <c r="F209" i="18"/>
  <c r="J209" i="18"/>
  <c r="J455" i="18"/>
  <c r="F455" i="18"/>
  <c r="F126" i="18"/>
  <c r="J126" i="18"/>
  <c r="I362" i="18"/>
  <c r="H362" i="18"/>
  <c r="I168" i="58"/>
  <c r="I185" i="58"/>
  <c r="I170" i="58"/>
  <c r="I183" i="58"/>
  <c r="I169" i="58"/>
  <c r="I184" i="58"/>
  <c r="I328" i="58"/>
  <c r="I326" i="58"/>
  <c r="I325" i="58"/>
  <c r="I327" i="58"/>
  <c r="G110" i="66"/>
  <c r="G110" i="74" s="1"/>
  <c r="O110" i="74" s="1"/>
  <c r="D38" i="57"/>
  <c r="J349" i="41"/>
  <c r="I229" i="58"/>
  <c r="I232" i="58"/>
  <c r="I230" i="58"/>
  <c r="I231" i="58"/>
  <c r="I147" i="58"/>
  <c r="I146" i="58"/>
  <c r="I148" i="58"/>
  <c r="I145" i="58"/>
  <c r="I110" i="18"/>
  <c r="H110" i="18"/>
  <c r="I192" i="37"/>
  <c r="I193" i="37"/>
  <c r="I193" i="41" s="1"/>
  <c r="I194" i="37"/>
  <c r="I194" i="41" s="1"/>
  <c r="I383" i="58"/>
  <c r="I381" i="58"/>
  <c r="I382" i="58"/>
  <c r="I188" i="58"/>
  <c r="I186" i="58"/>
  <c r="I179" i="58"/>
  <c r="I177" i="58"/>
  <c r="I187" i="58"/>
  <c r="I178" i="58"/>
  <c r="J353" i="41"/>
  <c r="J265" i="41"/>
  <c r="H145" i="18"/>
  <c r="I145" i="18"/>
  <c r="I362" i="37"/>
  <c r="I363" i="37"/>
  <c r="I361" i="37"/>
  <c r="I364" i="37"/>
  <c r="I364" i="41" s="1"/>
  <c r="F161" i="18"/>
  <c r="J161" i="18"/>
  <c r="F204" i="18"/>
  <c r="J204" i="18"/>
  <c r="J246" i="18"/>
  <c r="F246" i="18"/>
  <c r="F503" i="18"/>
  <c r="J503" i="18"/>
  <c r="G279" i="66"/>
  <c r="J235" i="41"/>
  <c r="J365" i="41"/>
  <c r="J123" i="18"/>
  <c r="F123" i="18"/>
  <c r="H355" i="18"/>
  <c r="I355" i="18"/>
  <c r="I350" i="58"/>
  <c r="I349" i="58"/>
  <c r="I351" i="58"/>
  <c r="I352" i="58"/>
  <c r="H108" i="18"/>
  <c r="I108" i="18"/>
  <c r="I252" i="37"/>
  <c r="I253" i="37"/>
  <c r="I254" i="37"/>
  <c r="H401" i="18"/>
  <c r="I401" i="18"/>
  <c r="I279" i="58"/>
  <c r="I281" i="58"/>
  <c r="I280" i="58"/>
  <c r="F116" i="18"/>
  <c r="J116" i="18"/>
  <c r="J354" i="41"/>
  <c r="J266" i="41"/>
  <c r="H144" i="18"/>
  <c r="I144" i="18"/>
  <c r="I337" i="37"/>
  <c r="I337" i="41" s="1"/>
  <c r="I340" i="37"/>
  <c r="I339" i="37"/>
  <c r="I339" i="41" s="1"/>
  <c r="I338" i="37"/>
  <c r="I338" i="41" s="1"/>
  <c r="F164" i="18"/>
  <c r="J164" i="18"/>
  <c r="F124" i="18"/>
  <c r="J124" i="18"/>
  <c r="G131" i="66"/>
  <c r="G131" i="74" s="1"/>
  <c r="D40" i="57"/>
  <c r="E28" i="53"/>
  <c r="F28" i="53" s="1"/>
  <c r="J390" i="41"/>
  <c r="J452" i="18"/>
  <c r="F452" i="18"/>
  <c r="J163" i="18"/>
  <c r="F163" i="18"/>
  <c r="J210" i="18"/>
  <c r="F210" i="18"/>
  <c r="J236" i="41"/>
  <c r="J367" i="41"/>
  <c r="G122" i="74" l="1"/>
  <c r="G126" i="74"/>
  <c r="I254" i="41"/>
  <c r="AD101" i="74"/>
  <c r="C4" i="75" s="1"/>
  <c r="C19" i="75"/>
  <c r="I362" i="41"/>
  <c r="G138" i="74"/>
  <c r="G135" i="74"/>
  <c r="O101" i="74"/>
  <c r="G120" i="74"/>
  <c r="AC120" i="74" s="1"/>
  <c r="AD120" i="74" s="1"/>
  <c r="AC110" i="74"/>
  <c r="AD110" i="74" s="1"/>
  <c r="N135" i="66"/>
  <c r="N135" i="74" s="1"/>
  <c r="O130" i="74"/>
  <c r="AC130" i="74"/>
  <c r="N279" i="66"/>
  <c r="O279" i="66" s="1"/>
  <c r="G280" i="66"/>
  <c r="O280" i="66" s="1"/>
  <c r="O111" i="74"/>
  <c r="AC111" i="74"/>
  <c r="O115" i="74"/>
  <c r="AC115" i="74"/>
  <c r="O121" i="74"/>
  <c r="AC121" i="74"/>
  <c r="AB121" i="66"/>
  <c r="AC121" i="66" s="1"/>
  <c r="AB130" i="66"/>
  <c r="AC130" i="66" s="1"/>
  <c r="AB264" i="66"/>
  <c r="AC264" i="66" s="1"/>
  <c r="AB259" i="66"/>
  <c r="AC259" i="66" s="1"/>
  <c r="AB274" i="66"/>
  <c r="AC274" i="66" s="1"/>
  <c r="AB101" i="66"/>
  <c r="AC101" i="66" s="1"/>
  <c r="AB110" i="66"/>
  <c r="AC110" i="66" s="1"/>
  <c r="AB245" i="66"/>
  <c r="AC245" i="66" s="1"/>
  <c r="AB111" i="66"/>
  <c r="AC111" i="66" s="1"/>
  <c r="AB115" i="66"/>
  <c r="AC115" i="66" s="1"/>
  <c r="AB120" i="66"/>
  <c r="AC120" i="66" s="1"/>
  <c r="I400" i="41"/>
  <c r="I361" i="41"/>
  <c r="O115" i="66"/>
  <c r="Z115" i="66" s="1"/>
  <c r="O120" i="66"/>
  <c r="O130" i="66"/>
  <c r="Z274" i="66" s="1"/>
  <c r="O264" i="66"/>
  <c r="O111" i="66"/>
  <c r="AA255" i="66" s="1"/>
  <c r="O121" i="66"/>
  <c r="AA265" i="66" s="1"/>
  <c r="O101" i="66"/>
  <c r="O274" i="66"/>
  <c r="O259" i="66"/>
  <c r="O110" i="66"/>
  <c r="AA110" i="66" s="1"/>
  <c r="O245" i="66"/>
  <c r="I363" i="41"/>
  <c r="I399" i="41"/>
  <c r="E48" i="39"/>
  <c r="E129" i="38" s="1"/>
  <c r="M49" i="39"/>
  <c r="E181" i="38" s="1"/>
  <c r="E49" i="39"/>
  <c r="E130" i="38" s="1"/>
  <c r="I401" i="41"/>
  <c r="I157" i="41"/>
  <c r="I253" i="41"/>
  <c r="I160" i="41"/>
  <c r="C44" i="63"/>
  <c r="E400" i="38"/>
  <c r="J495" i="37" s="1"/>
  <c r="I340" i="41"/>
  <c r="E50" i="39"/>
  <c r="E131" i="38" s="1"/>
  <c r="I374" i="41"/>
  <c r="I272" i="41"/>
  <c r="M51" i="39"/>
  <c r="E183" i="38" s="1"/>
  <c r="J465" i="58" s="1"/>
  <c r="E403" i="38"/>
  <c r="J497" i="58" s="1"/>
  <c r="M48" i="39"/>
  <c r="E180" i="38" s="1"/>
  <c r="I391" i="41"/>
  <c r="I211" i="41"/>
  <c r="I158" i="41"/>
  <c r="I289" i="41"/>
  <c r="I297" i="41"/>
  <c r="I290" i="41"/>
  <c r="I298" i="41"/>
  <c r="I392" i="41"/>
  <c r="I418" i="41"/>
  <c r="I279" i="41"/>
  <c r="G90" i="66"/>
  <c r="N3" i="37"/>
  <c r="D21" i="57"/>
  <c r="I252" i="41"/>
  <c r="G197" i="66"/>
  <c r="D55" i="57"/>
  <c r="I352" i="41"/>
  <c r="I230" i="41"/>
  <c r="J359" i="18"/>
  <c r="F359" i="18"/>
  <c r="I317" i="41"/>
  <c r="I183" i="41"/>
  <c r="J464" i="58"/>
  <c r="K270" i="66"/>
  <c r="AB270" i="66" s="1"/>
  <c r="J399" i="18"/>
  <c r="F399" i="18"/>
  <c r="F356" i="18"/>
  <c r="J356" i="18"/>
  <c r="F142" i="18"/>
  <c r="J142" i="18"/>
  <c r="F152" i="18"/>
  <c r="J152" i="18"/>
  <c r="J111" i="18"/>
  <c r="F111" i="18"/>
  <c r="F108" i="18"/>
  <c r="J108" i="18"/>
  <c r="J103" i="18"/>
  <c r="F103" i="18"/>
  <c r="I315" i="41"/>
  <c r="I169" i="41"/>
  <c r="M47" i="39"/>
  <c r="E51" i="39"/>
  <c r="E132" i="38" s="1"/>
  <c r="J105" i="18"/>
  <c r="F105" i="18"/>
  <c r="H34" i="53"/>
  <c r="G34" i="53" s="1"/>
  <c r="I281" i="41"/>
  <c r="I220" i="41"/>
  <c r="F400" i="18"/>
  <c r="J400" i="18"/>
  <c r="F352" i="18"/>
  <c r="J352" i="18"/>
  <c r="I299" i="41"/>
  <c r="F102" i="18"/>
  <c r="J102" i="18"/>
  <c r="I382" i="41"/>
  <c r="I185" i="41"/>
  <c r="C14" i="63"/>
  <c r="G82" i="66"/>
  <c r="D24" i="57"/>
  <c r="I288" i="41"/>
  <c r="F361" i="18"/>
  <c r="J361" i="18"/>
  <c r="I243" i="41"/>
  <c r="G207" i="66"/>
  <c r="D62" i="57"/>
  <c r="D64" i="57"/>
  <c r="G206" i="66"/>
  <c r="I219" i="41"/>
  <c r="F154" i="18"/>
  <c r="J154" i="18"/>
  <c r="F395" i="18"/>
  <c r="J395" i="18"/>
  <c r="I383" i="41"/>
  <c r="J112" i="18"/>
  <c r="F112" i="18"/>
  <c r="I178" i="41"/>
  <c r="G234" i="66"/>
  <c r="D60" i="57"/>
  <c r="N3" i="58"/>
  <c r="I262" i="41"/>
  <c r="G217" i="66"/>
  <c r="D59" i="57"/>
  <c r="I241" i="41"/>
  <c r="I408" i="41"/>
  <c r="D58" i="57"/>
  <c r="G211" i="66"/>
  <c r="F355" i="18"/>
  <c r="J355" i="18"/>
  <c r="I280" i="41"/>
  <c r="J401" i="18"/>
  <c r="F401" i="18"/>
  <c r="G218" i="66"/>
  <c r="D54" i="57"/>
  <c r="F148" i="18"/>
  <c r="J148" i="18"/>
  <c r="O9" i="41"/>
  <c r="I221" i="41"/>
  <c r="F358" i="18"/>
  <c r="J358" i="18"/>
  <c r="I381" i="41"/>
  <c r="F402" i="18"/>
  <c r="J402" i="18"/>
  <c r="I186" i="41"/>
  <c r="I261" i="41"/>
  <c r="F405" i="18"/>
  <c r="J405" i="18"/>
  <c r="J407" i="18"/>
  <c r="F407" i="18"/>
  <c r="I244" i="41"/>
  <c r="I410" i="41"/>
  <c r="J354" i="18"/>
  <c r="F354" i="18"/>
  <c r="G216" i="66"/>
  <c r="D65" i="57"/>
  <c r="G73" i="66"/>
  <c r="D20" i="57"/>
  <c r="I192" i="41"/>
  <c r="Z110" i="66"/>
  <c r="AA254" i="66"/>
  <c r="F362" i="18"/>
  <c r="J362" i="18"/>
  <c r="F110" i="18"/>
  <c r="J110" i="18"/>
  <c r="I494" i="58"/>
  <c r="I493" i="58"/>
  <c r="G231" i="66"/>
  <c r="D56" i="57"/>
  <c r="E396" i="38"/>
  <c r="C45" i="63"/>
  <c r="J397" i="18"/>
  <c r="F397" i="18"/>
  <c r="F151" i="18"/>
  <c r="J151" i="18"/>
  <c r="I177" i="41"/>
  <c r="I263" i="41"/>
  <c r="J153" i="18"/>
  <c r="F153" i="18"/>
  <c r="F360" i="18"/>
  <c r="J360" i="18"/>
  <c r="I242" i="41"/>
  <c r="I409" i="41"/>
  <c r="F403" i="18"/>
  <c r="J403" i="18"/>
  <c r="J150" i="18"/>
  <c r="F150" i="18"/>
  <c r="G63" i="66"/>
  <c r="D23" i="57"/>
  <c r="I270" i="41"/>
  <c r="G65" i="66"/>
  <c r="D18" i="57"/>
  <c r="I210" i="41"/>
  <c r="D63" i="57"/>
  <c r="G226" i="66"/>
  <c r="G227" i="66"/>
  <c r="E22" i="53"/>
  <c r="F22" i="53" s="1"/>
  <c r="D66" i="57"/>
  <c r="I187" i="41"/>
  <c r="F113" i="18"/>
  <c r="J113" i="18"/>
  <c r="G136" i="66"/>
  <c r="G136" i="74" s="1"/>
  <c r="O136" i="74" s="1"/>
  <c r="J493" i="41"/>
  <c r="G72" i="66"/>
  <c r="G72" i="74" s="1"/>
  <c r="D26" i="57"/>
  <c r="I372" i="41"/>
  <c r="I419" i="41"/>
  <c r="I147" i="41"/>
  <c r="J398" i="18"/>
  <c r="F398" i="18"/>
  <c r="J149" i="18"/>
  <c r="F149" i="18"/>
  <c r="F104" i="18"/>
  <c r="J104" i="18"/>
  <c r="G281" i="66"/>
  <c r="E33" i="53"/>
  <c r="F33" i="53" s="1"/>
  <c r="E20" i="53"/>
  <c r="G212" i="66"/>
  <c r="J144" i="18"/>
  <c r="F144" i="18"/>
  <c r="J396" i="18"/>
  <c r="F396" i="18"/>
  <c r="G222" i="66"/>
  <c r="D61" i="57"/>
  <c r="AA111" i="66"/>
  <c r="Z111" i="66"/>
  <c r="Z255" i="66"/>
  <c r="I212" i="41"/>
  <c r="G83" i="66"/>
  <c r="E16" i="53"/>
  <c r="F16" i="53" s="1"/>
  <c r="D27" i="57"/>
  <c r="I390" i="41"/>
  <c r="J364" i="18"/>
  <c r="F364" i="18"/>
  <c r="I188" i="41"/>
  <c r="F101" i="18"/>
  <c r="J101" i="18"/>
  <c r="G137" i="66"/>
  <c r="J494" i="41"/>
  <c r="E27" i="53"/>
  <c r="F27" i="53" s="1"/>
  <c r="F147" i="18"/>
  <c r="J147" i="18"/>
  <c r="I417" i="41"/>
  <c r="G68" i="66"/>
  <c r="E14" i="53"/>
  <c r="I146" i="41"/>
  <c r="E47" i="39"/>
  <c r="F106" i="18"/>
  <c r="J106" i="18"/>
  <c r="J365" i="18"/>
  <c r="F365" i="18"/>
  <c r="I179" i="41"/>
  <c r="AA130" i="66"/>
  <c r="Z130" i="66"/>
  <c r="AA274" i="66"/>
  <c r="G74" i="66"/>
  <c r="D15" i="57"/>
  <c r="I145" i="41"/>
  <c r="L48" i="39" s="1"/>
  <c r="F155" i="18"/>
  <c r="J155" i="18"/>
  <c r="I326" i="41"/>
  <c r="I203" i="41"/>
  <c r="F404" i="18"/>
  <c r="J404" i="18"/>
  <c r="G62" i="66"/>
  <c r="G62" i="74" s="1"/>
  <c r="I349" i="41"/>
  <c r="D25" i="57"/>
  <c r="I231" i="41"/>
  <c r="F357" i="18"/>
  <c r="J357" i="18"/>
  <c r="I184" i="41"/>
  <c r="F146" i="18"/>
  <c r="J146" i="18"/>
  <c r="J107" i="18"/>
  <c r="F107" i="18"/>
  <c r="H28" i="53"/>
  <c r="G28" i="53" s="1"/>
  <c r="I148" i="41"/>
  <c r="C15" i="63"/>
  <c r="I493" i="37"/>
  <c r="G87" i="66"/>
  <c r="G87" i="74" s="1"/>
  <c r="I494" i="37"/>
  <c r="I325" i="41"/>
  <c r="E393" i="38"/>
  <c r="D17" i="57"/>
  <c r="I202" i="41"/>
  <c r="I307" i="41"/>
  <c r="J145" i="18"/>
  <c r="F145" i="18"/>
  <c r="I351" i="41"/>
  <c r="AA101" i="66"/>
  <c r="J5" i="6"/>
  <c r="G209" i="66"/>
  <c r="D57" i="57"/>
  <c r="G53" i="66"/>
  <c r="G53" i="74" s="1"/>
  <c r="AC53" i="74" s="1"/>
  <c r="AD53" i="74" s="1"/>
  <c r="I229" i="41"/>
  <c r="D16" i="57"/>
  <c r="F353" i="18"/>
  <c r="J353" i="18"/>
  <c r="G67" i="66"/>
  <c r="D19" i="57"/>
  <c r="I168" i="41"/>
  <c r="F406" i="18"/>
  <c r="J406" i="18"/>
  <c r="J143" i="18"/>
  <c r="F143" i="18"/>
  <c r="J109" i="18"/>
  <c r="F109" i="18"/>
  <c r="I327" i="41"/>
  <c r="I201" i="41"/>
  <c r="G78" i="66"/>
  <c r="G78" i="74" s="1"/>
  <c r="I306" i="41"/>
  <c r="L50" i="39" s="1"/>
  <c r="E165" i="38" s="1"/>
  <c r="D22" i="57"/>
  <c r="I350" i="41"/>
  <c r="I232" i="41"/>
  <c r="F363" i="18"/>
  <c r="J363" i="18"/>
  <c r="I316" i="41"/>
  <c r="I170" i="41"/>
  <c r="I159" i="41"/>
  <c r="O8" i="41"/>
  <c r="J100" i="18"/>
  <c r="F100" i="18"/>
  <c r="I328" i="41"/>
  <c r="J394" i="18"/>
  <c r="F394" i="18"/>
  <c r="I308" i="41"/>
  <c r="G63" i="74" l="1"/>
  <c r="AC63" i="74" s="1"/>
  <c r="AD63" i="74" s="1"/>
  <c r="O135" i="66"/>
  <c r="G67" i="74"/>
  <c r="AC136" i="74"/>
  <c r="AD136" i="74" s="1"/>
  <c r="AD130" i="74"/>
  <c r="C13" i="75" s="1"/>
  <c r="C28" i="75"/>
  <c r="AD121" i="74"/>
  <c r="C9" i="75" s="1"/>
  <c r="C24" i="75"/>
  <c r="O63" i="74"/>
  <c r="AD115" i="74"/>
  <c r="C7" i="75" s="1"/>
  <c r="C22" i="75"/>
  <c r="AD111" i="74"/>
  <c r="C6" i="75" s="1"/>
  <c r="C21" i="75"/>
  <c r="G83" i="74"/>
  <c r="AB135" i="66"/>
  <c r="AC135" i="66" s="1"/>
  <c r="O120" i="74"/>
  <c r="Z279" i="66"/>
  <c r="AA135" i="66"/>
  <c r="G82" i="74"/>
  <c r="AC82" i="74" s="1"/>
  <c r="AD82" i="74" s="1"/>
  <c r="G90" i="74"/>
  <c r="G73" i="74"/>
  <c r="AA279" i="66"/>
  <c r="AB280" i="66"/>
  <c r="AC280" i="66" s="1"/>
  <c r="G65" i="74"/>
  <c r="O53" i="74"/>
  <c r="AA53" i="74" s="1"/>
  <c r="G137" i="74"/>
  <c r="Z121" i="66"/>
  <c r="AB279" i="66"/>
  <c r="AC279" i="66" s="1"/>
  <c r="Z265" i="66"/>
  <c r="G74" i="74"/>
  <c r="G68" i="74"/>
  <c r="AA63" i="74"/>
  <c r="Z63" i="74"/>
  <c r="N231" i="66"/>
  <c r="AB231" i="66" s="1"/>
  <c r="AC231" i="66" s="1"/>
  <c r="K282" i="66"/>
  <c r="Q282" i="66" s="1"/>
  <c r="N87" i="66"/>
  <c r="N87" i="74" s="1"/>
  <c r="AC87" i="74" s="1"/>
  <c r="AD87" i="74" s="1"/>
  <c r="K113" i="66"/>
  <c r="J457" i="58"/>
  <c r="G232" i="66"/>
  <c r="AB232" i="66" s="1"/>
  <c r="AC232" i="66" s="1"/>
  <c r="K126" i="66"/>
  <c r="K126" i="74" s="1"/>
  <c r="AA136" i="74"/>
  <c r="AC62" i="74"/>
  <c r="AD62" i="74" s="1"/>
  <c r="O62" i="74"/>
  <c r="AC72" i="74"/>
  <c r="AD72" i="74" s="1"/>
  <c r="O72" i="74"/>
  <c r="O67" i="74"/>
  <c r="AC67" i="74"/>
  <c r="AD67" i="74" s="1"/>
  <c r="AA121" i="66"/>
  <c r="Z259" i="66"/>
  <c r="Z135" i="66"/>
  <c r="Z254" i="66"/>
  <c r="Z245" i="66"/>
  <c r="G23" i="39"/>
  <c r="AB136" i="66"/>
  <c r="AC136" i="66" s="1"/>
  <c r="AB216" i="66"/>
  <c r="AC216" i="66" s="1"/>
  <c r="AB206" i="66"/>
  <c r="AC206" i="66" s="1"/>
  <c r="J464" i="37"/>
  <c r="J464" i="41" s="1"/>
  <c r="AB63" i="66"/>
  <c r="AC63" i="66" s="1"/>
  <c r="Z120" i="66"/>
  <c r="AB53" i="66"/>
  <c r="AC53" i="66" s="1"/>
  <c r="AB62" i="66"/>
  <c r="AC62" i="66" s="1"/>
  <c r="AB211" i="66"/>
  <c r="AC211" i="66" s="1"/>
  <c r="AB207" i="66"/>
  <c r="AC207" i="66" s="1"/>
  <c r="AA245" i="66"/>
  <c r="Z101" i="66"/>
  <c r="AB197" i="66"/>
  <c r="AC197" i="66" s="1"/>
  <c r="AB226" i="66"/>
  <c r="AC226" i="66" s="1"/>
  <c r="AB217" i="66"/>
  <c r="AC217" i="66" s="1"/>
  <c r="AB67" i="66"/>
  <c r="AC67" i="66" s="1"/>
  <c r="AC270" i="66"/>
  <c r="AB72" i="66"/>
  <c r="AC72" i="66" s="1"/>
  <c r="AB73" i="66"/>
  <c r="AC73" i="66" s="1"/>
  <c r="AB82" i="66"/>
  <c r="AC82" i="66" s="1"/>
  <c r="J495" i="58"/>
  <c r="J495" i="41" s="1"/>
  <c r="F17" i="8"/>
  <c r="AA115" i="66"/>
  <c r="AA259" i="66"/>
  <c r="O53" i="66"/>
  <c r="O63" i="66"/>
  <c r="O197" i="66"/>
  <c r="O206" i="66"/>
  <c r="O82" i="66"/>
  <c r="O226" i="66"/>
  <c r="Z264" i="66"/>
  <c r="O211" i="66"/>
  <c r="O207" i="66"/>
  <c r="O67" i="66"/>
  <c r="AA264" i="66"/>
  <c r="O72" i="66"/>
  <c r="AA120" i="66"/>
  <c r="O73" i="66"/>
  <c r="O62" i="66"/>
  <c r="O136" i="66"/>
  <c r="AA280" i="66" s="1"/>
  <c r="O216" i="66"/>
  <c r="O217" i="66"/>
  <c r="K257" i="66"/>
  <c r="J496" i="58"/>
  <c r="G277" i="66" s="1"/>
  <c r="J457" i="37"/>
  <c r="L49" i="39"/>
  <c r="E164" i="38" s="1"/>
  <c r="I457" i="58" s="1"/>
  <c r="J497" i="37"/>
  <c r="G132" i="66" s="1"/>
  <c r="J496" i="37"/>
  <c r="D50" i="39"/>
  <c r="E114" i="38" s="1"/>
  <c r="D51" i="39"/>
  <c r="E115" i="38" s="1"/>
  <c r="D49" i="39"/>
  <c r="E113" i="38" s="1"/>
  <c r="L47" i="39"/>
  <c r="E162" i="38" s="1"/>
  <c r="E402" i="38"/>
  <c r="I496" i="58" s="1"/>
  <c r="O231" i="66"/>
  <c r="L51" i="39"/>
  <c r="E166" i="38" s="1"/>
  <c r="E163" i="38"/>
  <c r="E328" i="38"/>
  <c r="E334" i="38"/>
  <c r="I464" i="58"/>
  <c r="K222" i="66"/>
  <c r="G89" i="66"/>
  <c r="E15" i="53"/>
  <c r="F15" i="53" s="1"/>
  <c r="I494" i="41"/>
  <c r="D47" i="39"/>
  <c r="E399" i="38"/>
  <c r="J465" i="37"/>
  <c r="J465" i="41" s="1"/>
  <c r="K138" i="66"/>
  <c r="N8" i="41"/>
  <c r="H27" i="53"/>
  <c r="G27" i="53" s="1"/>
  <c r="E179" i="38"/>
  <c r="I5" i="6"/>
  <c r="AA197" i="66"/>
  <c r="E346" i="38"/>
  <c r="E340" i="38"/>
  <c r="K266" i="66"/>
  <c r="J456" i="58"/>
  <c r="D48" i="39"/>
  <c r="H22" i="53"/>
  <c r="G22" i="53" s="1"/>
  <c r="Z136" i="66"/>
  <c r="X126" i="66"/>
  <c r="Q126" i="66"/>
  <c r="T126" i="66"/>
  <c r="E409" i="38"/>
  <c r="G133" i="66"/>
  <c r="Z62" i="66"/>
  <c r="AA62" i="66"/>
  <c r="H33" i="53"/>
  <c r="G33" i="53" s="1"/>
  <c r="Z217" i="66"/>
  <c r="O126" i="66"/>
  <c r="G233" i="66"/>
  <c r="E21" i="53"/>
  <c r="F21" i="53" s="1"/>
  <c r="C31" i="63"/>
  <c r="E128" i="38"/>
  <c r="O87" i="66"/>
  <c r="N7" i="41"/>
  <c r="N9" i="41"/>
  <c r="K122" i="66"/>
  <c r="K122" i="74" s="1"/>
  <c r="X122" i="74" s="1"/>
  <c r="J456" i="37"/>
  <c r="G88" i="66"/>
  <c r="G88" i="74" s="1"/>
  <c r="O88" i="74" s="1"/>
  <c r="I493" i="41"/>
  <c r="H16" i="53"/>
  <c r="G16" i="53" s="1"/>
  <c r="X270" i="66"/>
  <c r="T270" i="66"/>
  <c r="Q270" i="66"/>
  <c r="O270" i="66"/>
  <c r="G276" i="66"/>
  <c r="E414" i="38"/>
  <c r="T282" i="66" l="1"/>
  <c r="K138" i="74"/>
  <c r="Q138" i="74" s="1"/>
  <c r="X282" i="66"/>
  <c r="Z73" i="66"/>
  <c r="AB282" i="66"/>
  <c r="AC282" i="66" s="1"/>
  <c r="O282" i="66"/>
  <c r="K113" i="74"/>
  <c r="AC113" i="74" s="1"/>
  <c r="AD113" i="74" s="1"/>
  <c r="J457" i="41"/>
  <c r="Z206" i="66"/>
  <c r="E408" i="38"/>
  <c r="J497" i="41"/>
  <c r="O232" i="66"/>
  <c r="O82" i="74"/>
  <c r="Z53" i="74"/>
  <c r="O87" i="74"/>
  <c r="J496" i="41"/>
  <c r="G89" i="74"/>
  <c r="AC88" i="74"/>
  <c r="AD88" i="74" s="1"/>
  <c r="AB87" i="66"/>
  <c r="AC87" i="66" s="1"/>
  <c r="G132" i="74"/>
  <c r="G22" i="39"/>
  <c r="AB126" i="66"/>
  <c r="AC126" i="66" s="1"/>
  <c r="O122" i="74"/>
  <c r="P122" i="74" s="1"/>
  <c r="T122" i="74"/>
  <c r="AC122" i="74"/>
  <c r="G133" i="74"/>
  <c r="T113" i="66"/>
  <c r="AA216" i="66"/>
  <c r="Q122" i="74"/>
  <c r="Q113" i="66"/>
  <c r="C61" i="63"/>
  <c r="X113" i="66"/>
  <c r="AB113" i="66"/>
  <c r="AC113" i="66" s="1"/>
  <c r="AC138" i="74"/>
  <c r="AA217" i="66"/>
  <c r="O73" i="74"/>
  <c r="AC73" i="74"/>
  <c r="AD73" i="74" s="1"/>
  <c r="E415" i="38"/>
  <c r="O113" i="66"/>
  <c r="I465" i="37"/>
  <c r="Z67" i="74"/>
  <c r="AA67" i="74"/>
  <c r="X113" i="74"/>
  <c r="Q113" i="74"/>
  <c r="T113" i="74"/>
  <c r="O113" i="74"/>
  <c r="P113" i="74" s="1"/>
  <c r="I464" i="37"/>
  <c r="I464" i="41" s="1"/>
  <c r="AA53" i="66"/>
  <c r="K209" i="66"/>
  <c r="AB209" i="66" s="1"/>
  <c r="Z136" i="74"/>
  <c r="Z67" i="66"/>
  <c r="Z82" i="74"/>
  <c r="AA82" i="74"/>
  <c r="AA72" i="74"/>
  <c r="Z72" i="74"/>
  <c r="X126" i="74"/>
  <c r="Q126" i="74"/>
  <c r="T126" i="74"/>
  <c r="N275" i="66"/>
  <c r="I465" i="58"/>
  <c r="Z88" i="74"/>
  <c r="Z62" i="74"/>
  <c r="AA62" i="74"/>
  <c r="AA88" i="74"/>
  <c r="AA87" i="74"/>
  <c r="I457" i="37"/>
  <c r="I457" i="41" s="1"/>
  <c r="AA206" i="66"/>
  <c r="AA73" i="66"/>
  <c r="Z63" i="66"/>
  <c r="AA67" i="66"/>
  <c r="AA226" i="66"/>
  <c r="AA72" i="66"/>
  <c r="Z211" i="66"/>
  <c r="AA82" i="66"/>
  <c r="Z226" i="66"/>
  <c r="Z82" i="66"/>
  <c r="AC209" i="66"/>
  <c r="AB122" i="66"/>
  <c r="AC122" i="66" s="1"/>
  <c r="Z216" i="66"/>
  <c r="AB266" i="66"/>
  <c r="AC266" i="66" s="1"/>
  <c r="K78" i="66"/>
  <c r="K78" i="74" s="1"/>
  <c r="AB138" i="66"/>
  <c r="AC138" i="66" s="1"/>
  <c r="AB88" i="66"/>
  <c r="AC88" i="66" s="1"/>
  <c r="AB222" i="66"/>
  <c r="AC222" i="66" s="1"/>
  <c r="AB257" i="66"/>
  <c r="AC257" i="66" s="1"/>
  <c r="Z53" i="66"/>
  <c r="AA211" i="66"/>
  <c r="O257" i="66"/>
  <c r="X257" i="66"/>
  <c r="Z197" i="66"/>
  <c r="O88" i="66"/>
  <c r="Z88" i="66" s="1"/>
  <c r="Z280" i="66"/>
  <c r="AA136" i="66"/>
  <c r="AA63" i="66"/>
  <c r="T257" i="66"/>
  <c r="Z72" i="66"/>
  <c r="AA207" i="66"/>
  <c r="Q257" i="66"/>
  <c r="Z207" i="66"/>
  <c r="K90" i="66"/>
  <c r="K65" i="66"/>
  <c r="K65" i="74" s="1"/>
  <c r="P270" i="66"/>
  <c r="V270" i="66" s="1"/>
  <c r="I495" i="58"/>
  <c r="C51" i="63" s="1"/>
  <c r="I497" i="58"/>
  <c r="E412" i="38" s="1"/>
  <c r="J456" i="41"/>
  <c r="K234" i="66"/>
  <c r="E304" i="38"/>
  <c r="E310" i="38"/>
  <c r="E345" i="38"/>
  <c r="E339" i="38"/>
  <c r="J487" i="37"/>
  <c r="M133" i="66"/>
  <c r="E112" i="38"/>
  <c r="D32" i="53"/>
  <c r="F32" i="53" s="1"/>
  <c r="K260" i="66"/>
  <c r="J455" i="58"/>
  <c r="I496" i="37"/>
  <c r="I497" i="37"/>
  <c r="I495" i="37"/>
  <c r="Q122" i="66"/>
  <c r="X122" i="66"/>
  <c r="T122" i="66"/>
  <c r="O122" i="66"/>
  <c r="G21" i="39"/>
  <c r="M277" i="66"/>
  <c r="J487" i="58"/>
  <c r="H15" i="53"/>
  <c r="G15" i="53" s="1"/>
  <c r="X222" i="66"/>
  <c r="T222" i="66"/>
  <c r="Q222" i="66"/>
  <c r="X266" i="66"/>
  <c r="T266" i="66"/>
  <c r="Q266" i="66"/>
  <c r="O266" i="66"/>
  <c r="E111" i="38"/>
  <c r="D18" i="8"/>
  <c r="N131" i="66"/>
  <c r="N131" i="74" s="1"/>
  <c r="M132" i="66"/>
  <c r="J488" i="37"/>
  <c r="O222" i="66"/>
  <c r="J483" i="37"/>
  <c r="M131" i="66"/>
  <c r="M131" i="74" s="1"/>
  <c r="Q131" i="74" s="1"/>
  <c r="E333" i="38"/>
  <c r="E327" i="38"/>
  <c r="H21" i="53"/>
  <c r="G21" i="53" s="1"/>
  <c r="E413" i="38"/>
  <c r="G229" i="66"/>
  <c r="E316" i="38"/>
  <c r="E322" i="38"/>
  <c r="J488" i="58"/>
  <c r="M276" i="66"/>
  <c r="O276" i="66" s="1"/>
  <c r="T209" i="66"/>
  <c r="X209" i="66"/>
  <c r="Q209" i="66"/>
  <c r="K116" i="66"/>
  <c r="D26" i="53"/>
  <c r="F26" i="53" s="1"/>
  <c r="J455" i="37"/>
  <c r="T138" i="66"/>
  <c r="X138" i="66"/>
  <c r="Q138" i="66"/>
  <c r="O138" i="66"/>
  <c r="P282" i="66" s="1"/>
  <c r="G24" i="39"/>
  <c r="M275" i="66"/>
  <c r="J483" i="58"/>
  <c r="Z231" i="66"/>
  <c r="AA231" i="66"/>
  <c r="AA87" i="66"/>
  <c r="Z87" i="66"/>
  <c r="O209" i="66"/>
  <c r="W270" i="66"/>
  <c r="Y270" i="66" s="1"/>
  <c r="K218" i="66"/>
  <c r="I456" i="58"/>
  <c r="Z270" i="66"/>
  <c r="AA270" i="66"/>
  <c r="Z126" i="66"/>
  <c r="AA126" i="66"/>
  <c r="P126" i="66"/>
  <c r="I455" i="58"/>
  <c r="K212" i="66"/>
  <c r="D20" i="53"/>
  <c r="F20" i="53" s="1"/>
  <c r="Z232" i="66" l="1"/>
  <c r="O138" i="74"/>
  <c r="P138" i="74" s="1"/>
  <c r="X138" i="74"/>
  <c r="K116" i="74"/>
  <c r="X116" i="74" s="1"/>
  <c r="T138" i="74"/>
  <c r="I465" i="41"/>
  <c r="X78" i="66"/>
  <c r="T78" i="66"/>
  <c r="F23" i="39"/>
  <c r="G228" i="66"/>
  <c r="AA122" i="74"/>
  <c r="Z122" i="74"/>
  <c r="AD122" i="74"/>
  <c r="Q78" i="66"/>
  <c r="AD138" i="74"/>
  <c r="C14" i="75" s="1"/>
  <c r="C29" i="75"/>
  <c r="O132" i="66"/>
  <c r="M132" i="74"/>
  <c r="Q132" i="74" s="1"/>
  <c r="X65" i="66"/>
  <c r="O131" i="74"/>
  <c r="P131" i="74" s="1"/>
  <c r="Z73" i="74"/>
  <c r="AA73" i="74"/>
  <c r="AC131" i="74"/>
  <c r="AD131" i="74" s="1"/>
  <c r="O133" i="66"/>
  <c r="M133" i="74"/>
  <c r="X90" i="66"/>
  <c r="K90" i="74"/>
  <c r="T90" i="74" s="1"/>
  <c r="P257" i="66"/>
  <c r="V257" i="66" s="1"/>
  <c r="Z87" i="74"/>
  <c r="Q65" i="74"/>
  <c r="X65" i="74"/>
  <c r="T65" i="74"/>
  <c r="O65" i="74"/>
  <c r="P65" i="74" s="1"/>
  <c r="AC65" i="74"/>
  <c r="AD65" i="74" s="1"/>
  <c r="V122" i="74"/>
  <c r="W122" i="74"/>
  <c r="Y122" i="74" s="1"/>
  <c r="R122" i="74"/>
  <c r="S122" i="74" s="1"/>
  <c r="U122" i="74" s="1"/>
  <c r="Z121" i="74"/>
  <c r="AA121" i="74"/>
  <c r="AC119" i="74"/>
  <c r="AD119" i="74" s="1"/>
  <c r="O119" i="74"/>
  <c r="P119" i="74" s="1"/>
  <c r="X78" i="74"/>
  <c r="Q78" i="74"/>
  <c r="T78" i="74"/>
  <c r="O78" i="74"/>
  <c r="P78" i="74" s="1"/>
  <c r="AC78" i="74"/>
  <c r="AD78" i="74" s="1"/>
  <c r="AA115" i="74"/>
  <c r="AA120" i="74"/>
  <c r="Z120" i="74"/>
  <c r="AA101" i="74"/>
  <c r="Z101" i="74"/>
  <c r="AC90" i="74"/>
  <c r="AD90" i="74" s="1"/>
  <c r="AA110" i="74"/>
  <c r="Z110" i="74"/>
  <c r="Z115" i="74"/>
  <c r="AA113" i="74"/>
  <c r="Z113" i="74"/>
  <c r="N227" i="66"/>
  <c r="N281" i="66"/>
  <c r="AA138" i="74"/>
  <c r="Z138" i="74"/>
  <c r="AA111" i="74"/>
  <c r="Z111" i="74"/>
  <c r="O135" i="74"/>
  <c r="AC135" i="74"/>
  <c r="AD135" i="74" s="1"/>
  <c r="Z130" i="74"/>
  <c r="AA130" i="74"/>
  <c r="O126" i="74"/>
  <c r="P126" i="74" s="1"/>
  <c r="AC126" i="74"/>
  <c r="AD126" i="74" s="1"/>
  <c r="T90" i="66"/>
  <c r="AA113" i="66"/>
  <c r="Z257" i="66"/>
  <c r="AA257" i="66"/>
  <c r="Z113" i="66"/>
  <c r="P113" i="66"/>
  <c r="W113" i="66" s="1"/>
  <c r="Y113" i="66" s="1"/>
  <c r="R270" i="66"/>
  <c r="S270" i="66" s="1"/>
  <c r="U270" i="66" s="1"/>
  <c r="AA232" i="66"/>
  <c r="AA88" i="66"/>
  <c r="AB131" i="66"/>
  <c r="AC131" i="66" s="1"/>
  <c r="AB275" i="66"/>
  <c r="AC275" i="66" s="1"/>
  <c r="AB132" i="66"/>
  <c r="AC132" i="66" s="1"/>
  <c r="AB133" i="66"/>
  <c r="AC133" i="66" s="1"/>
  <c r="AB218" i="66"/>
  <c r="AC218" i="66" s="1"/>
  <c r="AB65" i="66"/>
  <c r="AC65" i="66" s="1"/>
  <c r="AB277" i="66"/>
  <c r="AC277" i="66" s="1"/>
  <c r="AB90" i="66"/>
  <c r="AC90" i="66" s="1"/>
  <c r="O78" i="66"/>
  <c r="P222" i="66" s="1"/>
  <c r="AB78" i="66"/>
  <c r="AC78" i="66" s="1"/>
  <c r="AB234" i="66"/>
  <c r="AC234" i="66" s="1"/>
  <c r="AB276" i="66"/>
  <c r="AC276" i="66" s="1"/>
  <c r="F22" i="39"/>
  <c r="O90" i="66"/>
  <c r="Q234" i="66"/>
  <c r="Q90" i="66"/>
  <c r="T65" i="66"/>
  <c r="X234" i="66"/>
  <c r="Q65" i="66"/>
  <c r="T234" i="66"/>
  <c r="O65" i="66"/>
  <c r="P209" i="66" s="1"/>
  <c r="O234" i="66"/>
  <c r="F24" i="39"/>
  <c r="Z276" i="66"/>
  <c r="AA132" i="66"/>
  <c r="Z132" i="66"/>
  <c r="AA276" i="66"/>
  <c r="P132" i="66"/>
  <c r="E303" i="38"/>
  <c r="E309" i="38"/>
  <c r="E321" i="38"/>
  <c r="E315" i="38"/>
  <c r="J455" i="41"/>
  <c r="T116" i="66"/>
  <c r="X116" i="66"/>
  <c r="X212" i="66"/>
  <c r="T212" i="66"/>
  <c r="K74" i="66"/>
  <c r="K74" i="74" s="1"/>
  <c r="T74" i="74" s="1"/>
  <c r="I456" i="37"/>
  <c r="I456" i="41" s="1"/>
  <c r="X218" i="66"/>
  <c r="Q218" i="66"/>
  <c r="T218" i="66"/>
  <c r="O218" i="66"/>
  <c r="Q133" i="66"/>
  <c r="I488" i="58"/>
  <c r="M228" i="66"/>
  <c r="AB228" i="66" s="1"/>
  <c r="AA65" i="66"/>
  <c r="J487" i="41"/>
  <c r="R126" i="66"/>
  <c r="S126" i="66" s="1"/>
  <c r="U126" i="66" s="1"/>
  <c r="V126" i="66"/>
  <c r="W126" i="66"/>
  <c r="Y126" i="66" s="1"/>
  <c r="J482" i="37"/>
  <c r="M137" i="66"/>
  <c r="C21" i="63"/>
  <c r="I495" i="41"/>
  <c r="J482" i="58"/>
  <c r="M281" i="66"/>
  <c r="P276" i="66"/>
  <c r="AA209" i="66"/>
  <c r="D17" i="8"/>
  <c r="N137" i="66"/>
  <c r="N137" i="74" s="1"/>
  <c r="D14" i="53"/>
  <c r="F14" i="53" s="1"/>
  <c r="I455" i="37"/>
  <c r="K68" i="66"/>
  <c r="K68" i="74" s="1"/>
  <c r="X68" i="74" s="1"/>
  <c r="G84" i="66"/>
  <c r="G84" i="74" s="1"/>
  <c r="E406" i="38"/>
  <c r="I497" i="41"/>
  <c r="Q276" i="66"/>
  <c r="P266" i="66"/>
  <c r="G85" i="66"/>
  <c r="G85" i="74" s="1"/>
  <c r="I496" i="41"/>
  <c r="E407" i="38"/>
  <c r="I487" i="58"/>
  <c r="M229" i="66"/>
  <c r="R282" i="66"/>
  <c r="S282" i="66" s="1"/>
  <c r="U282" i="66" s="1"/>
  <c r="V282" i="66"/>
  <c r="W282" i="66"/>
  <c r="Y282" i="66" s="1"/>
  <c r="Q131" i="66"/>
  <c r="O131" i="66"/>
  <c r="H32" i="53"/>
  <c r="G32" i="53" s="1"/>
  <c r="J483" i="41"/>
  <c r="Q277" i="66"/>
  <c r="X260" i="66"/>
  <c r="T260" i="66"/>
  <c r="M227" i="66"/>
  <c r="I483" i="58"/>
  <c r="Q275" i="66"/>
  <c r="O275" i="66"/>
  <c r="J488" i="41"/>
  <c r="P122" i="66"/>
  <c r="Z266" i="66"/>
  <c r="AA266" i="66"/>
  <c r="Z122" i="66"/>
  <c r="AA122" i="66"/>
  <c r="H26" i="53"/>
  <c r="G26" i="53" s="1"/>
  <c r="Q132" i="66"/>
  <c r="N83" i="66"/>
  <c r="N83" i="74" s="1"/>
  <c r="C18" i="8"/>
  <c r="H14" i="53"/>
  <c r="P138" i="66"/>
  <c r="Z282" i="66"/>
  <c r="AA282" i="66"/>
  <c r="Z138" i="66"/>
  <c r="AA138" i="66"/>
  <c r="O277" i="66"/>
  <c r="P277" i="66" s="1"/>
  <c r="M83" i="66"/>
  <c r="I483" i="37"/>
  <c r="M83" i="74" l="1"/>
  <c r="O83" i="74" s="1"/>
  <c r="P83" i="74" s="1"/>
  <c r="T116" i="74"/>
  <c r="M137" i="74"/>
  <c r="O137" i="74" s="1"/>
  <c r="P137" i="74" s="1"/>
  <c r="C25" i="75"/>
  <c r="C10" i="75"/>
  <c r="P78" i="66"/>
  <c r="AA222" i="66"/>
  <c r="AA78" i="66"/>
  <c r="Z78" i="66"/>
  <c r="Z222" i="66"/>
  <c r="V113" i="66"/>
  <c r="R113" i="66"/>
  <c r="S113" i="66" s="1"/>
  <c r="U113" i="66" s="1"/>
  <c r="AC132" i="74"/>
  <c r="AD132" i="74" s="1"/>
  <c r="X90" i="74"/>
  <c r="Q74" i="74"/>
  <c r="Q90" i="74"/>
  <c r="Q83" i="74"/>
  <c r="AC137" i="74"/>
  <c r="X74" i="74"/>
  <c r="Q133" i="74"/>
  <c r="AC133" i="74"/>
  <c r="AD133" i="74" s="1"/>
  <c r="O90" i="74"/>
  <c r="P90" i="74" s="1"/>
  <c r="O132" i="74"/>
  <c r="P132" i="74" s="1"/>
  <c r="T68" i="74"/>
  <c r="P65" i="66"/>
  <c r="W65" i="66" s="1"/>
  <c r="Y65" i="66" s="1"/>
  <c r="W257" i="66"/>
  <c r="Y257" i="66" s="1"/>
  <c r="R257" i="66"/>
  <c r="S257" i="66" s="1"/>
  <c r="U257" i="66" s="1"/>
  <c r="AC74" i="74"/>
  <c r="AD74" i="74" s="1"/>
  <c r="AC83" i="74"/>
  <c r="AD83" i="74" s="1"/>
  <c r="O74" i="74"/>
  <c r="P74" i="74" s="1"/>
  <c r="O133" i="74"/>
  <c r="Z131" i="74"/>
  <c r="Z137" i="74"/>
  <c r="AA90" i="74"/>
  <c r="Z78" i="74"/>
  <c r="AA78" i="74"/>
  <c r="AA83" i="74"/>
  <c r="Z83" i="74"/>
  <c r="V113" i="74"/>
  <c r="R113" i="74"/>
  <c r="S113" i="74" s="1"/>
  <c r="U113" i="74" s="1"/>
  <c r="W113" i="74"/>
  <c r="Y113" i="74" s="1"/>
  <c r="AA135" i="74"/>
  <c r="Z135" i="74"/>
  <c r="V138" i="74"/>
  <c r="W138" i="74"/>
  <c r="Y138" i="74" s="1"/>
  <c r="R138" i="74"/>
  <c r="S138" i="74" s="1"/>
  <c r="U138" i="74" s="1"/>
  <c r="AA119" i="74"/>
  <c r="Z119" i="74"/>
  <c r="Z65" i="74"/>
  <c r="AA65" i="74"/>
  <c r="O71" i="74"/>
  <c r="P71" i="74" s="1"/>
  <c r="AC71" i="74"/>
  <c r="AD71" i="74" s="1"/>
  <c r="Z74" i="74"/>
  <c r="AA126" i="74"/>
  <c r="Z126" i="74"/>
  <c r="AA131" i="74"/>
  <c r="N233" i="66"/>
  <c r="O228" i="66"/>
  <c r="W222" i="66"/>
  <c r="Y222" i="66" s="1"/>
  <c r="V222" i="66"/>
  <c r="R222" i="66"/>
  <c r="S222" i="66" s="1"/>
  <c r="U222" i="66" s="1"/>
  <c r="AB137" i="66"/>
  <c r="AC137" i="66" s="1"/>
  <c r="AB229" i="66"/>
  <c r="AC229" i="66" s="1"/>
  <c r="AB227" i="66"/>
  <c r="AC227" i="66" s="1"/>
  <c r="AB83" i="66"/>
  <c r="AC83" i="66" s="1"/>
  <c r="AB74" i="66"/>
  <c r="AC74" i="66" s="1"/>
  <c r="AB281" i="66"/>
  <c r="AC281" i="66" s="1"/>
  <c r="AC228" i="66"/>
  <c r="Z209" i="66"/>
  <c r="Z65" i="66"/>
  <c r="I483" i="41"/>
  <c r="W209" i="66"/>
  <c r="Y209" i="66" s="1"/>
  <c r="R209" i="66"/>
  <c r="S209" i="66" s="1"/>
  <c r="U209" i="66" s="1"/>
  <c r="V209" i="66"/>
  <c r="AA277" i="66"/>
  <c r="P90" i="66"/>
  <c r="AA234" i="66"/>
  <c r="Z234" i="66"/>
  <c r="P234" i="66"/>
  <c r="AA90" i="66"/>
  <c r="Z90" i="66"/>
  <c r="J482" i="41"/>
  <c r="E326" i="38"/>
  <c r="E332" i="38"/>
  <c r="Q229" i="66"/>
  <c r="Z133" i="66"/>
  <c r="E344" i="38"/>
  <c r="E338" i="38"/>
  <c r="Q137" i="66"/>
  <c r="O137" i="66"/>
  <c r="P133" i="66"/>
  <c r="Q83" i="66"/>
  <c r="O83" i="66"/>
  <c r="AA133" i="66"/>
  <c r="I482" i="58"/>
  <c r="M233" i="66"/>
  <c r="V122" i="66"/>
  <c r="W122" i="66"/>
  <c r="Y122" i="66" s="1"/>
  <c r="R122" i="66"/>
  <c r="S122" i="66" s="1"/>
  <c r="U122" i="66" s="1"/>
  <c r="Q227" i="66"/>
  <c r="O227" i="66"/>
  <c r="W138" i="66"/>
  <c r="Y138" i="66" s="1"/>
  <c r="R138" i="66"/>
  <c r="S138" i="66" s="1"/>
  <c r="U138" i="66" s="1"/>
  <c r="V138" i="66"/>
  <c r="Z277" i="66"/>
  <c r="W78" i="66"/>
  <c r="Y78" i="66" s="1"/>
  <c r="V78" i="66"/>
  <c r="R78" i="66"/>
  <c r="S78" i="66" s="1"/>
  <c r="U78" i="66" s="1"/>
  <c r="M84" i="66"/>
  <c r="M84" i="74" s="1"/>
  <c r="O84" i="74" s="1"/>
  <c r="P84" i="74" s="1"/>
  <c r="I488" i="37"/>
  <c r="I488" i="41" s="1"/>
  <c r="R276" i="66"/>
  <c r="S276" i="66" s="1"/>
  <c r="U276" i="66" s="1"/>
  <c r="W276" i="66"/>
  <c r="Y276" i="66" s="1"/>
  <c r="V276" i="66"/>
  <c r="Q228" i="66"/>
  <c r="C17" i="8"/>
  <c r="N89" i="66"/>
  <c r="N89" i="74" s="1"/>
  <c r="I482" i="37"/>
  <c r="M89" i="66"/>
  <c r="X68" i="66"/>
  <c r="T68" i="66"/>
  <c r="R132" i="66"/>
  <c r="S132" i="66" s="1"/>
  <c r="U132" i="66" s="1"/>
  <c r="W132" i="66"/>
  <c r="Y132" i="66" s="1"/>
  <c r="V132" i="66"/>
  <c r="P131" i="66"/>
  <c r="Z275" i="66"/>
  <c r="AA275" i="66"/>
  <c r="Z131" i="66"/>
  <c r="AA131" i="66"/>
  <c r="P275" i="66"/>
  <c r="I455" i="41"/>
  <c r="Q281" i="66"/>
  <c r="O281" i="66"/>
  <c r="G14" i="53"/>
  <c r="H20" i="53"/>
  <c r="G20" i="53" s="1"/>
  <c r="X74" i="66"/>
  <c r="Q74" i="66"/>
  <c r="T74" i="66"/>
  <c r="O74" i="66"/>
  <c r="P218" i="66" s="1"/>
  <c r="F21" i="39"/>
  <c r="V266" i="66"/>
  <c r="R266" i="66"/>
  <c r="S266" i="66" s="1"/>
  <c r="U266" i="66" s="1"/>
  <c r="W266" i="66"/>
  <c r="Y266" i="66" s="1"/>
  <c r="R277" i="66"/>
  <c r="S277" i="66" s="1"/>
  <c r="U277" i="66" s="1"/>
  <c r="W277" i="66"/>
  <c r="Y277" i="66" s="1"/>
  <c r="V277" i="66"/>
  <c r="O229" i="66"/>
  <c r="I487" i="37"/>
  <c r="I487" i="41" s="1"/>
  <c r="M85" i="66"/>
  <c r="M85" i="74" s="1"/>
  <c r="O85" i="74" s="1"/>
  <c r="M89" i="74" l="1"/>
  <c r="AC89" i="74" s="1"/>
  <c r="AD89" i="74" s="1"/>
  <c r="Z90" i="74"/>
  <c r="AD137" i="74"/>
  <c r="C8" i="75" s="1"/>
  <c r="C23" i="75"/>
  <c r="Q137" i="74"/>
  <c r="AA74" i="74"/>
  <c r="Z132" i="74"/>
  <c r="AA132" i="74"/>
  <c r="P85" i="74"/>
  <c r="V85" i="74" s="1"/>
  <c r="AA85" i="74"/>
  <c r="Z85" i="74"/>
  <c r="R65" i="66"/>
  <c r="S65" i="66" s="1"/>
  <c r="U65" i="66" s="1"/>
  <c r="O89" i="74"/>
  <c r="P89" i="74" s="1"/>
  <c r="Q85" i="74"/>
  <c r="AC85" i="74"/>
  <c r="AD85" i="74" s="1"/>
  <c r="Q84" i="74"/>
  <c r="AC84" i="74"/>
  <c r="AD84" i="74" s="1"/>
  <c r="P133" i="74"/>
  <c r="AA133" i="74"/>
  <c r="Z133" i="74"/>
  <c r="V65" i="66"/>
  <c r="T104" i="74"/>
  <c r="X104" i="74"/>
  <c r="X103" i="74"/>
  <c r="T103" i="74"/>
  <c r="U103" i="74" s="1"/>
  <c r="S104" i="74"/>
  <c r="Q104" i="74"/>
  <c r="W104" i="74" s="1"/>
  <c r="X56" i="74"/>
  <c r="T56" i="74"/>
  <c r="T55" i="74"/>
  <c r="U55" i="74" s="1"/>
  <c r="X55" i="74"/>
  <c r="AA137" i="74"/>
  <c r="V90" i="74"/>
  <c r="R90" i="74"/>
  <c r="S90" i="74" s="1"/>
  <c r="U90" i="74" s="1"/>
  <c r="W90" i="74"/>
  <c r="Y90" i="74" s="1"/>
  <c r="V83" i="74"/>
  <c r="R83" i="74"/>
  <c r="S83" i="74" s="1"/>
  <c r="U83" i="74" s="1"/>
  <c r="W83" i="74"/>
  <c r="Y83" i="74" s="1"/>
  <c r="V137" i="74"/>
  <c r="W137" i="74"/>
  <c r="Y137" i="74" s="1"/>
  <c r="R137" i="74"/>
  <c r="S137" i="74" s="1"/>
  <c r="U137" i="74" s="1"/>
  <c r="AA71" i="74"/>
  <c r="Z71" i="74"/>
  <c r="V131" i="74"/>
  <c r="W131" i="74"/>
  <c r="Y131" i="74" s="1"/>
  <c r="R131" i="74"/>
  <c r="S131" i="74" s="1"/>
  <c r="U131" i="74" s="1"/>
  <c r="V65" i="74"/>
  <c r="W65" i="74"/>
  <c r="Y65" i="74" s="1"/>
  <c r="R65" i="74"/>
  <c r="S65" i="74" s="1"/>
  <c r="U65" i="74" s="1"/>
  <c r="N260" i="66"/>
  <c r="V74" i="74"/>
  <c r="R74" i="74"/>
  <c r="S74" i="74" s="1"/>
  <c r="U74" i="74" s="1"/>
  <c r="W74" i="74"/>
  <c r="Y74" i="74" s="1"/>
  <c r="V78" i="74"/>
  <c r="R78" i="74"/>
  <c r="S78" i="74" s="1"/>
  <c r="U78" i="74" s="1"/>
  <c r="W78" i="74"/>
  <c r="Y78" i="74" s="1"/>
  <c r="V132" i="74"/>
  <c r="W132" i="74"/>
  <c r="Y132" i="74" s="1"/>
  <c r="R132" i="74"/>
  <c r="S132" i="74" s="1"/>
  <c r="U132" i="74" s="1"/>
  <c r="Z84" i="74"/>
  <c r="AA84" i="74"/>
  <c r="V119" i="74"/>
  <c r="R119" i="74"/>
  <c r="S119" i="74" s="1"/>
  <c r="U119" i="74" s="1"/>
  <c r="W119" i="74"/>
  <c r="Y119" i="74" s="1"/>
  <c r="V126" i="74"/>
  <c r="W126" i="74"/>
  <c r="Y126" i="74" s="1"/>
  <c r="R126" i="74"/>
  <c r="S126" i="74" s="1"/>
  <c r="U126" i="74" s="1"/>
  <c r="AB89" i="66"/>
  <c r="AC89" i="66" s="1"/>
  <c r="AB233" i="66"/>
  <c r="AC233" i="66" s="1"/>
  <c r="AB84" i="66"/>
  <c r="AC84" i="66" s="1"/>
  <c r="AB85" i="66"/>
  <c r="AC85" i="66" s="1"/>
  <c r="P281" i="66"/>
  <c r="W281" i="66" s="1"/>
  <c r="Y281" i="66" s="1"/>
  <c r="R234" i="66"/>
  <c r="S234" i="66" s="1"/>
  <c r="U234" i="66" s="1"/>
  <c r="W234" i="66"/>
  <c r="Y234" i="66" s="1"/>
  <c r="V234" i="66"/>
  <c r="R90" i="66"/>
  <c r="S90" i="66" s="1"/>
  <c r="U90" i="66" s="1"/>
  <c r="W90" i="66"/>
  <c r="Y90" i="66" s="1"/>
  <c r="V90" i="66"/>
  <c r="R131" i="66"/>
  <c r="S131" i="66" s="1"/>
  <c r="U131" i="66" s="1"/>
  <c r="W131" i="66"/>
  <c r="Y131" i="66" s="1"/>
  <c r="V131" i="66"/>
  <c r="Q84" i="66"/>
  <c r="V133" i="66"/>
  <c r="W133" i="66"/>
  <c r="Y133" i="66" s="1"/>
  <c r="R133" i="66"/>
  <c r="S133" i="66" s="1"/>
  <c r="U133" i="66" s="1"/>
  <c r="W218" i="66"/>
  <c r="Y218" i="66" s="1"/>
  <c r="R218" i="66"/>
  <c r="S218" i="66" s="1"/>
  <c r="U218" i="66" s="1"/>
  <c r="V218" i="66"/>
  <c r="Q89" i="66"/>
  <c r="O89" i="66"/>
  <c r="AA281" i="66"/>
  <c r="Z137" i="66"/>
  <c r="P137" i="66"/>
  <c r="AA137" i="66"/>
  <c r="Z281" i="66"/>
  <c r="I482" i="41"/>
  <c r="Q85" i="66"/>
  <c r="AA218" i="66"/>
  <c r="P74" i="66"/>
  <c r="AA74" i="66"/>
  <c r="Z218" i="66"/>
  <c r="Z74" i="66"/>
  <c r="O84" i="66"/>
  <c r="J481" i="58"/>
  <c r="M260" i="66"/>
  <c r="Q233" i="66"/>
  <c r="O233" i="66"/>
  <c r="O85" i="66"/>
  <c r="E314" i="38"/>
  <c r="E320" i="38"/>
  <c r="E302" i="38"/>
  <c r="E308" i="38"/>
  <c r="P83" i="66"/>
  <c r="AA83" i="66"/>
  <c r="Z83" i="66"/>
  <c r="AA227" i="66"/>
  <c r="Z227" i="66"/>
  <c r="R275" i="66"/>
  <c r="S275" i="66" s="1"/>
  <c r="U275" i="66" s="1"/>
  <c r="V275" i="66"/>
  <c r="W275" i="66"/>
  <c r="Y275" i="66" s="1"/>
  <c r="D16" i="8"/>
  <c r="N116" i="66"/>
  <c r="P227" i="66"/>
  <c r="M116" i="66"/>
  <c r="M116" i="74" s="1"/>
  <c r="Q116" i="74" s="1"/>
  <c r="J481" i="37"/>
  <c r="Q89" i="74" l="1"/>
  <c r="W89" i="74" s="1"/>
  <c r="Y89" i="74" s="1"/>
  <c r="W85" i="74"/>
  <c r="Y85" i="74" s="1"/>
  <c r="R85" i="74"/>
  <c r="S85" i="74" s="1"/>
  <c r="U85" i="74" s="1"/>
  <c r="AA89" i="74"/>
  <c r="V133" i="74"/>
  <c r="W133" i="74"/>
  <c r="Y133" i="74" s="1"/>
  <c r="R133" i="74"/>
  <c r="S133" i="74" s="1"/>
  <c r="U133" i="74" s="1"/>
  <c r="G20" i="39"/>
  <c r="N116" i="74"/>
  <c r="AC116" i="74" s="1"/>
  <c r="AD116" i="74" s="1"/>
  <c r="U104" i="74"/>
  <c r="Y104" i="74"/>
  <c r="S56" i="74"/>
  <c r="U56" i="74" s="1"/>
  <c r="Q56" i="74"/>
  <c r="W56" i="74" s="1"/>
  <c r="Y56" i="74" s="1"/>
  <c r="Z89" i="74"/>
  <c r="V84" i="74"/>
  <c r="W84" i="74"/>
  <c r="Y84" i="74" s="1"/>
  <c r="R84" i="74"/>
  <c r="S84" i="74" s="1"/>
  <c r="U84" i="74" s="1"/>
  <c r="N212" i="66"/>
  <c r="V71" i="74"/>
  <c r="R71" i="74"/>
  <c r="S71" i="74" s="1"/>
  <c r="U71" i="74" s="1"/>
  <c r="W71" i="74"/>
  <c r="Y71" i="74" s="1"/>
  <c r="V89" i="74"/>
  <c r="R89" i="74"/>
  <c r="S89" i="74" s="1"/>
  <c r="U89" i="74" s="1"/>
  <c r="AB116" i="66"/>
  <c r="AC116" i="66" s="1"/>
  <c r="AB260" i="66"/>
  <c r="AC260" i="66" s="1"/>
  <c r="R281" i="66"/>
  <c r="S281" i="66" s="1"/>
  <c r="U281" i="66" s="1"/>
  <c r="P233" i="66"/>
  <c r="R233" i="66" s="1"/>
  <c r="S233" i="66" s="1"/>
  <c r="U233" i="66" s="1"/>
  <c r="J481" i="41"/>
  <c r="V281" i="66"/>
  <c r="R83" i="66"/>
  <c r="S83" i="66" s="1"/>
  <c r="U83" i="66" s="1"/>
  <c r="W83" i="66"/>
  <c r="Y83" i="66" s="1"/>
  <c r="V83" i="66"/>
  <c r="R227" i="66"/>
  <c r="S227" i="66" s="1"/>
  <c r="U227" i="66" s="1"/>
  <c r="W227" i="66"/>
  <c r="Y227" i="66" s="1"/>
  <c r="V227" i="66"/>
  <c r="C16" i="8"/>
  <c r="N68" i="66"/>
  <c r="Q260" i="66"/>
  <c r="O260" i="66"/>
  <c r="P89" i="66"/>
  <c r="Z233" i="66"/>
  <c r="AA233" i="66"/>
  <c r="Z89" i="66"/>
  <c r="AA89" i="66"/>
  <c r="Q116" i="66"/>
  <c r="O116" i="66"/>
  <c r="I481" i="37"/>
  <c r="M68" i="66"/>
  <c r="M68" i="74" s="1"/>
  <c r="Q68" i="74" s="1"/>
  <c r="I481" i="58"/>
  <c r="M212" i="66"/>
  <c r="Z228" i="66"/>
  <c r="P84" i="66"/>
  <c r="AA84" i="66"/>
  <c r="AA228" i="66"/>
  <c r="Z84" i="66"/>
  <c r="P228" i="66"/>
  <c r="P85" i="66"/>
  <c r="Z85" i="66"/>
  <c r="Z229" i="66"/>
  <c r="AA229" i="66"/>
  <c r="AA85" i="66"/>
  <c r="P229" i="66"/>
  <c r="V74" i="66"/>
  <c r="R74" i="66"/>
  <c r="S74" i="66" s="1"/>
  <c r="U74" i="66" s="1"/>
  <c r="W74" i="66"/>
  <c r="Y74" i="66" s="1"/>
  <c r="R137" i="66"/>
  <c r="S137" i="66" s="1"/>
  <c r="U137" i="66" s="1"/>
  <c r="W137" i="66"/>
  <c r="Y137" i="66" s="1"/>
  <c r="V137" i="66"/>
  <c r="O116" i="74" l="1"/>
  <c r="F20" i="39"/>
  <c r="N68" i="74"/>
  <c r="O68" i="74" s="1"/>
  <c r="AA116" i="74"/>
  <c r="AB212" i="66"/>
  <c r="AC212" i="66" s="1"/>
  <c r="AB68" i="66"/>
  <c r="AC68" i="66" s="1"/>
  <c r="V233" i="66"/>
  <c r="W233" i="66"/>
  <c r="Y233" i="66" s="1"/>
  <c r="P260" i="66"/>
  <c r="R260" i="66" s="1"/>
  <c r="S260" i="66" s="1"/>
  <c r="U260" i="66" s="1"/>
  <c r="I481" i="41"/>
  <c r="Z260" i="66"/>
  <c r="AA116" i="66"/>
  <c r="P116" i="66"/>
  <c r="AA260" i="66"/>
  <c r="Z116" i="66"/>
  <c r="V84" i="66"/>
  <c r="R84" i="66"/>
  <c r="S84" i="66" s="1"/>
  <c r="U84" i="66" s="1"/>
  <c r="W84" i="66"/>
  <c r="Y84" i="66" s="1"/>
  <c r="W85" i="66"/>
  <c r="Y85" i="66" s="1"/>
  <c r="V85" i="66"/>
  <c r="R85" i="66"/>
  <c r="S85" i="66" s="1"/>
  <c r="U85" i="66" s="1"/>
  <c r="O212" i="66"/>
  <c r="Q212" i="66"/>
  <c r="R89" i="66"/>
  <c r="S89" i="66" s="1"/>
  <c r="U89" i="66" s="1"/>
  <c r="V89" i="66"/>
  <c r="W89" i="66"/>
  <c r="Y89" i="66" s="1"/>
  <c r="O68" i="66"/>
  <c r="Q68" i="66"/>
  <c r="V229" i="66"/>
  <c r="R229" i="66"/>
  <c r="S229" i="66" s="1"/>
  <c r="U229" i="66" s="1"/>
  <c r="W229" i="66"/>
  <c r="Y229" i="66" s="1"/>
  <c r="V228" i="66"/>
  <c r="W228" i="66"/>
  <c r="Y228" i="66" s="1"/>
  <c r="R228" i="66"/>
  <c r="S228" i="66" s="1"/>
  <c r="U228" i="66" s="1"/>
  <c r="P68" i="74" l="1"/>
  <c r="V68" i="74" s="1"/>
  <c r="Z68" i="74"/>
  <c r="AA68" i="74"/>
  <c r="P116" i="74"/>
  <c r="Z116" i="74"/>
  <c r="AC68" i="74"/>
  <c r="AD68" i="74" s="1"/>
  <c r="W260" i="66"/>
  <c r="Y260" i="66" s="1"/>
  <c r="V260" i="66"/>
  <c r="P212" i="66"/>
  <c r="W212" i="66" s="1"/>
  <c r="Y212" i="66" s="1"/>
  <c r="AA68" i="66"/>
  <c r="P68" i="66"/>
  <c r="Z68" i="66"/>
  <c r="AA212" i="66"/>
  <c r="Z212" i="66"/>
  <c r="W116" i="66"/>
  <c r="Y116" i="66" s="1"/>
  <c r="V116" i="66"/>
  <c r="R116" i="66"/>
  <c r="S116" i="66" s="1"/>
  <c r="U116" i="66" s="1"/>
  <c r="W68" i="74" l="1"/>
  <c r="Y68" i="74" s="1"/>
  <c r="R68" i="74"/>
  <c r="S68" i="74" s="1"/>
  <c r="U68" i="74" s="1"/>
  <c r="R116" i="74"/>
  <c r="S116" i="74" s="1"/>
  <c r="U116" i="74" s="1"/>
  <c r="V116" i="74"/>
  <c r="W116" i="74"/>
  <c r="Y116" i="74" s="1"/>
  <c r="V212" i="66"/>
  <c r="R212" i="66"/>
  <c r="S212" i="66" s="1"/>
  <c r="U212" i="66" s="1"/>
  <c r="R68" i="66"/>
  <c r="S68" i="66" s="1"/>
  <c r="U68" i="66" s="1"/>
  <c r="W68" i="66"/>
  <c r="Y68" i="66" s="1"/>
  <c r="V68" i="66"/>
  <c r="G34" i="72" l="1"/>
  <c r="G3" i="72"/>
  <c r="G158" i="72"/>
  <c r="G127" i="72"/>
  <c r="G96" i="72"/>
  <c r="G65" i="72"/>
  <c r="I4" i="58"/>
  <c r="I4" i="37"/>
  <c r="G189" i="72"/>
  <c r="G220" i="72"/>
  <c r="J4" i="37"/>
  <c r="J4" i="58"/>
  <c r="G251" i="72"/>
  <c r="G282" i="72"/>
  <c r="O4" i="58" l="1"/>
  <c r="G246" i="66"/>
  <c r="E37" i="53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9" i="53"/>
  <c r="I4" i="41"/>
  <c r="D45" i="39" s="1"/>
  <c r="G54" i="66"/>
  <c r="G198" i="66"/>
  <c r="E25" i="53"/>
  <c r="L45" i="39"/>
  <c r="N4" i="58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31" i="53"/>
  <c r="G102" i="66"/>
  <c r="J4" i="41"/>
  <c r="E45" i="39" s="1"/>
  <c r="H4" i="58"/>
  <c r="H4" i="37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6" i="66" l="1"/>
  <c r="E7" i="53"/>
  <c r="H4" i="41"/>
  <c r="K45" i="39" s="1"/>
  <c r="C45" i="39"/>
  <c r="E158" i="38"/>
  <c r="L59" i="39"/>
  <c r="L60" i="39" s="1"/>
  <c r="L56" i="39"/>
  <c r="E124" i="38"/>
  <c r="E59" i="39"/>
  <c r="E60" i="39" s="1"/>
  <c r="E56" i="39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102" i="74"/>
  <c r="G54" i="74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107" i="38"/>
  <c r="D59" i="39"/>
  <c r="D60" i="39" s="1"/>
  <c r="D56" i="39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M45" i="39"/>
  <c r="M4" i="58"/>
  <c r="G150" i="66"/>
  <c r="E13" i="53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283" i="72" l="1"/>
  <c r="F283" i="72" s="1"/>
  <c r="E66" i="72"/>
  <c r="F66" i="72" s="1"/>
  <c r="E97" i="72"/>
  <c r="F97" i="72" s="1"/>
  <c r="E221" i="72"/>
  <c r="F221" i="72" s="1"/>
  <c r="E190" i="72"/>
  <c r="F190" i="72" s="1"/>
  <c r="E4" i="72"/>
  <c r="F4" i="72" s="1"/>
  <c r="E58" i="39"/>
  <c r="E57" i="39"/>
  <c r="E128" i="72"/>
  <c r="F128" i="72" s="1"/>
  <c r="J466" i="37"/>
  <c r="K102" i="66"/>
  <c r="J474" i="37"/>
  <c r="D31" i="53"/>
  <c r="F31" i="53" s="1"/>
  <c r="H37" i="53" s="1"/>
  <c r="D58" i="39"/>
  <c r="D57" i="39"/>
  <c r="L58" i="39"/>
  <c r="L57" i="39"/>
  <c r="E175" i="38"/>
  <c r="M56" i="39"/>
  <c r="M59" i="39"/>
  <c r="M60" i="39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67" i="72"/>
  <c r="F67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159" i="72"/>
  <c r="F159" i="72" s="1"/>
  <c r="E35" i="72"/>
  <c r="F35" i="72" s="1"/>
  <c r="K54" i="66"/>
  <c r="I466" i="37"/>
  <c r="I474" i="37"/>
  <c r="D19" i="53"/>
  <c r="F19" i="53" s="1"/>
  <c r="H25" i="53" s="1"/>
  <c r="I466" i="58"/>
  <c r="D25" i="53"/>
  <c r="F25" i="53" s="1"/>
  <c r="I474" i="58"/>
  <c r="K198" i="66"/>
  <c r="E90" i="38"/>
  <c r="C56" i="39"/>
  <c r="C59" i="39"/>
  <c r="C60" i="39" s="1"/>
  <c r="K59" i="39"/>
  <c r="K60" i="39" s="1"/>
  <c r="K56" i="39"/>
  <c r="E141" i="38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252" i="72"/>
  <c r="F252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G6" i="74"/>
  <c r="E191" i="72" l="1"/>
  <c r="F191" i="72" s="1"/>
  <c r="E284" i="72"/>
  <c r="F284" i="72" s="1"/>
  <c r="D13" i="53"/>
  <c r="F13" i="53" s="1"/>
  <c r="H7" i="53" s="1"/>
  <c r="H466" i="58"/>
  <c r="K150" i="66"/>
  <c r="H474" i="58"/>
  <c r="D37" i="53"/>
  <c r="F37" i="53" s="1"/>
  <c r="J466" i="58"/>
  <c r="K246" i="66"/>
  <c r="K102" i="74" s="1"/>
  <c r="J474" i="58"/>
  <c r="K58" i="39"/>
  <c r="K57" i="39"/>
  <c r="E98" i="72"/>
  <c r="F98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60" i="72"/>
  <c r="F160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22" i="72"/>
  <c r="F222" i="72" s="1"/>
  <c r="D7" i="53"/>
  <c r="F7" i="53" s="1"/>
  <c r="H474" i="37"/>
  <c r="H466" i="37"/>
  <c r="K6" i="66"/>
  <c r="G25" i="53"/>
  <c r="H19" i="53"/>
  <c r="G19" i="53" s="1"/>
  <c r="G104" i="66"/>
  <c r="J479" i="37"/>
  <c r="G200" i="66"/>
  <c r="I479" i="58"/>
  <c r="X102" i="66"/>
  <c r="T102" i="66"/>
  <c r="G103" i="66"/>
  <c r="J489" i="37"/>
  <c r="J466" i="41"/>
  <c r="G199" i="66"/>
  <c r="I489" i="58"/>
  <c r="I479" i="37"/>
  <c r="G56" i="66"/>
  <c r="I474" i="4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C58" i="39"/>
  <c r="C57" i="39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68" i="72"/>
  <c r="F68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M58" i="39"/>
  <c r="M57" i="39"/>
  <c r="G55" i="66"/>
  <c r="I466" i="41"/>
  <c r="I489" i="37"/>
  <c r="K54" i="74"/>
  <c r="X54" i="66"/>
  <c r="T54" i="66"/>
  <c r="X198" i="66"/>
  <c r="T198" i="66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I489" i="41" l="1"/>
  <c r="E253" i="72"/>
  <c r="F253" i="72" s="1"/>
  <c r="E36" i="72"/>
  <c r="F36" i="72" s="1"/>
  <c r="J480" i="37"/>
  <c r="E366" i="38"/>
  <c r="L104" i="66" s="1"/>
  <c r="O104" i="66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M103" i="66"/>
  <c r="O103" i="66" s="1"/>
  <c r="E313" i="38"/>
  <c r="E307" i="38"/>
  <c r="X54" i="74"/>
  <c r="T54" i="74"/>
  <c r="E319" i="38"/>
  <c r="E325" i="38"/>
  <c r="N198" i="66" s="1"/>
  <c r="K6" i="74"/>
  <c r="X6" i="66"/>
  <c r="T6" i="66"/>
  <c r="J474" i="41"/>
  <c r="J479" i="58"/>
  <c r="G248" i="66"/>
  <c r="E129" i="72"/>
  <c r="F129" i="72" s="1"/>
  <c r="G7" i="66"/>
  <c r="H489" i="37"/>
  <c r="H466" i="41"/>
  <c r="T246" i="66"/>
  <c r="X246" i="66"/>
  <c r="M55" i="66"/>
  <c r="G55" i="74"/>
  <c r="O55" i="66"/>
  <c r="G8" i="66"/>
  <c r="H474" i="41"/>
  <c r="H479" i="37"/>
  <c r="G247" i="66"/>
  <c r="J489" i="58"/>
  <c r="J489" i="41" s="1"/>
  <c r="X102" i="74"/>
  <c r="T102" i="74"/>
  <c r="H13" i="53"/>
  <c r="G13" i="53" s="1"/>
  <c r="G7" i="53"/>
  <c r="H31" i="53"/>
  <c r="G31" i="53" s="1"/>
  <c r="G37" i="53"/>
  <c r="G56" i="74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H479" i="58"/>
  <c r="G152" i="66"/>
  <c r="E192" i="72"/>
  <c r="F192" i="72" s="1"/>
  <c r="E360" i="38"/>
  <c r="L56" i="66" s="1"/>
  <c r="L56" i="74" s="1"/>
  <c r="AC56" i="74" s="1"/>
  <c r="AD56" i="74" s="1"/>
  <c r="I479" i="41"/>
  <c r="I480" i="37"/>
  <c r="E285" i="72"/>
  <c r="F285" i="72" s="1"/>
  <c r="T150" i="66"/>
  <c r="X150" i="66"/>
  <c r="E5" i="72"/>
  <c r="F5" i="72" s="1"/>
  <c r="E378" i="38"/>
  <c r="L200" i="66" s="1"/>
  <c r="O200" i="66" s="1"/>
  <c r="I480" i="58"/>
  <c r="E379" i="38" s="1"/>
  <c r="L219" i="66" s="1"/>
  <c r="H489" i="58"/>
  <c r="G151" i="66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M199" i="66"/>
  <c r="Q199" i="66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254" i="72" l="1"/>
  <c r="F254" i="72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AB199" i="66"/>
  <c r="AC199" i="66" s="1"/>
  <c r="H489" i="41"/>
  <c r="AB56" i="66"/>
  <c r="AC56" i="66" s="1"/>
  <c r="O56" i="66"/>
  <c r="O56" i="74"/>
  <c r="H479" i="41"/>
  <c r="E354" i="38"/>
  <c r="L8" i="66" s="1"/>
  <c r="AB8" i="66" s="1"/>
  <c r="AC8" i="66" s="1"/>
  <c r="H480" i="37"/>
  <c r="M151" i="66"/>
  <c r="Q151" i="66" s="1"/>
  <c r="W151" i="66" s="1"/>
  <c r="Y151" i="66" s="1"/>
  <c r="E331" i="38"/>
  <c r="E337" i="38"/>
  <c r="E289" i="38"/>
  <c r="E283" i="38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O199" i="66"/>
  <c r="P199" i="66" s="1"/>
  <c r="C20" i="8"/>
  <c r="N54" i="66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349" i="38"/>
  <c r="N246" i="66" s="1"/>
  <c r="E343" i="38"/>
  <c r="M7" i="66"/>
  <c r="O7" i="66" s="1"/>
  <c r="G7" i="74"/>
  <c r="E99" i="72"/>
  <c r="F99" i="72" s="1"/>
  <c r="G8" i="74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I486" i="58"/>
  <c r="M198" i="66"/>
  <c r="E361" i="38"/>
  <c r="L75" i="66" s="1"/>
  <c r="I480" i="41"/>
  <c r="G104" i="74"/>
  <c r="E295" i="38"/>
  <c r="E301" i="38"/>
  <c r="N150" i="66" s="1"/>
  <c r="J479" i="41"/>
  <c r="E384" i="38"/>
  <c r="L248" i="66" s="1"/>
  <c r="O248" i="66" s="1"/>
  <c r="AA104" i="66" s="1"/>
  <c r="J480" i="58"/>
  <c r="E385" i="38" s="1"/>
  <c r="L267" i="66" s="1"/>
  <c r="E69" i="72"/>
  <c r="F69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AB55" i="66"/>
  <c r="AC55" i="66" s="1"/>
  <c r="Q55" i="66"/>
  <c r="M55" i="74"/>
  <c r="Q55" i="74" s="1"/>
  <c r="M247" i="66"/>
  <c r="Q247" i="66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AB104" i="66"/>
  <c r="AC104" i="66" s="1"/>
  <c r="AB219" i="66"/>
  <c r="AC219" i="66" s="1"/>
  <c r="O219" i="66"/>
  <c r="E367" i="38"/>
  <c r="L123" i="66" s="1"/>
  <c r="G103" i="74"/>
  <c r="Z56" i="66"/>
  <c r="AA200" i="66"/>
  <c r="Z200" i="66"/>
  <c r="AA56" i="66"/>
  <c r="T6" i="74"/>
  <c r="X6" i="74"/>
  <c r="AB103" i="66"/>
  <c r="AC103" i="66" s="1"/>
  <c r="Q103" i="66"/>
  <c r="E372" i="38"/>
  <c r="L152" i="66" s="1"/>
  <c r="O152" i="66" s="1"/>
  <c r="H480" i="58"/>
  <c r="E373" i="38" s="1"/>
  <c r="L171" i="66" s="1"/>
  <c r="AB200" i="66"/>
  <c r="AC200" i="66" s="1"/>
  <c r="E223" i="72"/>
  <c r="F223" i="72" s="1"/>
  <c r="I486" i="37"/>
  <c r="M54" i="66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AB151" i="66" l="1"/>
  <c r="AC151" i="66" s="1"/>
  <c r="I486" i="41"/>
  <c r="E255" i="72"/>
  <c r="F255" i="72" s="1"/>
  <c r="O151" i="66"/>
  <c r="E130" i="72"/>
  <c r="F130" i="72" s="1"/>
  <c r="L104" i="74"/>
  <c r="AC104" i="74" s="1"/>
  <c r="AD104" i="74" s="1"/>
  <c r="O8" i="66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AB248" i="66"/>
  <c r="AC248" i="66" s="1"/>
  <c r="E37" i="72"/>
  <c r="F37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AB171" i="66"/>
  <c r="AC171" i="66" s="1"/>
  <c r="O171" i="66"/>
  <c r="E193" i="72"/>
  <c r="F193" i="72" s="1"/>
  <c r="AB7" i="66"/>
  <c r="AC7" i="66" s="1"/>
  <c r="M7" i="74"/>
  <c r="Q7" i="74" s="1"/>
  <c r="W7" i="74" s="1"/>
  <c r="Y7" i="74" s="1"/>
  <c r="Q7" i="66"/>
  <c r="W7" i="66" s="1"/>
  <c r="Y7" i="66" s="1"/>
  <c r="E6" i="72"/>
  <c r="F6" i="72" s="1"/>
  <c r="M102" i="66"/>
  <c r="J486" i="37"/>
  <c r="AB152" i="66"/>
  <c r="AC152" i="66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Q198" i="66"/>
  <c r="AB198" i="66"/>
  <c r="AC198" i="66" s="1"/>
  <c r="O198" i="66"/>
  <c r="P151" i="66"/>
  <c r="O267" i="66"/>
  <c r="AB267" i="66"/>
  <c r="AC267" i="66" s="1"/>
  <c r="E286" i="72"/>
  <c r="F286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AA199" i="66"/>
  <c r="E355" i="38"/>
  <c r="L27" i="66" s="1"/>
  <c r="H480" i="41"/>
  <c r="J486" i="58"/>
  <c r="M246" i="66"/>
  <c r="M103" i="74"/>
  <c r="Q103" i="74" s="1"/>
  <c r="J480" i="41"/>
  <c r="N54" i="74"/>
  <c r="F18" i="39"/>
  <c r="Z55" i="66"/>
  <c r="L8" i="74"/>
  <c r="AC8" i="74" s="1"/>
  <c r="AD8" i="74" s="1"/>
  <c r="L123" i="74"/>
  <c r="AB123" i="66"/>
  <c r="AC123" i="66" s="1"/>
  <c r="O123" i="66"/>
  <c r="O247" i="66"/>
  <c r="O55" i="74"/>
  <c r="P55" i="66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AB247" i="66"/>
  <c r="AC247" i="66" s="1"/>
  <c r="AC55" i="74"/>
  <c r="AD55" i="74" s="1"/>
  <c r="Z152" i="66"/>
  <c r="AA152" i="66"/>
  <c r="Z8" i="66"/>
  <c r="AA8" i="66"/>
  <c r="V199" i="66"/>
  <c r="R199" i="66"/>
  <c r="W199" i="66"/>
  <c r="Y199" i="66" s="1"/>
  <c r="AA55" i="66"/>
  <c r="AA56" i="74"/>
  <c r="Z56" i="74"/>
  <c r="O75" i="66"/>
  <c r="AB75" i="66"/>
  <c r="AC75" i="66" s="1"/>
  <c r="L75" i="74"/>
  <c r="Z199" i="66"/>
  <c r="Z104" i="66"/>
  <c r="M150" i="66"/>
  <c r="H486" i="58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H486" i="37"/>
  <c r="M6" i="66"/>
  <c r="Z248" i="66"/>
  <c r="M54" i="74"/>
  <c r="O54" i="66"/>
  <c r="AB54" i="66"/>
  <c r="AC54" i="66" s="1"/>
  <c r="Q54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AA7" i="66"/>
  <c r="Z7" i="66"/>
  <c r="Z151" i="66"/>
  <c r="AA151" i="66"/>
  <c r="P7" i="66"/>
  <c r="N6" i="66"/>
  <c r="N6" i="74" s="1"/>
  <c r="B20" i="8"/>
  <c r="AA248" i="66"/>
  <c r="N102" i="66"/>
  <c r="D20" i="8"/>
  <c r="O8" i="74" l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224" i="72"/>
  <c r="F224" i="72" s="1"/>
  <c r="E70" i="72"/>
  <c r="F70" i="72" s="1"/>
  <c r="O104" i="74"/>
  <c r="E131" i="72"/>
  <c r="F131" i="72" s="1"/>
  <c r="E38" i="72"/>
  <c r="F38" i="72" s="1"/>
  <c r="O103" i="74"/>
  <c r="Q54" i="74"/>
  <c r="AC54" i="74"/>
  <c r="AD54" i="74" s="1"/>
  <c r="O54" i="74"/>
  <c r="H486" i="41"/>
  <c r="AC103" i="74"/>
  <c r="AD103" i="74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R7" i="66"/>
  <c r="V7" i="66"/>
  <c r="W55" i="66"/>
  <c r="Y55" i="66" s="1"/>
  <c r="R55" i="66"/>
  <c r="V55" i="66"/>
  <c r="P103" i="74"/>
  <c r="Z103" i="74"/>
  <c r="AA103" i="74"/>
  <c r="R151" i="66"/>
  <c r="V151" i="66"/>
  <c r="AA55" i="74"/>
  <c r="P55" i="74"/>
  <c r="Z55" i="74"/>
  <c r="E163" i="72"/>
  <c r="F163" i="72" s="1"/>
  <c r="P247" i="66"/>
  <c r="AA103" i="66"/>
  <c r="Z247" i="66"/>
  <c r="AA247" i="66"/>
  <c r="Z103" i="66"/>
  <c r="P103" i="66"/>
  <c r="Q246" i="66"/>
  <c r="AB246" i="66"/>
  <c r="AC246" i="66" s="1"/>
  <c r="O246" i="66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O150" i="66"/>
  <c r="AB150" i="66"/>
  <c r="AC150" i="66" s="1"/>
  <c r="S150" i="66"/>
  <c r="U150" i="66" s="1"/>
  <c r="Q150" i="66"/>
  <c r="W150" i="66" s="1"/>
  <c r="Y150" i="66" s="1"/>
  <c r="Z267" i="66"/>
  <c r="Z123" i="66"/>
  <c r="AA267" i="66"/>
  <c r="AA123" i="66"/>
  <c r="P198" i="66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AB27" i="66"/>
  <c r="AC27" i="66" s="1"/>
  <c r="O27" i="66"/>
  <c r="L27" i="74"/>
  <c r="O123" i="74"/>
  <c r="AC123" i="74"/>
  <c r="AD123" i="74" s="1"/>
  <c r="N102" i="74"/>
  <c r="G18" i="39"/>
  <c r="Z8" i="74"/>
  <c r="AA8" i="74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AC7" i="74"/>
  <c r="AD7" i="74" s="1"/>
  <c r="AA54" i="66"/>
  <c r="AA198" i="66"/>
  <c r="P54" i="66"/>
  <c r="Z54" i="66"/>
  <c r="Z198" i="66"/>
  <c r="O75" i="74"/>
  <c r="AC75" i="74"/>
  <c r="AD75" i="74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O7" i="74"/>
  <c r="AA104" i="74"/>
  <c r="Z104" i="74"/>
  <c r="AA75" i="66"/>
  <c r="Z75" i="66"/>
  <c r="Z219" i="66"/>
  <c r="AA219" i="66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J486" i="41"/>
  <c r="E256" i="72"/>
  <c r="F256" i="72" s="1"/>
  <c r="M6" i="74"/>
  <c r="Q6" i="66"/>
  <c r="W6" i="66" s="1"/>
  <c r="Y6" i="66" s="1"/>
  <c r="O6" i="66"/>
  <c r="S6" i="66"/>
  <c r="U6" i="66" s="1"/>
  <c r="AB6" i="66"/>
  <c r="AC6" i="66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M102" i="74"/>
  <c r="Q102" i="66"/>
  <c r="AB102" i="66"/>
  <c r="AC102" i="66" s="1"/>
  <c r="O102" i="66"/>
  <c r="E132" i="72" l="1"/>
  <c r="F132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39" i="72"/>
  <c r="F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V55" i="74"/>
  <c r="W55" i="74"/>
  <c r="Y55" i="74" s="1"/>
  <c r="R55" i="74"/>
  <c r="P6" i="66"/>
  <c r="AA6" i="66"/>
  <c r="Z150" i="66"/>
  <c r="Z6" i="66"/>
  <c r="AA150" i="66"/>
  <c r="E71" i="72"/>
  <c r="F71" i="72" s="1"/>
  <c r="P246" i="66"/>
  <c r="E287" i="72"/>
  <c r="F287" i="72" s="1"/>
  <c r="Z75" i="74"/>
  <c r="AA75" i="74"/>
  <c r="R103" i="74"/>
  <c r="V103" i="74"/>
  <c r="W103" i="74"/>
  <c r="Y103" i="74" s="1"/>
  <c r="E7" i="72"/>
  <c r="F7" i="72" s="1"/>
  <c r="W103" i="66"/>
  <c r="Y103" i="66" s="1"/>
  <c r="V103" i="66"/>
  <c r="R103" i="66"/>
  <c r="P7" i="74"/>
  <c r="AA7" i="74"/>
  <c r="Z7" i="74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V54" i="66"/>
  <c r="R54" i="66"/>
  <c r="S54" i="66" s="1"/>
  <c r="U54" i="66" s="1"/>
  <c r="W54" i="66"/>
  <c r="Y54" i="66" s="1"/>
  <c r="AC27" i="74"/>
  <c r="AD27" i="74" s="1"/>
  <c r="O27" i="74"/>
  <c r="V247" i="66"/>
  <c r="W247" i="66"/>
  <c r="Y247" i="66" s="1"/>
  <c r="R247" i="66"/>
  <c r="V198" i="66"/>
  <c r="W198" i="66"/>
  <c r="Y198" i="66" s="1"/>
  <c r="R198" i="66"/>
  <c r="S198" i="66" s="1"/>
  <c r="U198" i="66" s="1"/>
  <c r="AA246" i="66"/>
  <c r="Z246" i="66"/>
  <c r="P102" i="66"/>
  <c r="AA102" i="66"/>
  <c r="Z102" i="66"/>
  <c r="Q102" i="74"/>
  <c r="AC102" i="74"/>
  <c r="AD102" i="74" s="1"/>
  <c r="O102" i="74"/>
  <c r="AA123" i="74"/>
  <c r="Z123" i="74"/>
  <c r="AA171" i="66"/>
  <c r="AA27" i="66"/>
  <c r="Z27" i="66"/>
  <c r="Z171" i="66"/>
  <c r="P150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101" i="72"/>
  <c r="F101" i="72" s="1"/>
  <c r="AA54" i="74"/>
  <c r="P54" i="74"/>
  <c r="Z54" i="74"/>
  <c r="S6" i="74"/>
  <c r="U6" i="74" s="1"/>
  <c r="Q6" i="74"/>
  <c r="W6" i="74" s="1"/>
  <c r="Y6" i="74" s="1"/>
  <c r="AC6" i="74"/>
  <c r="AD6" i="74" s="1"/>
  <c r="O6" i="74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V54" i="74"/>
  <c r="W54" i="74"/>
  <c r="Y54" i="74" s="1"/>
  <c r="R54" i="74"/>
  <c r="S54" i="74" s="1"/>
  <c r="U54" i="74" s="1"/>
  <c r="P102" i="74"/>
  <c r="AA102" i="74"/>
  <c r="Z102" i="74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Z27" i="74"/>
  <c r="AA27" i="74"/>
  <c r="V6" i="66"/>
  <c r="R6" i="66"/>
  <c r="P6" i="74"/>
  <c r="AA6" i="74"/>
  <c r="Z6" i="74"/>
  <c r="E40" i="72"/>
  <c r="F40" i="72" s="1"/>
  <c r="E133" i="72"/>
  <c r="F133" i="72" s="1"/>
  <c r="R102" i="66"/>
  <c r="S102" i="66" s="1"/>
  <c r="U102" i="66" s="1"/>
  <c r="W102" i="66"/>
  <c r="Y102" i="66" s="1"/>
  <c r="V102" i="66"/>
  <c r="E195" i="72"/>
  <c r="F195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V246" i="66"/>
  <c r="W246" i="66"/>
  <c r="Y246" i="66" s="1"/>
  <c r="R246" i="66"/>
  <c r="S246" i="66" s="1"/>
  <c r="U246" i="66" s="1"/>
  <c r="E226" i="72"/>
  <c r="F226" i="72" s="1"/>
  <c r="V150" i="66"/>
  <c r="R150" i="6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R7" i="74"/>
  <c r="V7" i="74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 l="1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8" i="72"/>
  <c r="F8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258" i="72"/>
  <c r="F258" i="72" s="1"/>
  <c r="E72" i="72"/>
  <c r="F72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65" i="72"/>
  <c r="F165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W102" i="74"/>
  <c r="Y102" i="74" s="1"/>
  <c r="V102" i="74"/>
  <c r="R102" i="74"/>
  <c r="S102" i="74" s="1"/>
  <c r="U102" i="74" s="1"/>
  <c r="E288" i="72"/>
  <c r="F288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R6" i="74"/>
  <c r="V6" i="74"/>
  <c r="G166" i="72" l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E227" i="72"/>
  <c r="F227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96" i="72"/>
  <c r="F196" i="72" s="1"/>
  <c r="E103" i="72"/>
  <c r="F103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34" i="72"/>
  <c r="F134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9" i="72" l="1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289" i="72"/>
  <c r="F289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73" i="72"/>
  <c r="F73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E104" i="72" l="1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42" i="72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60" i="72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97" i="72"/>
  <c r="F197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135" i="72"/>
  <c r="F135" i="72" s="1"/>
  <c r="E290" i="72" l="1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67" i="72"/>
  <c r="F167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1" i="72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229" i="72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43" i="72"/>
  <c r="F43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261" i="72"/>
  <c r="F261" i="72" s="1"/>
  <c r="E74" i="72"/>
  <c r="F74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230" i="72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36" i="72"/>
  <c r="F136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2" i="72"/>
  <c r="F12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91" i="72"/>
  <c r="F291" i="72" s="1"/>
  <c r="E106" i="72"/>
  <c r="F106" i="72" s="1"/>
  <c r="E168" i="72" l="1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44" i="72"/>
  <c r="F44" i="72" s="1"/>
  <c r="E199" i="72"/>
  <c r="F199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31" i="72"/>
  <c r="F231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62" i="72"/>
  <c r="F262" i="72" s="1"/>
  <c r="E75" i="72"/>
  <c r="F75" i="72" s="1"/>
  <c r="E169" i="72" l="1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37" i="72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3" i="72"/>
  <c r="F13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93" i="72" l="1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70" i="72"/>
  <c r="F170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45" i="72"/>
  <c r="F45" i="72" s="1"/>
  <c r="E200" i="72"/>
  <c r="F200" i="72" s="1"/>
  <c r="E263" i="72"/>
  <c r="F263" i="72" s="1"/>
  <c r="E138" i="72"/>
  <c r="F138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32" i="72"/>
  <c r="F232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108" i="72"/>
  <c r="F108" i="72" s="1"/>
  <c r="E14" i="72" l="1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94" i="72"/>
  <c r="F294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77" i="72"/>
  <c r="F77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71" i="72"/>
  <c r="F171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09" i="72" l="1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01" i="72"/>
  <c r="F201" i="72" s="1"/>
  <c r="E46" i="72"/>
  <c r="F46" i="72" s="1"/>
  <c r="E264" i="72"/>
  <c r="F264" i="72" s="1"/>
  <c r="E233" i="72"/>
  <c r="F233" i="72" s="1"/>
  <c r="E139" i="72"/>
  <c r="F139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5" i="72"/>
  <c r="F15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02" i="72" l="1"/>
  <c r="F202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72" i="72"/>
  <c r="F172" i="72" s="1"/>
  <c r="E110" i="72"/>
  <c r="F110" i="72" s="1"/>
  <c r="E295" i="72"/>
  <c r="F295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78" i="72"/>
  <c r="F78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40" i="72"/>
  <c r="F140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6" i="72"/>
  <c r="F16" i="72" s="1"/>
  <c r="E47" i="72"/>
  <c r="F47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11" i="72" l="1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266" i="72"/>
  <c r="F266" i="72" s="1"/>
  <c r="E79" i="72"/>
  <c r="F79" i="72" s="1"/>
  <c r="E296" i="72"/>
  <c r="F296" i="72" s="1"/>
  <c r="E203" i="72"/>
  <c r="F203" i="72" s="1"/>
  <c r="E173" i="72"/>
  <c r="F17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35" i="72"/>
  <c r="F235" i="72" s="1"/>
  <c r="E141" i="72" l="1"/>
  <c r="F141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7" i="72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142" i="72" l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36" i="72"/>
  <c r="F236" i="72" s="1"/>
  <c r="E204" i="72"/>
  <c r="F204" i="72" s="1"/>
  <c r="E174" i="72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113" i="72"/>
  <c r="F113" i="72" s="1"/>
  <c r="E80" i="72"/>
  <c r="F80" i="72" s="1"/>
  <c r="E297" i="72"/>
  <c r="F297" i="72" s="1"/>
  <c r="E49" i="72"/>
  <c r="F49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8" i="72"/>
  <c r="F18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267" i="72"/>
  <c r="F267" i="72" s="1"/>
  <c r="E142" i="72" l="1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05" i="72"/>
  <c r="F205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37" i="72"/>
  <c r="F237" i="72" s="1"/>
  <c r="E175" i="72"/>
  <c r="F175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143" i="72" l="1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9" i="72"/>
  <c r="F19" i="72" s="1"/>
  <c r="E50" i="72"/>
  <c r="F50" i="72" s="1"/>
  <c r="E268" i="72"/>
  <c r="F268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06" i="72" l="1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38" i="72"/>
  <c r="F238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76" i="72"/>
  <c r="F176" i="72" s="1"/>
  <c r="E82" i="72"/>
  <c r="F82" i="72" s="1"/>
  <c r="E115" i="72"/>
  <c r="F115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99" i="72"/>
  <c r="F299" i="72" s="1"/>
  <c r="E144" i="72"/>
  <c r="F144" i="72" s="1"/>
  <c r="E269" i="72" l="1"/>
  <c r="F269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0" i="72"/>
  <c r="F20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51" i="72"/>
  <c r="F51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207" i="72"/>
  <c r="F207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300" i="72"/>
  <c r="F300" i="72" s="1"/>
  <c r="E145" i="72"/>
  <c r="F145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77" i="72"/>
  <c r="F177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116" i="72"/>
  <c r="F116" i="72" s="1"/>
  <c r="E83" i="72"/>
  <c r="F83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52" i="72" l="1"/>
  <c r="F52" i="72" s="1"/>
  <c r="E208" i="72"/>
  <c r="F208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21" i="72"/>
  <c r="F21" i="72" s="1"/>
  <c r="E270" i="72"/>
  <c r="F270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240" i="72"/>
  <c r="F240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209" i="72" l="1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53" i="72"/>
  <c r="F53" i="72" s="1"/>
  <c r="E301" i="72"/>
  <c r="F301" i="72" s="1"/>
  <c r="E84" i="72"/>
  <c r="F84" i="72" s="1"/>
  <c r="E146" i="72"/>
  <c r="F146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17" i="72"/>
  <c r="F117" i="72" s="1"/>
  <c r="E178" i="72"/>
  <c r="F178" i="72" s="1"/>
  <c r="E22" i="72" l="1"/>
  <c r="F22" i="72" s="1"/>
  <c r="G23" i="72" s="1"/>
  <c r="H24" i="72" s="1"/>
  <c r="I25" i="72" s="1"/>
  <c r="J26" i="72" s="1"/>
  <c r="K27" i="72" s="1"/>
  <c r="L28" i="72" s="1"/>
  <c r="M29" i="72" s="1"/>
  <c r="N30" i="72" s="1"/>
  <c r="O31" i="72" s="1"/>
  <c r="P32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271" i="72"/>
  <c r="F271" i="72" s="1"/>
  <c r="G272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118" i="72"/>
  <c r="H119" i="72" s="1"/>
  <c r="I120" i="72" s="1"/>
  <c r="J121" i="72" s="1"/>
  <c r="K122" i="72" s="1"/>
  <c r="L123" i="72" s="1"/>
  <c r="M124" i="72" s="1"/>
  <c r="N125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H273" i="72" l="1"/>
  <c r="I274" i="72" s="1"/>
  <c r="J275" i="72" s="1"/>
  <c r="K276" i="72" s="1"/>
  <c r="L277" i="72" s="1"/>
  <c r="M278" i="72" s="1"/>
  <c r="N279" i="72" s="1"/>
  <c r="O280" i="72" s="1"/>
  <c r="E272" i="72"/>
  <c r="F272" i="72" s="1"/>
  <c r="E118" i="72"/>
  <c r="F118" i="72" s="1"/>
  <c r="E54" i="72"/>
  <c r="F54" i="72" s="1"/>
  <c r="E242" i="72"/>
  <c r="F242" i="72" s="1"/>
  <c r="G243" i="72" s="1"/>
  <c r="H244" i="72" s="1"/>
  <c r="I245" i="72" s="1"/>
  <c r="J246" i="72" s="1"/>
  <c r="K247" i="72" s="1"/>
  <c r="L248" i="72" s="1"/>
  <c r="M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147" i="72"/>
  <c r="F147" i="72" s="1"/>
  <c r="G273" i="72"/>
  <c r="H274" i="72" s="1"/>
  <c r="I275" i="72" s="1"/>
  <c r="J276" i="72" s="1"/>
  <c r="K277" i="72" s="1"/>
  <c r="L278" i="72" s="1"/>
  <c r="M279" i="72" s="1"/>
  <c r="N280" i="72" s="1"/>
  <c r="E179" i="72"/>
  <c r="F179" i="72" s="1"/>
  <c r="E23" i="72"/>
  <c r="F23" i="72" s="1"/>
  <c r="G55" i="72"/>
  <c r="H56" i="72" s="1"/>
  <c r="I57" i="72" s="1"/>
  <c r="J58" i="72" s="1"/>
  <c r="K59" i="72" s="1"/>
  <c r="L60" i="72" s="1"/>
  <c r="M61" i="72" s="1"/>
  <c r="N62" i="72" s="1"/>
  <c r="O63" i="72" s="1"/>
  <c r="E211" i="72"/>
  <c r="F211" i="72" s="1"/>
  <c r="G119" i="72" l="1"/>
  <c r="H120" i="72" s="1"/>
  <c r="I121" i="72" s="1"/>
  <c r="J122" i="72" s="1"/>
  <c r="K123" i="72" s="1"/>
  <c r="L124" i="72" s="1"/>
  <c r="M125" i="72" s="1"/>
  <c r="E243" i="72"/>
  <c r="F243" i="72" s="1"/>
  <c r="E55" i="72"/>
  <c r="F55" i="72" s="1"/>
  <c r="G56" i="72" s="1"/>
  <c r="H57" i="72" s="1"/>
  <c r="I58" i="72" s="1"/>
  <c r="J59" i="72" s="1"/>
  <c r="K60" i="72" s="1"/>
  <c r="L61" i="72" s="1"/>
  <c r="M62" i="72" s="1"/>
  <c r="N63" i="72" s="1"/>
  <c r="G180" i="72"/>
  <c r="H181" i="72" s="1"/>
  <c r="I182" i="72" s="1"/>
  <c r="J183" i="72" s="1"/>
  <c r="K184" i="72" s="1"/>
  <c r="L185" i="72" s="1"/>
  <c r="M186" i="72" s="1"/>
  <c r="N187" i="72" s="1"/>
  <c r="E303" i="72"/>
  <c r="F303" i="72" s="1"/>
  <c r="E273" i="72"/>
  <c r="F273" i="72" s="1"/>
  <c r="G244" i="72"/>
  <c r="H245" i="72" s="1"/>
  <c r="I246" i="72" s="1"/>
  <c r="J247" i="72" s="1"/>
  <c r="K248" i="72" s="1"/>
  <c r="L249" i="72" s="1"/>
  <c r="G212" i="72"/>
  <c r="H213" i="72" s="1"/>
  <c r="I214" i="72" s="1"/>
  <c r="J215" i="72" s="1"/>
  <c r="K216" i="72" s="1"/>
  <c r="L217" i="72" s="1"/>
  <c r="M218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86" i="72"/>
  <c r="F86" i="72" s="1"/>
  <c r="G24" i="72"/>
  <c r="H25" i="72" s="1"/>
  <c r="I26" i="72" s="1"/>
  <c r="J27" i="72" s="1"/>
  <c r="K28" i="72" s="1"/>
  <c r="L29" i="72" s="1"/>
  <c r="M30" i="72" s="1"/>
  <c r="N31" i="72" s="1"/>
  <c r="O32" i="72" s="1"/>
  <c r="E24" i="72" l="1"/>
  <c r="F24" i="72" s="1"/>
  <c r="G25" i="72" s="1"/>
  <c r="H26" i="72" s="1"/>
  <c r="I27" i="72" s="1"/>
  <c r="J28" i="72" s="1"/>
  <c r="K29" i="72" s="1"/>
  <c r="L30" i="72" s="1"/>
  <c r="M31" i="72" s="1"/>
  <c r="N32" i="72" s="1"/>
  <c r="E119" i="72"/>
  <c r="F119" i="72" s="1"/>
  <c r="E56" i="72"/>
  <c r="F56" i="72" s="1"/>
  <c r="E212" i="72"/>
  <c r="F212" i="72" s="1"/>
  <c r="E244" i="72"/>
  <c r="F244" i="72" s="1"/>
  <c r="G274" i="72"/>
  <c r="H275" i="72" s="1"/>
  <c r="I276" i="72" s="1"/>
  <c r="J277" i="72" s="1"/>
  <c r="K278" i="72" s="1"/>
  <c r="L279" i="72" s="1"/>
  <c r="M280" i="72" s="1"/>
  <c r="G87" i="72"/>
  <c r="H88" i="72" s="1"/>
  <c r="I89" i="72" s="1"/>
  <c r="J90" i="72" s="1"/>
  <c r="K91" i="72" s="1"/>
  <c r="L92" i="72" s="1"/>
  <c r="M93" i="72" s="1"/>
  <c r="N94" i="72" s="1"/>
  <c r="G304" i="72"/>
  <c r="H305" i="72" s="1"/>
  <c r="I306" i="72" s="1"/>
  <c r="J307" i="72" s="1"/>
  <c r="K308" i="72" s="1"/>
  <c r="L309" i="72" s="1"/>
  <c r="M310" i="72" s="1"/>
  <c r="N311" i="72" s="1"/>
  <c r="E180" i="72"/>
  <c r="F180" i="72" s="1"/>
  <c r="E148" i="72"/>
  <c r="F148" i="72" s="1"/>
  <c r="E274" i="72" l="1"/>
  <c r="F274" i="72" s="1"/>
  <c r="G275" i="72" s="1"/>
  <c r="H276" i="72" s="1"/>
  <c r="I277" i="72" s="1"/>
  <c r="J278" i="72" s="1"/>
  <c r="K279" i="72" s="1"/>
  <c r="L280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120" i="72"/>
  <c r="H121" i="72" s="1"/>
  <c r="I122" i="72" s="1"/>
  <c r="J123" i="72" s="1"/>
  <c r="K124" i="72" s="1"/>
  <c r="L125" i="72" s="1"/>
  <c r="E87" i="72"/>
  <c r="F87" i="72" s="1"/>
  <c r="E25" i="72"/>
  <c r="F25" i="72" s="1"/>
  <c r="G149" i="72"/>
  <c r="H150" i="72" s="1"/>
  <c r="I151" i="72" s="1"/>
  <c r="J152" i="72" s="1"/>
  <c r="K153" i="72" s="1"/>
  <c r="L154" i="72" s="1"/>
  <c r="M155" i="72" s="1"/>
  <c r="N156" i="72" s="1"/>
  <c r="G181" i="72"/>
  <c r="H182" i="72" s="1"/>
  <c r="I183" i="72" s="1"/>
  <c r="J184" i="72" s="1"/>
  <c r="K185" i="72" s="1"/>
  <c r="L186" i="72" s="1"/>
  <c r="M187" i="72" s="1"/>
  <c r="G245" i="72"/>
  <c r="H246" i="72" s="1"/>
  <c r="I247" i="72" s="1"/>
  <c r="J248" i="72" s="1"/>
  <c r="K249" i="72" s="1"/>
  <c r="G213" i="72"/>
  <c r="H214" i="72" s="1"/>
  <c r="I215" i="72" s="1"/>
  <c r="J216" i="72" s="1"/>
  <c r="K217" i="72" s="1"/>
  <c r="L218" i="72" s="1"/>
  <c r="G57" i="72"/>
  <c r="H58" i="72" s="1"/>
  <c r="I59" i="72" s="1"/>
  <c r="J60" i="72" s="1"/>
  <c r="K61" i="72" s="1"/>
  <c r="L62" i="72" s="1"/>
  <c r="M63" i="72" s="1"/>
  <c r="E181" i="72" l="1"/>
  <c r="F181" i="72" s="1"/>
  <c r="G182" i="72" s="1"/>
  <c r="H183" i="72" s="1"/>
  <c r="I184" i="72" s="1"/>
  <c r="J185" i="72" s="1"/>
  <c r="K186" i="72" s="1"/>
  <c r="L187" i="72" s="1"/>
  <c r="E120" i="72"/>
  <c r="F120" i="72" s="1"/>
  <c r="E245" i="72"/>
  <c r="F245" i="72" s="1"/>
  <c r="E149" i="72"/>
  <c r="F149" i="72" s="1"/>
  <c r="E57" i="72"/>
  <c r="F57" i="72" s="1"/>
  <c r="E275" i="72"/>
  <c r="F275" i="72" s="1"/>
  <c r="G26" i="72"/>
  <c r="H27" i="72" s="1"/>
  <c r="I28" i="72" s="1"/>
  <c r="J29" i="72" s="1"/>
  <c r="K30" i="72" s="1"/>
  <c r="L31" i="72" s="1"/>
  <c r="M32" i="72" s="1"/>
  <c r="G88" i="72"/>
  <c r="H89" i="72" s="1"/>
  <c r="I90" i="72" s="1"/>
  <c r="J91" i="72" s="1"/>
  <c r="K92" i="72" s="1"/>
  <c r="L93" i="72" s="1"/>
  <c r="M94" i="72" s="1"/>
  <c r="E213" i="72"/>
  <c r="F213" i="72" s="1"/>
  <c r="E305" i="72"/>
  <c r="F305" i="72" s="1"/>
  <c r="E88" i="72" l="1"/>
  <c r="F88" i="72" s="1"/>
  <c r="G89" i="72" s="1"/>
  <c r="H90" i="72" s="1"/>
  <c r="I91" i="72" s="1"/>
  <c r="J92" i="72" s="1"/>
  <c r="K93" i="72" s="1"/>
  <c r="L94" i="72" s="1"/>
  <c r="G121" i="72"/>
  <c r="H122" i="72" s="1"/>
  <c r="I123" i="72" s="1"/>
  <c r="J124" i="72" s="1"/>
  <c r="K125" i="72" s="1"/>
  <c r="G306" i="72"/>
  <c r="H307" i="72" s="1"/>
  <c r="I308" i="72" s="1"/>
  <c r="J309" i="72" s="1"/>
  <c r="K310" i="72" s="1"/>
  <c r="L311" i="72" s="1"/>
  <c r="G214" i="72"/>
  <c r="H215" i="72" s="1"/>
  <c r="I216" i="72" s="1"/>
  <c r="J217" i="72" s="1"/>
  <c r="K218" i="72" s="1"/>
  <c r="E26" i="72"/>
  <c r="F26" i="72" s="1"/>
  <c r="G276" i="72"/>
  <c r="H277" i="72" s="1"/>
  <c r="I278" i="72" s="1"/>
  <c r="J279" i="72" s="1"/>
  <c r="K280" i="72" s="1"/>
  <c r="G58" i="72"/>
  <c r="H59" i="72" s="1"/>
  <c r="I60" i="72" s="1"/>
  <c r="J61" i="72" s="1"/>
  <c r="K62" i="72" s="1"/>
  <c r="L63" i="72" s="1"/>
  <c r="G150" i="72"/>
  <c r="H151" i="72" s="1"/>
  <c r="I152" i="72" s="1"/>
  <c r="J153" i="72" s="1"/>
  <c r="K154" i="72" s="1"/>
  <c r="L155" i="72" s="1"/>
  <c r="M156" i="72" s="1"/>
  <c r="E182" i="72"/>
  <c r="F182" i="72" s="1"/>
  <c r="G246" i="72"/>
  <c r="H247" i="72" s="1"/>
  <c r="I248" i="72" s="1"/>
  <c r="J249" i="72" s="1"/>
  <c r="E58" i="72" l="1"/>
  <c r="F58" i="72" s="1"/>
  <c r="G59" i="72" s="1"/>
  <c r="H60" i="72" s="1"/>
  <c r="I61" i="72" s="1"/>
  <c r="J62" i="72" s="1"/>
  <c r="K63" i="72" s="1"/>
  <c r="E150" i="72"/>
  <c r="F150" i="72" s="1"/>
  <c r="E121" i="72"/>
  <c r="F121" i="72" s="1"/>
  <c r="E276" i="72"/>
  <c r="F276" i="72" s="1"/>
  <c r="G27" i="72"/>
  <c r="H28" i="72" s="1"/>
  <c r="I29" i="72" s="1"/>
  <c r="J30" i="72" s="1"/>
  <c r="K31" i="72" s="1"/>
  <c r="L32" i="72" s="1"/>
  <c r="E246" i="72"/>
  <c r="F246" i="72" s="1"/>
  <c r="E89" i="72"/>
  <c r="F89" i="72" s="1"/>
  <c r="G183" i="72"/>
  <c r="H184" i="72" s="1"/>
  <c r="I185" i="72" s="1"/>
  <c r="J186" i="72" s="1"/>
  <c r="K187" i="72" s="1"/>
  <c r="E214" i="72"/>
  <c r="F214" i="72" s="1"/>
  <c r="G151" i="72"/>
  <c r="H152" i="72" s="1"/>
  <c r="I153" i="72" s="1"/>
  <c r="J154" i="72" s="1"/>
  <c r="K155" i="72" s="1"/>
  <c r="L156" i="72" s="1"/>
  <c r="E306" i="72"/>
  <c r="F306" i="72" s="1"/>
  <c r="G122" i="72" l="1"/>
  <c r="H123" i="72" s="1"/>
  <c r="I124" i="72" s="1"/>
  <c r="J125" i="72" s="1"/>
  <c r="E59" i="72"/>
  <c r="F59" i="72" s="1"/>
  <c r="G60" i="72" s="1"/>
  <c r="H61" i="72" s="1"/>
  <c r="I62" i="72" s="1"/>
  <c r="J63" i="72" s="1"/>
  <c r="G307" i="72"/>
  <c r="H308" i="72" s="1"/>
  <c r="I309" i="72" s="1"/>
  <c r="J310" i="72" s="1"/>
  <c r="K311" i="72" s="1"/>
  <c r="E151" i="72"/>
  <c r="F151" i="72" s="1"/>
  <c r="E183" i="72"/>
  <c r="F183" i="72" s="1"/>
  <c r="G90" i="72"/>
  <c r="H91" i="72" s="1"/>
  <c r="I92" i="72" s="1"/>
  <c r="J93" i="72" s="1"/>
  <c r="K94" i="72" s="1"/>
  <c r="G247" i="72"/>
  <c r="H248" i="72" s="1"/>
  <c r="I249" i="72" s="1"/>
  <c r="E27" i="72"/>
  <c r="F27" i="72" s="1"/>
  <c r="G215" i="72"/>
  <c r="H216" i="72" s="1"/>
  <c r="I217" i="72" s="1"/>
  <c r="J218" i="72" s="1"/>
  <c r="G277" i="72"/>
  <c r="H278" i="72" s="1"/>
  <c r="I279" i="72" s="1"/>
  <c r="J280" i="72" s="1"/>
  <c r="E277" i="72" l="1"/>
  <c r="F277" i="72" s="1"/>
  <c r="G278" i="72" s="1"/>
  <c r="H279" i="72" s="1"/>
  <c r="I280" i="72" s="1"/>
  <c r="E122" i="72"/>
  <c r="F122" i="72" s="1"/>
  <c r="E215" i="72"/>
  <c r="F215" i="72" s="1"/>
  <c r="G28" i="72"/>
  <c r="H29" i="72" s="1"/>
  <c r="I30" i="72" s="1"/>
  <c r="J31" i="72" s="1"/>
  <c r="K32" i="72" s="1"/>
  <c r="E247" i="72"/>
  <c r="F247" i="72" s="1"/>
  <c r="E90" i="72"/>
  <c r="F90" i="72" s="1"/>
  <c r="G184" i="72"/>
  <c r="H185" i="72" s="1"/>
  <c r="I186" i="72" s="1"/>
  <c r="J187" i="72" s="1"/>
  <c r="G152" i="72"/>
  <c r="H153" i="72" s="1"/>
  <c r="I154" i="72" s="1"/>
  <c r="J155" i="72" s="1"/>
  <c r="K156" i="72" s="1"/>
  <c r="E307" i="72"/>
  <c r="F307" i="72" s="1"/>
  <c r="E60" i="72"/>
  <c r="F60" i="72" s="1"/>
  <c r="G123" i="72" l="1"/>
  <c r="H124" i="72" s="1"/>
  <c r="I125" i="72" s="1"/>
  <c r="G91" i="72"/>
  <c r="H92" i="72" s="1"/>
  <c r="I93" i="72" s="1"/>
  <c r="J94" i="72" s="1"/>
  <c r="G248" i="72"/>
  <c r="H249" i="72" s="1"/>
  <c r="G308" i="72"/>
  <c r="H309" i="72" s="1"/>
  <c r="I310" i="72" s="1"/>
  <c r="J311" i="72" s="1"/>
  <c r="E152" i="72"/>
  <c r="F152" i="72" s="1"/>
  <c r="E28" i="72"/>
  <c r="F28" i="72" s="1"/>
  <c r="G216" i="72"/>
  <c r="H217" i="72" s="1"/>
  <c r="I218" i="72" s="1"/>
  <c r="G61" i="72"/>
  <c r="H62" i="72" s="1"/>
  <c r="I63" i="72" s="1"/>
  <c r="E184" i="72"/>
  <c r="F184" i="72" s="1"/>
  <c r="E278" i="72"/>
  <c r="F278" i="72" s="1"/>
  <c r="E123" i="72" l="1"/>
  <c r="F123" i="72" s="1"/>
  <c r="E216" i="72"/>
  <c r="F216" i="72" s="1"/>
  <c r="G29" i="72"/>
  <c r="H30" i="72" s="1"/>
  <c r="I31" i="72" s="1"/>
  <c r="J32" i="72" s="1"/>
  <c r="G153" i="72"/>
  <c r="H154" i="72" s="1"/>
  <c r="I155" i="72" s="1"/>
  <c r="J156" i="72" s="1"/>
  <c r="E308" i="72"/>
  <c r="F308" i="72" s="1"/>
  <c r="G185" i="72"/>
  <c r="H186" i="72" s="1"/>
  <c r="I187" i="72" s="1"/>
  <c r="E61" i="72"/>
  <c r="F61" i="72" s="1"/>
  <c r="E248" i="72"/>
  <c r="F248" i="72" s="1"/>
  <c r="G249" i="72" s="1"/>
  <c r="E249" i="72" s="1"/>
  <c r="F249" i="72" s="1"/>
  <c r="G279" i="72"/>
  <c r="H280" i="72" s="1"/>
  <c r="E91" i="72"/>
  <c r="F91" i="72" s="1"/>
  <c r="E279" i="72" l="1"/>
  <c r="F279" i="72" s="1"/>
  <c r="G280" i="72" s="1"/>
  <c r="E280" i="72" s="1"/>
  <c r="F280" i="72" s="1"/>
  <c r="E185" i="72"/>
  <c r="F185" i="72" s="1"/>
  <c r="G186" i="72" s="1"/>
  <c r="H187" i="72" s="1"/>
  <c r="G124" i="72"/>
  <c r="H125" i="72" s="1"/>
  <c r="G92" i="72"/>
  <c r="H93" i="72" s="1"/>
  <c r="I94" i="72" s="1"/>
  <c r="G62" i="72"/>
  <c r="H63" i="72" s="1"/>
  <c r="G309" i="72"/>
  <c r="H310" i="72" s="1"/>
  <c r="I311" i="72" s="1"/>
  <c r="E153" i="72"/>
  <c r="F153" i="72" s="1"/>
  <c r="E29" i="72"/>
  <c r="F29" i="72" s="1"/>
  <c r="G217" i="72"/>
  <c r="H218" i="72" s="1"/>
  <c r="E217" i="72" l="1"/>
  <c r="F217" i="72" s="1"/>
  <c r="G218" i="72" s="1"/>
  <c r="E218" i="72" s="1"/>
  <c r="F218" i="72" s="1"/>
  <c r="E124" i="72"/>
  <c r="F124" i="72" s="1"/>
  <c r="G125" i="72" s="1"/>
  <c r="E125" i="72" s="1"/>
  <c r="F125" i="72" s="1"/>
  <c r="AL125" i="72" s="1"/>
  <c r="G30" i="72"/>
  <c r="H31" i="72" s="1"/>
  <c r="I32" i="72" s="1"/>
  <c r="G154" i="72"/>
  <c r="H155" i="72" s="1"/>
  <c r="I156" i="72" s="1"/>
  <c r="E309" i="72"/>
  <c r="F309" i="72" s="1"/>
  <c r="E186" i="72"/>
  <c r="F186" i="72" s="1"/>
  <c r="G187" i="72" s="1"/>
  <c r="E187" i="72" s="1"/>
  <c r="F187" i="72" s="1"/>
  <c r="E62" i="72"/>
  <c r="F62" i="72" s="1"/>
  <c r="G63" i="72" s="1"/>
  <c r="E63" i="72" s="1"/>
  <c r="F63" i="72" s="1"/>
  <c r="AL63" i="72" s="1"/>
  <c r="E92" i="72"/>
  <c r="F92" i="72" s="1"/>
  <c r="G93" i="72" l="1"/>
  <c r="H94" i="72" s="1"/>
  <c r="G310" i="72"/>
  <c r="H311" i="72" s="1"/>
  <c r="E154" i="72"/>
  <c r="F154" i="72" s="1"/>
  <c r="E30" i="72"/>
  <c r="F30" i="72" s="1"/>
  <c r="G31" i="72" l="1"/>
  <c r="H32" i="72" s="1"/>
  <c r="G155" i="72"/>
  <c r="H156" i="72" s="1"/>
  <c r="E310" i="72"/>
  <c r="F310" i="72" s="1"/>
  <c r="G311" i="72" s="1"/>
  <c r="E311" i="72" s="1"/>
  <c r="F311" i="72" s="1"/>
  <c r="E93" i="72"/>
  <c r="F93" i="72" s="1"/>
  <c r="G94" i="72" s="1"/>
  <c r="E94" i="72" s="1"/>
  <c r="F94" i="72" s="1"/>
  <c r="AL94" i="72" s="1"/>
  <c r="AL127" i="72" s="1"/>
  <c r="E155" i="72" l="1"/>
  <c r="F155" i="72" s="1"/>
  <c r="G156" i="72" s="1"/>
  <c r="E156" i="72" s="1"/>
  <c r="F156" i="72" s="1"/>
  <c r="E31" i="72"/>
  <c r="F31" i="72" s="1"/>
  <c r="G32" i="72" l="1"/>
  <c r="E32" i="72" s="1"/>
  <c r="F32" i="72" s="1"/>
  <c r="AL32" i="72" s="1"/>
  <c r="F33" i="26" a="1"/>
  <c r="F33" i="26" s="1"/>
  <c r="G217" i="35" s="1"/>
  <c r="G26" i="26" a="1"/>
  <c r="G26" i="26" s="1"/>
  <c r="H210" i="35" s="1"/>
  <c r="D34" i="26" a="1"/>
  <c r="D34" i="26" s="1"/>
  <c r="H197" i="35" s="1"/>
  <c r="E40" i="26" a="1"/>
  <c r="E40" i="26" s="1"/>
  <c r="I203" i="35" s="1"/>
  <c r="H36" i="26" a="1"/>
  <c r="H36" i="26" s="1"/>
  <c r="I220" i="35" s="1"/>
  <c r="F35" i="26" a="1"/>
  <c r="F35" i="26" s="1"/>
  <c r="H35" i="26" a="1"/>
  <c r="H35" i="26" s="1"/>
  <c r="D42" i="26" a="1"/>
  <c r="D42" i="26" s="1"/>
  <c r="H205" i="35" s="1"/>
  <c r="G35" i="26" a="1"/>
  <c r="G35" i="26" s="1"/>
  <c r="D38" i="26" a="1"/>
  <c r="D38" i="26" s="1"/>
  <c r="H201" i="35" s="1"/>
  <c r="D25" i="26" a="1"/>
  <c r="D25" i="26" s="1"/>
  <c r="H188" i="35" s="1"/>
  <c r="H30" i="26" a="1"/>
  <c r="H30" i="26" s="1"/>
  <c r="I214" i="35" s="1"/>
  <c r="H41" i="26" a="1"/>
  <c r="H41" i="26" s="1"/>
  <c r="I225" i="35" s="1"/>
  <c r="F37" i="26" a="1"/>
  <c r="F37" i="26" s="1"/>
  <c r="G221" i="35" s="1"/>
  <c r="G23" i="26" a="1"/>
  <c r="G23" i="26" s="1"/>
  <c r="F25" i="26" a="1"/>
  <c r="F25" i="26" s="1"/>
  <c r="G209" i="35" s="1"/>
  <c r="F30" i="26" a="1"/>
  <c r="F30" i="26" s="1"/>
  <c r="G214" i="35" s="1"/>
  <c r="G28" i="26" a="1"/>
  <c r="G28" i="26" s="1"/>
  <c r="H212" i="35" s="1"/>
  <c r="G40" i="26" a="1"/>
  <c r="G40" i="26" s="1"/>
  <c r="H224" i="35" s="1"/>
  <c r="G37" i="26" a="1"/>
  <c r="G37" i="26" s="1"/>
  <c r="H221" i="35" s="1"/>
  <c r="F41" i="26" a="1"/>
  <c r="F41" i="26" s="1"/>
  <c r="G225" i="35" s="1"/>
  <c r="F36" i="26" a="1"/>
  <c r="F36" i="26" s="1"/>
  <c r="G220" i="35" s="1"/>
  <c r="E33" i="26" a="1"/>
  <c r="E33" i="26" s="1"/>
  <c r="I196" i="35" s="1"/>
  <c r="H24" i="26" a="1"/>
  <c r="H24" i="26" s="1"/>
  <c r="I208" i="35" s="1"/>
  <c r="H31" i="26" a="1"/>
  <c r="H31" i="26" s="1"/>
  <c r="H38" i="26" a="1"/>
  <c r="H38" i="26" s="1"/>
  <c r="I222" i="35" s="1"/>
  <c r="E37" i="26" a="1"/>
  <c r="E37" i="26" s="1"/>
  <c r="I200" i="35" s="1"/>
  <c r="F38" i="26" a="1"/>
  <c r="F38" i="26" s="1"/>
  <c r="G222" i="35" s="1"/>
  <c r="H29" i="26" a="1"/>
  <c r="H29" i="26" s="1"/>
  <c r="I213" i="35" s="1"/>
  <c r="F40" i="26" a="1"/>
  <c r="F40" i="26" s="1"/>
  <c r="G224" i="35" s="1"/>
  <c r="H37" i="26" a="1"/>
  <c r="H37" i="26" s="1"/>
  <c r="I221" i="35" s="1"/>
  <c r="H34" i="26" a="1"/>
  <c r="H34" i="26" s="1"/>
  <c r="I218" i="35" s="1"/>
  <c r="G38" i="26" a="1"/>
  <c r="G38" i="26" s="1"/>
  <c r="H222" i="35" s="1"/>
  <c r="H23" i="26" a="1"/>
  <c r="H23" i="26" s="1"/>
  <c r="D24" i="26" a="1"/>
  <c r="D24" i="26" s="1"/>
  <c r="H187" i="35" s="1"/>
  <c r="H26" i="26" a="1"/>
  <c r="H26" i="26" s="1"/>
  <c r="I210" i="35" s="1"/>
  <c r="H32" i="26" a="1"/>
  <c r="H32" i="26" s="1"/>
  <c r="I216" i="35" s="1"/>
  <c r="E41" i="26" a="1"/>
  <c r="E41" i="26" s="1"/>
  <c r="I204" i="35" s="1"/>
  <c r="E24" i="26" a="1"/>
  <c r="E24" i="26" s="1"/>
  <c r="I187" i="35" s="1"/>
  <c r="G33" i="26" a="1"/>
  <c r="G33" i="26" s="1"/>
  <c r="H217" i="35" s="1"/>
  <c r="G32" i="26" a="1"/>
  <c r="G32" i="26" s="1"/>
  <c r="H216" i="35" s="1"/>
  <c r="D41" i="26" a="1"/>
  <c r="D41" i="26" s="1"/>
  <c r="H204" i="35" s="1"/>
  <c r="E28" i="26" a="1"/>
  <c r="E28" i="26" s="1"/>
  <c r="I191" i="35" s="1"/>
  <c r="D37" i="26" a="1"/>
  <c r="D37" i="26" s="1"/>
  <c r="H200" i="35" s="1"/>
  <c r="E38" i="26" a="1"/>
  <c r="E38" i="26" s="1"/>
  <c r="I201" i="35" s="1"/>
  <c r="F39" i="26" a="1"/>
  <c r="F39" i="26" s="1"/>
  <c r="H25" i="26" a="1"/>
  <c r="H25" i="26" s="1"/>
  <c r="I209" i="35" s="1"/>
  <c r="E27" i="26" a="1"/>
  <c r="E27" i="26" s="1"/>
  <c r="H39" i="26" a="1"/>
  <c r="H39" i="26" s="1"/>
  <c r="D36" i="26" a="1"/>
  <c r="D36" i="26" s="1"/>
  <c r="H199" i="35" s="1"/>
  <c r="D33" i="26" a="1"/>
  <c r="D33" i="26" s="1"/>
  <c r="H196" i="35" s="1"/>
  <c r="E25" i="26" a="1"/>
  <c r="E25" i="26" s="1"/>
  <c r="I188" i="35" s="1"/>
  <c r="E42" i="26" a="1"/>
  <c r="E42" i="26" s="1"/>
  <c r="I205" i="35" s="1"/>
  <c r="G36" i="26" a="1"/>
  <c r="G36" i="26" s="1"/>
  <c r="H220" i="35" s="1"/>
  <c r="H42" i="26" a="1"/>
  <c r="H42" i="26" s="1"/>
  <c r="I226" i="35" s="1"/>
  <c r="G31" i="26" a="1"/>
  <c r="G31" i="26" s="1"/>
  <c r="D26" i="26" a="1"/>
  <c r="D26" i="26" s="1"/>
  <c r="H189" i="35" s="1"/>
  <c r="E26" i="26" a="1"/>
  <c r="E26" i="26" s="1"/>
  <c r="I189" i="35" s="1"/>
  <c r="G25" i="26" a="1"/>
  <c r="G25" i="26" s="1"/>
  <c r="H209" i="35" s="1"/>
  <c r="H33" i="26" a="1"/>
  <c r="H33" i="26" s="1"/>
  <c r="I217" i="35" s="1"/>
  <c r="E31" i="26" a="1"/>
  <c r="E31" i="26" s="1"/>
  <c r="F29" i="26" a="1"/>
  <c r="F29" i="26" s="1"/>
  <c r="G213" i="35" s="1"/>
  <c r="E23" i="26" a="1"/>
  <c r="E23" i="26" s="1"/>
  <c r="E29" i="26" a="1"/>
  <c r="E29" i="26" s="1"/>
  <c r="I192" i="35" s="1"/>
  <c r="E32" i="26" a="1"/>
  <c r="E32" i="26" s="1"/>
  <c r="I195" i="35" s="1"/>
  <c r="D39" i="26" a="1"/>
  <c r="D39" i="26" s="1"/>
  <c r="D32" i="26" a="1"/>
  <c r="D32" i="26" s="1"/>
  <c r="H195" i="35" s="1"/>
  <c r="F32" i="26" a="1"/>
  <c r="F32" i="26" s="1"/>
  <c r="G216" i="35" s="1"/>
  <c r="H27" i="26" a="1"/>
  <c r="H27" i="26" s="1"/>
  <c r="E35" i="26" a="1"/>
  <c r="E35" i="26" s="1"/>
  <c r="F28" i="26" a="1"/>
  <c r="F28" i="26" s="1"/>
  <c r="G212" i="35" s="1"/>
  <c r="D30" i="26" a="1"/>
  <c r="D30" i="26" s="1"/>
  <c r="H193" i="35" s="1"/>
  <c r="F27" i="26" a="1"/>
  <c r="F27" i="26" s="1"/>
  <c r="F26" i="26" a="1"/>
  <c r="F26" i="26" s="1"/>
  <c r="G210" i="35" s="1"/>
  <c r="G24" i="26" a="1"/>
  <c r="G24" i="26" s="1"/>
  <c r="H208" i="35" s="1"/>
  <c r="G29" i="26" a="1"/>
  <c r="G29" i="26" s="1"/>
  <c r="H213" i="35" s="1"/>
  <c r="F23" i="26" a="1"/>
  <c r="F23" i="26" s="1"/>
  <c r="D31" i="26" a="1"/>
  <c r="D31" i="26" s="1"/>
  <c r="D27" i="26" l="1" a="1"/>
  <c r="D27" i="26" s="1"/>
  <c r="G39" i="26" a="1"/>
  <c r="G39" i="26" s="1"/>
  <c r="G41" i="26" a="1"/>
  <c r="G41" i="26" s="1"/>
  <c r="H225" i="35" s="1"/>
  <c r="I87" i="58" s="1"/>
  <c r="G34" i="26" a="1"/>
  <c r="G34" i="26" s="1"/>
  <c r="H218" i="35" s="1"/>
  <c r="D29" i="26" a="1"/>
  <c r="D29" i="26" s="1"/>
  <c r="H192" i="35" s="1"/>
  <c r="I42" i="37" s="1"/>
  <c r="D35" i="26" a="1"/>
  <c r="D35" i="26" s="1"/>
  <c r="E34" i="26" a="1"/>
  <c r="E34" i="26" s="1"/>
  <c r="I197" i="35" s="1"/>
  <c r="F31" i="26" a="1"/>
  <c r="F31" i="26" s="1"/>
  <c r="G42" i="26" a="1"/>
  <c r="G42" i="26" s="1"/>
  <c r="H226" i="35" s="1"/>
  <c r="G30" i="26" a="1"/>
  <c r="G30" i="26" s="1"/>
  <c r="H214" i="35" s="1"/>
  <c r="I46" i="58" s="1"/>
  <c r="D40" i="26" a="1"/>
  <c r="D40" i="26" s="1"/>
  <c r="H203" i="35" s="1"/>
  <c r="I86" i="37" s="1"/>
  <c r="F24" i="26" a="1"/>
  <c r="F24" i="26" s="1"/>
  <c r="G208" i="35" s="1"/>
  <c r="H22" i="58" s="1"/>
  <c r="H22" i="41" s="1"/>
  <c r="D28" i="26" a="1"/>
  <c r="D28" i="26" s="1"/>
  <c r="H191" i="35" s="1"/>
  <c r="I37" i="37" s="1"/>
  <c r="G27" i="26" a="1"/>
  <c r="G27" i="26" s="1"/>
  <c r="H211" i="35" s="1"/>
  <c r="F42" i="26" a="1"/>
  <c r="F42" i="26" s="1"/>
  <c r="G226" i="35" s="1"/>
  <c r="H94" i="58" s="1"/>
  <c r="H94" i="41" s="1"/>
  <c r="H40" i="26" a="1"/>
  <c r="H40" i="26" s="1"/>
  <c r="I224" i="35" s="1"/>
  <c r="J84" i="58" s="1"/>
  <c r="F34" i="26" a="1"/>
  <c r="F34" i="26" s="1"/>
  <c r="G218" i="35" s="1"/>
  <c r="H62" i="58" s="1"/>
  <c r="H62" i="41" s="1"/>
  <c r="I20" i="58"/>
  <c r="I22" i="58"/>
  <c r="I19" i="58"/>
  <c r="I21" i="58"/>
  <c r="G211" i="35"/>
  <c r="E51" i="26"/>
  <c r="H51" i="26" s="1"/>
  <c r="I194" i="35"/>
  <c r="D52" i="26"/>
  <c r="I223" i="35"/>
  <c r="J52" i="58"/>
  <c r="J51" i="58"/>
  <c r="J53" i="58"/>
  <c r="J54" i="58"/>
  <c r="I215" i="35"/>
  <c r="G52" i="26"/>
  <c r="J89" i="58"/>
  <c r="J88" i="58"/>
  <c r="J87" i="58"/>
  <c r="J90" i="58"/>
  <c r="I30" i="58"/>
  <c r="I29" i="58"/>
  <c r="I28" i="58"/>
  <c r="I27" i="58"/>
  <c r="J58" i="58"/>
  <c r="J56" i="58"/>
  <c r="J57" i="58"/>
  <c r="J55" i="58"/>
  <c r="I190" i="35"/>
  <c r="J30" i="58"/>
  <c r="J28" i="58"/>
  <c r="J29" i="58"/>
  <c r="J27" i="58"/>
  <c r="J22" i="58"/>
  <c r="J21" i="58"/>
  <c r="J20" i="58"/>
  <c r="J19" i="58"/>
  <c r="J45" i="58"/>
  <c r="J43" i="58"/>
  <c r="J44" i="58"/>
  <c r="J46" i="58"/>
  <c r="H223" i="35"/>
  <c r="H37" i="58"/>
  <c r="H37" i="41" s="1"/>
  <c r="H35" i="58"/>
  <c r="H35" i="41" s="1"/>
  <c r="H36" i="58"/>
  <c r="H36" i="41" s="1"/>
  <c r="H38" i="58"/>
  <c r="H38" i="41" s="1"/>
  <c r="I24" i="58"/>
  <c r="I23" i="58"/>
  <c r="I25" i="58"/>
  <c r="I26" i="58"/>
  <c r="J26" i="58"/>
  <c r="J23" i="58"/>
  <c r="J25" i="58"/>
  <c r="J24" i="58"/>
  <c r="I20" i="37"/>
  <c r="I20" i="41" s="1"/>
  <c r="I19" i="37"/>
  <c r="I21" i="37"/>
  <c r="I22" i="37"/>
  <c r="J55" i="37"/>
  <c r="J58" i="37"/>
  <c r="J56" i="37"/>
  <c r="J57" i="37"/>
  <c r="I26" i="37"/>
  <c r="I24" i="37"/>
  <c r="I25" i="37"/>
  <c r="I23" i="37"/>
  <c r="H57" i="58"/>
  <c r="H57" i="41" s="1"/>
  <c r="H56" i="58"/>
  <c r="H56" i="41" s="1"/>
  <c r="H55" i="58"/>
  <c r="H55" i="41" s="1"/>
  <c r="H58" i="58"/>
  <c r="H58" i="41" s="1"/>
  <c r="I46" i="37"/>
  <c r="I44" i="37"/>
  <c r="I43" i="37"/>
  <c r="I45" i="37"/>
  <c r="I198" i="35"/>
  <c r="J29" i="37"/>
  <c r="J28" i="37"/>
  <c r="J30" i="37"/>
  <c r="J27" i="37"/>
  <c r="G223" i="35"/>
  <c r="G50" i="26"/>
  <c r="I207" i="35"/>
  <c r="H70" i="58"/>
  <c r="H70" i="41" s="1"/>
  <c r="H68" i="58"/>
  <c r="H68" i="41" s="1"/>
  <c r="H69" i="58"/>
  <c r="H69" i="41" s="1"/>
  <c r="H67" i="58"/>
  <c r="H67" i="41" s="1"/>
  <c r="I77" i="37"/>
  <c r="I76" i="37"/>
  <c r="I75" i="37"/>
  <c r="I78" i="37"/>
  <c r="I89" i="58"/>
  <c r="C52" i="26"/>
  <c r="H194" i="35"/>
  <c r="I211" i="35"/>
  <c r="I30" i="37"/>
  <c r="I29" i="37"/>
  <c r="I27" i="37"/>
  <c r="I28" i="37"/>
  <c r="J77" i="37"/>
  <c r="J78" i="37"/>
  <c r="J75" i="37"/>
  <c r="J76" i="37"/>
  <c r="I76" i="58"/>
  <c r="I78" i="58"/>
  <c r="I75" i="58"/>
  <c r="I77" i="58"/>
  <c r="H89" i="58"/>
  <c r="H89" i="41" s="1"/>
  <c r="H88" i="58"/>
  <c r="H88" i="41" s="1"/>
  <c r="H90" i="58"/>
  <c r="H90" i="41" s="1"/>
  <c r="H87" i="58"/>
  <c r="H87" i="41" s="1"/>
  <c r="H219" i="35"/>
  <c r="F53" i="26"/>
  <c r="I61" i="58"/>
  <c r="I60" i="58"/>
  <c r="I62" i="58"/>
  <c r="I59" i="58"/>
  <c r="J53" i="37"/>
  <c r="J54" i="37"/>
  <c r="J52" i="37"/>
  <c r="J51" i="37"/>
  <c r="H51" i="58"/>
  <c r="H51" i="41" s="1"/>
  <c r="H52" i="58"/>
  <c r="H52" i="41" s="1"/>
  <c r="H53" i="58"/>
  <c r="H53" i="41" s="1"/>
  <c r="H54" i="58"/>
  <c r="H54" i="41" s="1"/>
  <c r="H215" i="35"/>
  <c r="F52" i="26"/>
  <c r="I72" i="37"/>
  <c r="I74" i="37"/>
  <c r="I71" i="37"/>
  <c r="I73" i="37"/>
  <c r="J60" i="58"/>
  <c r="J61" i="58"/>
  <c r="J59" i="58"/>
  <c r="J62" i="58"/>
  <c r="I74" i="58"/>
  <c r="I73" i="58"/>
  <c r="I72" i="58"/>
  <c r="I71" i="58"/>
  <c r="I94" i="37"/>
  <c r="I93" i="37"/>
  <c r="I91" i="37"/>
  <c r="I92" i="37"/>
  <c r="I40" i="37"/>
  <c r="I41" i="37"/>
  <c r="I39" i="37"/>
  <c r="I54" i="37"/>
  <c r="I52" i="37"/>
  <c r="I51" i="37"/>
  <c r="I53" i="37"/>
  <c r="J94" i="58"/>
  <c r="J93" i="58"/>
  <c r="J92" i="58"/>
  <c r="J91" i="58"/>
  <c r="J37" i="37"/>
  <c r="J38" i="37"/>
  <c r="J35" i="37"/>
  <c r="J36" i="37"/>
  <c r="J74" i="58"/>
  <c r="J73" i="58"/>
  <c r="J71" i="58"/>
  <c r="J72" i="58"/>
  <c r="I83" i="58"/>
  <c r="I85" i="58"/>
  <c r="I84" i="58"/>
  <c r="I86" i="58"/>
  <c r="I219" i="35"/>
  <c r="G53" i="26"/>
  <c r="C53" i="26"/>
  <c r="H198" i="35"/>
  <c r="H28" i="26" a="1"/>
  <c r="H28" i="26" s="1"/>
  <c r="I212" i="35" s="1"/>
  <c r="H202" i="35"/>
  <c r="I69" i="58"/>
  <c r="I68" i="58"/>
  <c r="I67" i="58"/>
  <c r="I70" i="58"/>
  <c r="I89" i="37"/>
  <c r="I87" i="37"/>
  <c r="I90" i="37"/>
  <c r="I88" i="37"/>
  <c r="H83" i="58"/>
  <c r="H83" i="41" s="1"/>
  <c r="H85" i="58"/>
  <c r="H85" i="41" s="1"/>
  <c r="H86" i="58"/>
  <c r="H86" i="41" s="1"/>
  <c r="H84" i="58"/>
  <c r="H84" i="41" s="1"/>
  <c r="I35" i="58"/>
  <c r="I37" i="58"/>
  <c r="I38" i="58"/>
  <c r="I36" i="58"/>
  <c r="G219" i="35"/>
  <c r="E53" i="26"/>
  <c r="H53" i="26" s="1"/>
  <c r="E39" i="26" a="1"/>
  <c r="E39" i="26" s="1"/>
  <c r="G207" i="35"/>
  <c r="E50" i="26"/>
  <c r="H50" i="26" s="1"/>
  <c r="J93" i="37"/>
  <c r="J91" i="37"/>
  <c r="J94" i="37"/>
  <c r="J92" i="37"/>
  <c r="I51" i="58"/>
  <c r="I52" i="58"/>
  <c r="I54" i="58"/>
  <c r="I53" i="58"/>
  <c r="J40" i="58"/>
  <c r="J39" i="58"/>
  <c r="J41" i="58"/>
  <c r="J42" i="58"/>
  <c r="H43" i="58"/>
  <c r="H43" i="41" s="1"/>
  <c r="H44" i="58"/>
  <c r="H44" i="41" s="1"/>
  <c r="H45" i="58"/>
  <c r="H45" i="41" s="1"/>
  <c r="H46" i="58"/>
  <c r="H46" i="41" s="1"/>
  <c r="J68" i="58"/>
  <c r="J69" i="58"/>
  <c r="J70" i="58"/>
  <c r="J67" i="58"/>
  <c r="J59" i="37"/>
  <c r="J60" i="37"/>
  <c r="J61" i="37"/>
  <c r="J62" i="37"/>
  <c r="J62" i="41" s="1"/>
  <c r="E36" i="26" a="1"/>
  <c r="E36" i="26" s="1"/>
  <c r="I199" i="35" s="1"/>
  <c r="J42" i="37"/>
  <c r="J41" i="37"/>
  <c r="J39" i="37"/>
  <c r="J40" i="37"/>
  <c r="J23" i="37"/>
  <c r="J25" i="37"/>
  <c r="J24" i="37"/>
  <c r="J26" i="37"/>
  <c r="I58" i="58"/>
  <c r="I57" i="58"/>
  <c r="I56" i="58"/>
  <c r="I55" i="58"/>
  <c r="H75" i="58"/>
  <c r="H75" i="41" s="1"/>
  <c r="H78" i="58"/>
  <c r="H78" i="41" s="1"/>
  <c r="H76" i="58"/>
  <c r="H76" i="41" s="1"/>
  <c r="H77" i="58"/>
  <c r="H77" i="41" s="1"/>
  <c r="H24" i="58"/>
  <c r="H24" i="41" s="1"/>
  <c r="H23" i="58"/>
  <c r="H23" i="41" s="1"/>
  <c r="H25" i="58"/>
  <c r="H25" i="41" s="1"/>
  <c r="H26" i="58"/>
  <c r="H26" i="41" s="1"/>
  <c r="J86" i="37"/>
  <c r="J85" i="37"/>
  <c r="J83" i="37"/>
  <c r="J84" i="37"/>
  <c r="G215" i="35"/>
  <c r="D23" i="26" a="1"/>
  <c r="D23" i="26" s="1"/>
  <c r="I41" i="58"/>
  <c r="I39" i="58"/>
  <c r="I40" i="58"/>
  <c r="I42" i="58"/>
  <c r="I186" i="35"/>
  <c r="D50" i="26"/>
  <c r="I56" i="37"/>
  <c r="I58" i="37"/>
  <c r="I57" i="37"/>
  <c r="I57" i="41" s="1"/>
  <c r="I55" i="37"/>
  <c r="J22" i="37"/>
  <c r="J20" i="37"/>
  <c r="J19" i="37"/>
  <c r="J21" i="37"/>
  <c r="J73" i="37"/>
  <c r="J72" i="37"/>
  <c r="J74" i="37"/>
  <c r="J71" i="37"/>
  <c r="F50" i="26"/>
  <c r="H207" i="35"/>
  <c r="I62" i="37"/>
  <c r="I61" i="37"/>
  <c r="I60" i="37"/>
  <c r="I59" i="37"/>
  <c r="E30" i="26" a="1"/>
  <c r="E30" i="26" s="1"/>
  <c r="I193" i="35" s="1"/>
  <c r="H30" i="58"/>
  <c r="H30" i="41" s="1"/>
  <c r="H29" i="58"/>
  <c r="H29" i="41" s="1"/>
  <c r="H28" i="58"/>
  <c r="H28" i="41" s="1"/>
  <c r="H27" i="58"/>
  <c r="H27" i="41" s="1"/>
  <c r="H42" i="58"/>
  <c r="H42" i="41" s="1"/>
  <c r="H41" i="58"/>
  <c r="H41" i="41" s="1"/>
  <c r="H39" i="58"/>
  <c r="H39" i="41" s="1"/>
  <c r="H40" i="58"/>
  <c r="H40" i="41" s="1"/>
  <c r="I70" i="37"/>
  <c r="I68" i="37"/>
  <c r="I67" i="37"/>
  <c r="I69" i="37"/>
  <c r="J88" i="37"/>
  <c r="J90" i="37"/>
  <c r="J89" i="37"/>
  <c r="J89" i="41" s="1"/>
  <c r="J87" i="37"/>
  <c r="J76" i="58"/>
  <c r="J77" i="58"/>
  <c r="J78" i="58"/>
  <c r="J75" i="58"/>
  <c r="H71" i="58"/>
  <c r="H71" i="41" s="1"/>
  <c r="H72" i="58"/>
  <c r="H72" i="41" s="1"/>
  <c r="H73" i="58"/>
  <c r="H73" i="41" s="1"/>
  <c r="H74" i="58"/>
  <c r="H74" i="41" s="1"/>
  <c r="H190" i="35"/>
  <c r="I91" i="58"/>
  <c r="I92" i="58"/>
  <c r="I94" i="58"/>
  <c r="I93" i="58"/>
  <c r="J53" i="41" l="1"/>
  <c r="I25" i="41"/>
  <c r="J58" i="41"/>
  <c r="I90" i="58"/>
  <c r="F54" i="26"/>
  <c r="I88" i="58"/>
  <c r="J19" i="41"/>
  <c r="I38" i="37"/>
  <c r="I62" i="41"/>
  <c r="G54" i="26"/>
  <c r="H61" i="58"/>
  <c r="H61" i="41" s="1"/>
  <c r="I60" i="41"/>
  <c r="I87" i="41"/>
  <c r="J57" i="41"/>
  <c r="J87" i="41"/>
  <c r="J56" i="41"/>
  <c r="I36" i="37"/>
  <c r="I83" i="37"/>
  <c r="I83" i="41" s="1"/>
  <c r="J20" i="41"/>
  <c r="J22" i="41"/>
  <c r="E52" i="26"/>
  <c r="H52" i="26" s="1"/>
  <c r="J41" i="41"/>
  <c r="J94" i="41"/>
  <c r="J21" i="41"/>
  <c r="J85" i="58"/>
  <c r="J85" i="41" s="1"/>
  <c r="C54" i="26"/>
  <c r="I21" i="41"/>
  <c r="I90" i="41"/>
  <c r="I35" i="37"/>
  <c r="I86" i="41"/>
  <c r="H60" i="58"/>
  <c r="H60" i="41" s="1"/>
  <c r="J55" i="41"/>
  <c r="J90" i="41"/>
  <c r="J74" i="41"/>
  <c r="I43" i="58"/>
  <c r="I43" i="41" s="1"/>
  <c r="J27" i="41"/>
  <c r="H20" i="58"/>
  <c r="H20" i="41" s="1"/>
  <c r="H93" i="58"/>
  <c r="H93" i="41" s="1"/>
  <c r="J71" i="41"/>
  <c r="C51" i="26"/>
  <c r="J88" i="41"/>
  <c r="I84" i="37"/>
  <c r="I84" i="41" s="1"/>
  <c r="J23" i="41"/>
  <c r="I29" i="41"/>
  <c r="H21" i="58"/>
  <c r="H21" i="41" s="1"/>
  <c r="H92" i="58"/>
  <c r="H92" i="41" s="1"/>
  <c r="H91" i="58"/>
  <c r="H91" i="41" s="1"/>
  <c r="J83" i="58"/>
  <c r="J83" i="41" s="1"/>
  <c r="I85" i="37"/>
  <c r="J24" i="41"/>
  <c r="I44" i="58"/>
  <c r="I44" i="41" s="1"/>
  <c r="H59" i="58"/>
  <c r="H59" i="41" s="1"/>
  <c r="J86" i="58"/>
  <c r="J86" i="41" s="1"/>
  <c r="J30" i="41"/>
  <c r="I19" i="41"/>
  <c r="I68" i="41"/>
  <c r="J73" i="41"/>
  <c r="J25" i="41"/>
  <c r="I45" i="58"/>
  <c r="I45" i="41" s="1"/>
  <c r="H19" i="58"/>
  <c r="H19" i="41" s="1"/>
  <c r="I59" i="41"/>
  <c r="I89" i="41"/>
  <c r="I24" i="41"/>
  <c r="J54" i="41"/>
  <c r="F51" i="26"/>
  <c r="J84" i="41"/>
  <c r="E54" i="26"/>
  <c r="H54" i="26" s="1"/>
  <c r="I22" i="41"/>
  <c r="J60" i="41"/>
  <c r="J26" i="41"/>
  <c r="J59" i="41"/>
  <c r="I61" i="41"/>
  <c r="J91" i="41"/>
  <c r="I53" i="41"/>
  <c r="I73" i="41"/>
  <c r="I27" i="41"/>
  <c r="I70" i="41"/>
  <c r="J93" i="41"/>
  <c r="J52" i="41"/>
  <c r="J61" i="41"/>
  <c r="I71" i="41"/>
  <c r="I30" i="41"/>
  <c r="I67" i="41"/>
  <c r="J72" i="41"/>
  <c r="I88" i="41"/>
  <c r="I53" i="26"/>
  <c r="J50" i="26"/>
  <c r="I69" i="41"/>
  <c r="J29" i="41"/>
  <c r="I23" i="41"/>
  <c r="I28" i="41"/>
  <c r="J92" i="41"/>
  <c r="I18" i="58"/>
  <c r="I16" i="58"/>
  <c r="I17" i="58"/>
  <c r="I15" i="58"/>
  <c r="I92" i="41"/>
  <c r="J17" i="58"/>
  <c r="J16" i="58"/>
  <c r="J15" i="58"/>
  <c r="J18" i="58"/>
  <c r="I80" i="58"/>
  <c r="I81" i="58"/>
  <c r="I82" i="58"/>
  <c r="I79" i="58"/>
  <c r="J51" i="41"/>
  <c r="I58" i="41"/>
  <c r="I33" i="37"/>
  <c r="I34" i="37"/>
  <c r="I32" i="37"/>
  <c r="I31" i="37"/>
  <c r="I56" i="41"/>
  <c r="H18" i="58"/>
  <c r="H18" i="41" s="1"/>
  <c r="H16" i="58"/>
  <c r="H17" i="58"/>
  <c r="H15" i="58"/>
  <c r="I79" i="37"/>
  <c r="I79" i="41" s="1"/>
  <c r="I81" i="37"/>
  <c r="I82" i="37"/>
  <c r="I80" i="37"/>
  <c r="I51" i="41"/>
  <c r="I91" i="41"/>
  <c r="I46" i="41"/>
  <c r="I202" i="35"/>
  <c r="D54" i="26"/>
  <c r="J54" i="26" s="1"/>
  <c r="I52" i="41"/>
  <c r="I93" i="41"/>
  <c r="I74" i="41"/>
  <c r="D51" i="26"/>
  <c r="J37" i="58"/>
  <c r="J35" i="58"/>
  <c r="J35" i="41" s="1"/>
  <c r="J36" i="58"/>
  <c r="J36" i="41" s="1"/>
  <c r="J38" i="58"/>
  <c r="J38" i="41" s="1"/>
  <c r="I54" i="41"/>
  <c r="I94" i="41"/>
  <c r="I72" i="41"/>
  <c r="H82" i="58"/>
  <c r="H82" i="41" s="1"/>
  <c r="H80" i="58"/>
  <c r="H80" i="41" s="1"/>
  <c r="H79" i="58"/>
  <c r="H79" i="41" s="1"/>
  <c r="H81" i="58"/>
  <c r="H81" i="41" s="1"/>
  <c r="I33" i="58"/>
  <c r="I31" i="58"/>
  <c r="I34" i="58"/>
  <c r="I32" i="58"/>
  <c r="J31" i="37"/>
  <c r="J34" i="37"/>
  <c r="J32" i="37"/>
  <c r="J33" i="37"/>
  <c r="J80" i="58"/>
  <c r="J82" i="58"/>
  <c r="J79" i="58"/>
  <c r="J81" i="58"/>
  <c r="J44" i="37"/>
  <c r="J44" i="41" s="1"/>
  <c r="J46" i="37"/>
  <c r="J46" i="41" s="1"/>
  <c r="J45" i="37"/>
  <c r="J45" i="41" s="1"/>
  <c r="J43" i="37"/>
  <c r="J43" i="41" s="1"/>
  <c r="I63" i="37"/>
  <c r="I66" i="37"/>
  <c r="I64" i="37"/>
  <c r="I65" i="37"/>
  <c r="G51" i="26"/>
  <c r="I78" i="41"/>
  <c r="J52" i="26"/>
  <c r="I50" i="58"/>
  <c r="I49" i="58"/>
  <c r="I48" i="58"/>
  <c r="I47" i="58"/>
  <c r="J33" i="58"/>
  <c r="J31" i="58"/>
  <c r="J32" i="58"/>
  <c r="J34" i="58"/>
  <c r="I75" i="41"/>
  <c r="J48" i="37"/>
  <c r="J49" i="37"/>
  <c r="J47" i="37"/>
  <c r="J50" i="37"/>
  <c r="I49" i="37"/>
  <c r="I47" i="37"/>
  <c r="I48" i="37"/>
  <c r="I50" i="37"/>
  <c r="I76" i="41"/>
  <c r="J28" i="41"/>
  <c r="J16" i="37"/>
  <c r="J18" i="37"/>
  <c r="J17" i="37"/>
  <c r="J15" i="37"/>
  <c r="J40" i="41"/>
  <c r="J64" i="58"/>
  <c r="J65" i="58"/>
  <c r="J63" i="58"/>
  <c r="J66" i="58"/>
  <c r="J37" i="41"/>
  <c r="I52" i="26"/>
  <c r="I77" i="41"/>
  <c r="H33" i="58"/>
  <c r="H33" i="41" s="1"/>
  <c r="H32" i="58"/>
  <c r="H32" i="41" s="1"/>
  <c r="H31" i="58"/>
  <c r="H31" i="41" s="1"/>
  <c r="H34" i="58"/>
  <c r="H34" i="41" s="1"/>
  <c r="H186" i="35"/>
  <c r="C50" i="26"/>
  <c r="I50" i="26" s="1"/>
  <c r="J39" i="41"/>
  <c r="H64" i="58"/>
  <c r="H64" i="41" s="1"/>
  <c r="H63" i="58"/>
  <c r="H63" i="41" s="1"/>
  <c r="H65" i="58"/>
  <c r="H65" i="41" s="1"/>
  <c r="H66" i="58"/>
  <c r="H66" i="41" s="1"/>
  <c r="I39" i="41"/>
  <c r="J76" i="41"/>
  <c r="J65" i="37"/>
  <c r="J63" i="37"/>
  <c r="J64" i="37"/>
  <c r="J64" i="41" s="1"/>
  <c r="J66" i="37"/>
  <c r="I36" i="41"/>
  <c r="I41" i="41"/>
  <c r="J75" i="41"/>
  <c r="D53" i="26"/>
  <c r="J53" i="26" s="1"/>
  <c r="I35" i="41"/>
  <c r="J49" i="58"/>
  <c r="J50" i="58"/>
  <c r="J48" i="58"/>
  <c r="J47" i="58"/>
  <c r="I55" i="41"/>
  <c r="H48" i="58"/>
  <c r="H48" i="41" s="1"/>
  <c r="H49" i="58"/>
  <c r="H49" i="41" s="1"/>
  <c r="H50" i="58"/>
  <c r="H50" i="41" s="1"/>
  <c r="H47" i="58"/>
  <c r="H47" i="41" s="1"/>
  <c r="J42" i="41"/>
  <c r="I85" i="41"/>
  <c r="I42" i="41"/>
  <c r="J78" i="41"/>
  <c r="I37" i="41"/>
  <c r="J67" i="37"/>
  <c r="J67" i="41" s="1"/>
  <c r="J70" i="37"/>
  <c r="J70" i="41" s="1"/>
  <c r="J69" i="37"/>
  <c r="J69" i="41" s="1"/>
  <c r="J68" i="37"/>
  <c r="J68" i="41" s="1"/>
  <c r="I40" i="41"/>
  <c r="I66" i="58"/>
  <c r="I65" i="58"/>
  <c r="I63" i="58"/>
  <c r="I64" i="58"/>
  <c r="J77" i="41"/>
  <c r="I26" i="41"/>
  <c r="I38" i="41"/>
  <c r="I54" i="26" l="1"/>
  <c r="J18" i="41"/>
  <c r="I47" i="41"/>
  <c r="I81" i="41"/>
  <c r="I51" i="26"/>
  <c r="I48" i="41"/>
  <c r="I50" i="41"/>
  <c r="I82" i="41"/>
  <c r="J63" i="41"/>
  <c r="J65" i="41"/>
  <c r="H17" i="41"/>
  <c r="C38" i="63"/>
  <c r="H16" i="41"/>
  <c r="I65" i="41"/>
  <c r="I64" i="41"/>
  <c r="J33" i="41"/>
  <c r="J79" i="37"/>
  <c r="J79" i="41" s="1"/>
  <c r="J80" i="37"/>
  <c r="J80" i="41" s="1"/>
  <c r="J82" i="37"/>
  <c r="J82" i="41" s="1"/>
  <c r="J81" i="37"/>
  <c r="J81" i="41" s="1"/>
  <c r="I66" i="41"/>
  <c r="J32" i="41"/>
  <c r="I31" i="41"/>
  <c r="J423" i="58"/>
  <c r="J424" i="58"/>
  <c r="E35" i="53" s="1"/>
  <c r="F35" i="53" s="1"/>
  <c r="H29" i="53" s="1"/>
  <c r="J66" i="41"/>
  <c r="I18" i="37"/>
  <c r="I18" i="41" s="1"/>
  <c r="I16" i="37"/>
  <c r="I16" i="41" s="1"/>
  <c r="I15" i="37"/>
  <c r="I17" i="37"/>
  <c r="I63" i="41"/>
  <c r="J34" i="41"/>
  <c r="I32" i="41"/>
  <c r="I49" i="41"/>
  <c r="J31" i="41"/>
  <c r="I34" i="41"/>
  <c r="C58" i="63"/>
  <c r="J15" i="41"/>
  <c r="J50" i="41"/>
  <c r="I80" i="41"/>
  <c r="I33" i="41"/>
  <c r="J17" i="41"/>
  <c r="J47" i="41"/>
  <c r="I423" i="58"/>
  <c r="I424" i="58"/>
  <c r="G242" i="66" s="1"/>
  <c r="J49" i="41"/>
  <c r="C48" i="63"/>
  <c r="J16" i="41"/>
  <c r="J48" i="41"/>
  <c r="J51" i="26"/>
  <c r="H15" i="41"/>
  <c r="H423" i="58"/>
  <c r="H424" i="58"/>
  <c r="H424" i="41" s="1"/>
  <c r="E23" i="53" l="1"/>
  <c r="F23" i="53" s="1"/>
  <c r="H17" i="53" s="1"/>
  <c r="J423" i="37"/>
  <c r="J425" i="37" s="1"/>
  <c r="J424" i="37"/>
  <c r="J424" i="41" s="1"/>
  <c r="C28" i="63"/>
  <c r="I17" i="41"/>
  <c r="C18" i="63"/>
  <c r="I15" i="41"/>
  <c r="I423" i="37"/>
  <c r="I424" i="37"/>
  <c r="I424" i="41" s="1"/>
  <c r="I425" i="58"/>
  <c r="E323" i="38"/>
  <c r="N243" i="66" s="1"/>
  <c r="AB243" i="66" s="1"/>
  <c r="AC243" i="66" s="1"/>
  <c r="G243" i="66"/>
  <c r="G194" i="66"/>
  <c r="E299" i="38"/>
  <c r="N195" i="66" s="1"/>
  <c r="N51" i="74" s="1"/>
  <c r="H423" i="41"/>
  <c r="G195" i="66"/>
  <c r="H425" i="58"/>
  <c r="J425" i="58"/>
  <c r="E347" i="38"/>
  <c r="N291" i="66" s="1"/>
  <c r="G291" i="66"/>
  <c r="E11" i="53"/>
  <c r="F11" i="53" s="1"/>
  <c r="G290" i="66"/>
  <c r="E29" i="53" l="1"/>
  <c r="F29" i="53" s="1"/>
  <c r="G29" i="53" s="1"/>
  <c r="E329" i="38" s="1"/>
  <c r="G98" i="66"/>
  <c r="G98" i="74" s="1"/>
  <c r="J423" i="41"/>
  <c r="E335" i="38"/>
  <c r="N147" i="66" s="1"/>
  <c r="N147" i="74" s="1"/>
  <c r="G147" i="66"/>
  <c r="G147" i="74" s="1"/>
  <c r="G146" i="66"/>
  <c r="G146" i="74" s="1"/>
  <c r="C49" i="63"/>
  <c r="C42" i="63"/>
  <c r="C52" i="63"/>
  <c r="C59" i="63"/>
  <c r="E17" i="53"/>
  <c r="F17" i="53" s="1"/>
  <c r="H425" i="41"/>
  <c r="M3" i="41" s="1"/>
  <c r="C39" i="63"/>
  <c r="C32" i="63"/>
  <c r="I425" i="37"/>
  <c r="E311" i="38"/>
  <c r="N99" i="66" s="1"/>
  <c r="N99" i="74" s="1"/>
  <c r="I423" i="41"/>
  <c r="G99" i="66"/>
  <c r="AB195" i="66"/>
  <c r="AC195" i="66" s="1"/>
  <c r="O195" i="66"/>
  <c r="G51" i="74"/>
  <c r="G50" i="74"/>
  <c r="O243" i="66"/>
  <c r="H5" i="53"/>
  <c r="G5" i="53" s="1"/>
  <c r="E281" i="38" s="1"/>
  <c r="G11" i="53"/>
  <c r="E293" i="38" s="1"/>
  <c r="AB291" i="66"/>
  <c r="AC291" i="66" s="1"/>
  <c r="O291" i="66"/>
  <c r="C29" i="63"/>
  <c r="J425" i="41"/>
  <c r="O3" i="41" s="1"/>
  <c r="C22" i="63"/>
  <c r="AB147" i="66" l="1"/>
  <c r="AC147" i="66" s="1"/>
  <c r="H35" i="53"/>
  <c r="G35" i="53" s="1"/>
  <c r="E341" i="38" s="1"/>
  <c r="J484" i="58" s="1"/>
  <c r="O147" i="66"/>
  <c r="Z147" i="66" s="1"/>
  <c r="M146" i="66"/>
  <c r="J484" i="37"/>
  <c r="AC51" i="74"/>
  <c r="AD51" i="74" s="1"/>
  <c r="O51" i="74"/>
  <c r="Z51" i="66"/>
  <c r="AA51" i="66"/>
  <c r="Z195" i="66"/>
  <c r="AA195" i="66"/>
  <c r="O147" i="74"/>
  <c r="AC147" i="74"/>
  <c r="AD147" i="74" s="1"/>
  <c r="H484" i="58"/>
  <c r="M194" i="66"/>
  <c r="G99" i="74"/>
  <c r="AB99" i="66"/>
  <c r="AC99" i="66" s="1"/>
  <c r="O99" i="66"/>
  <c r="H23" i="53"/>
  <c r="G23" i="53" s="1"/>
  <c r="E317" i="38" s="1"/>
  <c r="G17" i="53"/>
  <c r="E305" i="38" s="1"/>
  <c r="H484" i="37"/>
  <c r="M50" i="66"/>
  <c r="I425" i="41"/>
  <c r="N3" i="41" s="1"/>
  <c r="C19" i="63"/>
  <c r="C12" i="63"/>
  <c r="AA291" i="66" l="1"/>
  <c r="AA147" i="66"/>
  <c r="M290" i="66"/>
  <c r="M146" i="74" s="1"/>
  <c r="Z291" i="66"/>
  <c r="J484" i="41"/>
  <c r="H484" i="41"/>
  <c r="Q194" i="66"/>
  <c r="W194" i="66" s="1"/>
  <c r="Y194" i="66" s="1"/>
  <c r="S194" i="66"/>
  <c r="U194" i="66" s="1"/>
  <c r="O194" i="66"/>
  <c r="AB194" i="66"/>
  <c r="AC194" i="66" s="1"/>
  <c r="Z51" i="74"/>
  <c r="AA51" i="74"/>
  <c r="O99" i="74"/>
  <c r="AC99" i="74"/>
  <c r="AD99" i="74" s="1"/>
  <c r="AA147" i="74"/>
  <c r="Z147" i="74"/>
  <c r="Q146" i="66"/>
  <c r="AB146" i="66"/>
  <c r="AC146" i="66" s="1"/>
  <c r="O146" i="66"/>
  <c r="M98" i="66"/>
  <c r="I484" i="37"/>
  <c r="M242" i="66"/>
  <c r="I484" i="58"/>
  <c r="AB50" i="66"/>
  <c r="AC50" i="66" s="1"/>
  <c r="AE1" i="66" s="1"/>
  <c r="M50" i="74"/>
  <c r="S50" i="66"/>
  <c r="U50" i="66" s="1"/>
  <c r="O50" i="66"/>
  <c r="Q50" i="66"/>
  <c r="W50" i="66" s="1"/>
  <c r="Y50" i="66" s="1"/>
  <c r="AA99" i="66"/>
  <c r="Z99" i="66"/>
  <c r="Z243" i="66"/>
  <c r="AA243" i="66"/>
  <c r="O290" i="66" l="1"/>
  <c r="P290" i="66" s="1"/>
  <c r="V290" i="66" s="1"/>
  <c r="AB290" i="66"/>
  <c r="AC290" i="66" s="1"/>
  <c r="AE3" i="66" s="1"/>
  <c r="Q290" i="66"/>
  <c r="Q146" i="74"/>
  <c r="O146" i="74"/>
  <c r="AC146" i="74"/>
  <c r="AD146" i="74" s="1"/>
  <c r="AF3" i="74" s="1"/>
  <c r="Q50" i="74"/>
  <c r="W50" i="74" s="1"/>
  <c r="Y50" i="74" s="1"/>
  <c r="S50" i="74"/>
  <c r="U50" i="74" s="1"/>
  <c r="AC50" i="74"/>
  <c r="AD50" i="74" s="1"/>
  <c r="AF1" i="74" s="1"/>
  <c r="O50" i="74"/>
  <c r="Q242" i="66"/>
  <c r="AB242" i="66"/>
  <c r="AC242" i="66" s="1"/>
  <c r="O242" i="66"/>
  <c r="I484" i="41"/>
  <c r="Z99" i="74"/>
  <c r="AA99" i="74"/>
  <c r="Q98" i="66"/>
  <c r="M98" i="74"/>
  <c r="AB98" i="66"/>
  <c r="AC98" i="66" s="1"/>
  <c r="O98" i="66"/>
  <c r="P194" i="66"/>
  <c r="Z146" i="66"/>
  <c r="P146" i="66"/>
  <c r="Z290" i="66"/>
  <c r="AA146" i="66"/>
  <c r="AA194" i="66"/>
  <c r="Z50" i="66"/>
  <c r="Z194" i="66"/>
  <c r="AA50" i="66"/>
  <c r="P50" i="66"/>
  <c r="AA290" i="66" l="1"/>
  <c r="W290" i="66"/>
  <c r="Y290" i="66" s="1"/>
  <c r="R290" i="66"/>
  <c r="S290" i="66" s="1"/>
  <c r="U290" i="66" s="1"/>
  <c r="AE2" i="66"/>
  <c r="W146" i="66"/>
  <c r="Y146" i="66" s="1"/>
  <c r="R146" i="66"/>
  <c r="S146" i="66" s="1"/>
  <c r="U146" i="66" s="1"/>
  <c r="V146" i="66"/>
  <c r="V50" i="66"/>
  <c r="R50" i="66"/>
  <c r="P50" i="74"/>
  <c r="Z50" i="74"/>
  <c r="AA50" i="74"/>
  <c r="V194" i="66"/>
  <c r="R194" i="66"/>
  <c r="P242" i="66"/>
  <c r="Z242" i="66"/>
  <c r="AA242" i="66"/>
  <c r="Z98" i="66"/>
  <c r="P98" i="66"/>
  <c r="AA98" i="66"/>
  <c r="Q98" i="74"/>
  <c r="O98" i="74"/>
  <c r="AC98" i="74"/>
  <c r="AD98" i="74" s="1"/>
  <c r="AF2" i="74" s="1"/>
  <c r="AA146" i="74"/>
  <c r="P146" i="74"/>
  <c r="Z146" i="74"/>
  <c r="W242" i="66" l="1"/>
  <c r="Y242" i="66" s="1"/>
  <c r="R242" i="66"/>
  <c r="S242" i="66" s="1"/>
  <c r="U242" i="66" s="1"/>
  <c r="V242" i="66"/>
  <c r="W146" i="74"/>
  <c r="Y146" i="74" s="1"/>
  <c r="R146" i="74"/>
  <c r="S146" i="74" s="1"/>
  <c r="U146" i="74" s="1"/>
  <c r="V146" i="74"/>
  <c r="AA98" i="74"/>
  <c r="P98" i="74"/>
  <c r="Z98" i="74"/>
  <c r="R50" i="74"/>
  <c r="V50" i="74"/>
  <c r="W98" i="66"/>
  <c r="Y98" i="66" s="1"/>
  <c r="R98" i="66"/>
  <c r="S98" i="66" s="1"/>
  <c r="U98" i="66" s="1"/>
  <c r="V98" i="66"/>
  <c r="W98" i="74" l="1"/>
  <c r="Y98" i="74" s="1"/>
  <c r="R98" i="74"/>
  <c r="S98" i="74" s="1"/>
  <c r="U98" i="74" s="1"/>
  <c r="V98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<sst xmlns="http://schemas.openxmlformats.org/spreadsheetml/2006/main" count="4975" uniqueCount="378">
  <si>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</si>
  <si>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</si>
  <si>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</si>
  <si>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</si>
  <si>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</si>
  <si>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</si>
  <si>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</si>
  <si>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</si>
  <si>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</si>
  <si>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</si>
  <si>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</si>
  <si>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</si>
  <si>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</si>
  <si>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</si>
  <si>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</si>
  <si>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</si>
  <si>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</si>
  <si>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</si>
  <si>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</si>
  <si>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</si>
  <si>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</si>
  <si>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</si>
  <si>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</si>
  <si>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</si>
  <si>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</si>
  <si>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</si>
  <si>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</si>
  <si>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</si>
  <si>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</si>
  <si>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</si>
  <si>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</si>
  <si>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</si>
  <si>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</si>
  <si>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</si>
  <si>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</si>
  <si>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</si>
  <si>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</si>
  <si>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</si>
  <si>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</si>
  <si>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</si>
  <si>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</si>
  <si>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</si>
  <si>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</si>
  <si>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</si>
  <si>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</si>
  <si>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</si>
  <si>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</si>
  <si>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</si>
  <si>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</si>
  <si>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</si>
  <si>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</si>
  <si>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</si>
  <si>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</si>
  <si>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</si>
  <si>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</si>
  <si>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</si>
  <si>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</si>
  <si>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</si>
  <si>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</si>
  <si>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</si>
  <si>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</si>
  <si>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</si>
  <si>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</si>
  <si>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</si>
  <si>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</si>
  <si>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</si>
  <si>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</si>
  <si>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</si>
  <si>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</si>
  <si>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</si>
  <si>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</si>
  <si>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</si>
  <si>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</si>
  <si>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</si>
  <si>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</si>
  <si>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</si>
  <si>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</si>
  <si>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</si>
  <si>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</si>
  <si>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</si>
  <si>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</si>
  <si>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</si>
  <si>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</si>
  <si>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</si>
  <si>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</si>
  <si>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</si>
  <si>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</si>
  <si>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</si>
  <si>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</si>
  <si>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</si>
  <si>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</si>
  <si>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</si>
  <si>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</si>
  <si>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</si>
  <si>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</si>
  <si>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</si>
  <si>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</si>
  <si>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</si>
  <si>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</si>
  <si>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</si>
  <si>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</si>
  <si>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</si>
  <si>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</si>
  <si>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</si>
  <si>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</si>
  <si>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</si>
  <si>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</si>
  <si>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</si>
  <si>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</si>
  <si>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</si>
  <si>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</si>
  <si>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</si>
  <si>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</si>
  <si>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</si>
  <si>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</si>
  <si>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</si>
  <si>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</si>
  <si>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</si>
  <si>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</si>
  <si>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</si>
  <si>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</si>
  <si>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</si>
  <si>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</si>
  <si>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</si>
  <si>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</si>
  <si>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</si>
  <si>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</si>
  <si>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</si>
  <si>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</si>
  <si>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</si>
  <si>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</si>
  <si>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</si>
  <si>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</si>
  <si>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</si>
  <si>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</si>
  <si>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</si>
  <si>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</si>
  <si>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</si>
  <si>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</si>
  <si>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</si>
  <si>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</si>
  <si>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</si>
  <si>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</si>
  <si>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</si>
  <si>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</si>
  <si>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</si>
  <si>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</si>
  <si>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</si>
  <si>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</si>
  <si>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</si>
  <si>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</si>
  <si>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</si>
  <si>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</si>
  <si>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</si>
  <si>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</si>
  <si>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</si>
  <si>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</si>
  <si>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</si>
  <si>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</si>
  <si>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</si>
  <si>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</si>
  <si>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</si>
  <si>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</si>
  <si>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</si>
  <si>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</si>
  <si>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</si>
  <si>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</si>
  <si>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</si>
  <si>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</si>
  <si>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</si>
  <si>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</si>
  <si>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</si>
  <si>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</si>
  <si>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</si>
  <si>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</si>
  <si>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</si>
  <si>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</si>
  <si>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</si>
  <si>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</si>
  <si>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</si>
  <si>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</si>
  <si>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</si>
  <si>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</si>
  <si>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</si>
  <si>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</si>
  <si>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</si>
  <si>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</si>
  <si>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</si>
  <si>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</si>
  <si>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</si>
  <si>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</si>
  <si>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</si>
  <si>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</si>
  <si>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</si>
  <si>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</si>
  <si>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</si>
  <si>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</si>
  <si>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</si>
  <si>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</si>
  <si>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</si>
  <si>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</si>
  <si>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</si>
  <si>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</si>
  <si>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</si>
  <si>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</si>
  <si>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</si>
  <si>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</si>
  <si>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</si>
  <si>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</si>
  <si>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</si>
  <si>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</si>
  <si>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</si>
  <si>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</si>
  <si>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</si>
  <si>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</si>
  <si>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</si>
  <si>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</si>
  <si>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</si>
  <si>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</si>
  <si>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</si>
  <si>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</si>
  <si>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</si>
  <si>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</si>
  <si>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</si>
  <si>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</si>
  <si>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</si>
  <si>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</si>
  <si>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</si>
  <si>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</si>
  <si>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</si>
  <si>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</si>
  <si>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</si>
  <si>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</si>
  <si>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</si>
  <si>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</si>
  <si>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</si>
  <si>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</si>
  <si>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</si>
  <si>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</si>
  <si>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</si>
  <si>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</si>
  <si>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</si>
  <si>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</si>
  <si>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</si>
  <si>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</si>
  <si>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</si>
  <si>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</si>
  <si>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</si>
  <si>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</si>
  <si>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</si>
  <si>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</si>
  <si>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</si>
  <si>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</si>
  <si>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</si>
  <si>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</si>
  <si>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</si>
  <si>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</si>
  <si>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</si>
  <si>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</si>
  <si>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</si>
  <si>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</si>
  <si>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</si>
  <si>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</si>
  <si>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</si>
  <si>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</si>
  <si>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</si>
  <si>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</si>
  <si>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</si>
  <si>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</si>
  <si>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</si>
  <si>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</si>
  <si>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</si>
  <si>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</si>
  <si>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</si>
  <si>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</si>
  <si>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</si>
  <si>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</si>
  <si>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</si>
  <si>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</si>
  <si>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</si>
  <si>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</si>
  <si>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</si>
  <si>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</si>
  <si>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</si>
  <si>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</si>
  <si>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</si>
  <si>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</si>
  <si>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</si>
  <si>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</si>
  <si>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</si>
  <si>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</si>
  <si>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</si>
  <si>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</si>
  <si>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</si>
  <si>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</si>
  <si>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</si>
  <si>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</si>
  <si>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</si>
  <si>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</si>
  <si>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</si>
  <si>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</si>
  <si>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</si>
  <si>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</si>
  <si>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</si>
  <si>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</si>
  <si>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</si>
  <si>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</si>
  <si>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</si>
  <si>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</si>
  <si>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</si>
  <si>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</si>
  <si>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</si>
  <si>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</si>
  <si>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</si>
  <si>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</si>
  <si>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</si>
  <si>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</si>
  <si>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</si>
  <si>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</si>
  <si>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</si>
  <si>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</si>
  <si>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</si>
  <si>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</si>
  <si>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</si>
  <si>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</si>
  <si>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</si>
  <si>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</si>
  <si>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</si>
  <si>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</si>
  <si>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</si>
  <si>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</si>
  <si>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</si>
  <si>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</si>
  <si>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</si>
  <si>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</si>
  <si>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</si>
  <si>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Fremtidsbillede 1: Optimering</t>
  </si>
  <si>
    <t>Udregninger til CONCITO</t>
  </si>
  <si>
    <t>Produktion minus forbrug til dem med 1 [tonVV]</t>
  </si>
  <si>
    <t>Til kcal</t>
  </si>
  <si>
    <t>Produktion [billion kcal]</t>
  </si>
  <si>
    <t>Kød</t>
  </si>
  <si>
    <t>Kategori til kalorier</t>
  </si>
  <si>
    <t>Cereals - excluding beer</t>
  </si>
  <si>
    <t>Starchy roots</t>
  </si>
  <si>
    <t>Sugar crops</t>
  </si>
  <si>
    <t>Sugar &amp; sweeteners</t>
  </si>
  <si>
    <t>Pulses</t>
  </si>
  <si>
    <t>Treenuts</t>
  </si>
  <si>
    <t>Oilcrops</t>
  </si>
  <si>
    <t>Vegetable oils</t>
  </si>
  <si>
    <t>Vegetables</t>
  </si>
  <si>
    <t>Fruits - excluding wine</t>
  </si>
  <si>
    <t>Stimulants</t>
  </si>
  <si>
    <t>Spices</t>
  </si>
  <si>
    <t>Alcoholic beverages</t>
  </si>
  <si>
    <t>Meat</t>
  </si>
  <si>
    <t>Offals</t>
  </si>
  <si>
    <t>Animal fats</t>
  </si>
  <si>
    <t>Eggs</t>
  </si>
  <si>
    <t>Milk - excluding butter</t>
  </si>
  <si>
    <t>Fish, seafood</t>
  </si>
  <si>
    <t>Aquatic products, other</t>
  </si>
  <si>
    <t>Miscellaneous</t>
  </si>
  <si>
    <t>Nødder</t>
  </si>
  <si>
    <t>Stimulanter</t>
  </si>
  <si>
    <t>Krydderier</t>
  </si>
  <si>
    <t>Rapport</t>
  </si>
  <si>
    <t>Fisk mm</t>
  </si>
  <si>
    <t>Olieafgrøder</t>
  </si>
  <si>
    <t>Model</t>
  </si>
  <si>
    <t>Gruppe</t>
  </si>
  <si>
    <t>billion kcal</t>
  </si>
  <si>
    <t>Difference 2019</t>
  </si>
  <si>
    <t>kcal</t>
  </si>
  <si>
    <t>ton</t>
  </si>
  <si>
    <t>https://static-curis.ku.dk/portal/files/209323723/IFRO_Udredning_2016_30.pdf</t>
  </si>
  <si>
    <t>kton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</si>
</sst>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  <numFmt numFmtId="175" formatCode="#,##0.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4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9" fontId="0" fillId="2" borderId="0" xfId="2" applyFont="1" applyFill="1" applyBorder="1"/>
    <xf numFmtId="9" fontId="0" fillId="2" borderId="0" xfId="0" applyNumberFormat="1" applyFill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left"/>
    </xf>
    <xf numFmtId="0" fontId="6" fillId="2" borderId="2" xfId="1" applyFont="1" applyFill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Alignment="1">
      <alignment horizontal="center"/>
    </xf>
    <xf numFmtId="1" fontId="0" fillId="7" borderId="0" xfId="2" applyNumberFormat="1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1" fontId="0" fillId="7" borderId="0" xfId="0" applyNumberFormat="1" applyFill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1" fontId="0" fillId="2" borderId="0" xfId="0" applyNumberFormat="1" applyFill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2" fillId="0" borderId="0" xfId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49" xfId="0" applyFont="1" applyBorder="1"/>
    <xf numFmtId="0" fontId="1" fillId="0" borderId="50" xfId="0" applyFont="1" applyBorder="1"/>
    <xf numFmtId="0" fontId="1" fillId="0" borderId="6" xfId="0" applyFont="1" applyBorder="1"/>
    <xf numFmtId="0" fontId="1" fillId="0" borderId="7" xfId="0" applyFon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25" xfId="0" applyNumberFormat="1" applyBorder="1"/>
    <xf numFmtId="3" fontId="0" fillId="0" borderId="14" xfId="0" applyNumberFormat="1" applyBorder="1"/>
    <xf numFmtId="3" fontId="0" fillId="0" borderId="17" xfId="0" applyNumberFormat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Alignment="1">
      <alignment wrapText="1"/>
    </xf>
    <xf numFmtId="0" fontId="20" fillId="0" borderId="0" xfId="0" applyFont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>
      <alignment horizontal="left"/>
    </xf>
    <xf numFmtId="0" fontId="27" fillId="2" borderId="5" xfId="1" applyFont="1" applyFill="1" applyBorder="1" applyAlignment="1">
      <alignment horizontal="left"/>
    </xf>
    <xf numFmtId="0" fontId="27" fillId="2" borderId="2" xfId="1" applyFont="1" applyFill="1" applyBorder="1" applyAlignment="1">
      <alignment horizontal="left"/>
    </xf>
    <xf numFmtId="0" fontId="27" fillId="2" borderId="0" xfId="1" applyFont="1" applyFill="1" applyBorder="1" applyAlignment="1">
      <alignment horizontal="left"/>
    </xf>
    <xf numFmtId="165" fontId="26" fillId="2" borderId="0" xfId="5" applyNumberFormat="1" applyFont="1" applyFill="1" applyBorder="1"/>
    <xf numFmtId="164" fontId="26" fillId="2" borderId="0" xfId="5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9" fontId="15" fillId="4" borderId="1" xfId="2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3" borderId="0" xfId="0" applyFill="1"/>
    <xf numFmtId="0" fontId="0" fillId="34" borderId="0" xfId="0" applyFill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/>
    <xf numFmtId="0" fontId="0" fillId="52" borderId="0" xfId="0" applyFill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/>
    <xf numFmtId="0" fontId="0" fillId="62" borderId="0" xfId="0" applyFill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9" xfId="0" applyBorder="1" applyAlignment="1">
      <alignment horizontal="center"/>
    </xf>
    <xf numFmtId="0" fontId="1" fillId="33" borderId="0" xfId="0" applyFont="1" applyFill="1"/>
    <xf numFmtId="175" fontId="0" fillId="0" borderId="0" xfId="0" applyNumberFormat="1"/>
    <xf numFmtId="0" fontId="18" fillId="0" borderId="0" xfId="11"/>
    <xf numFmtId="167" fontId="0" fillId="14" borderId="1" xfId="2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0" xfId="0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0" fillId="63" borderId="0" xfId="0" applyFill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3.xml"/><Relationship Id="rId47" Type="http://schemas.openxmlformats.org/officeDocument/2006/relationships/pivotCacheDefinition" Target="pivotCache/pivotCacheDefinition8.xml"/><Relationship Id="rId50" Type="http://schemas.openxmlformats.org/officeDocument/2006/relationships/sharedStrings" Target="sharedStrings.xml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1.xml"/><Relationship Id="rId45" Type="http://schemas.openxmlformats.org/officeDocument/2006/relationships/pivotCacheDefinition" Target="pivotCache/pivotCacheDefinition6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5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4.xml"/><Relationship Id="rId48" Type="http://schemas.openxmlformats.org/officeDocument/2006/relationships/theme" Target="theme/theme1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7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2.xml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2469781.111111111</c:v>
                </c:pt>
                <c:pt idx="2">
                  <c:v>2158669.9999999995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549664.07407407404</c:v>
                </c:pt>
                <c:pt idx="2">
                  <c:v>675590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627224.81481481483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3632152.2628168822</c:v>
                </c:pt>
                <c:pt idx="2">
                  <c:v>462032.60052467551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8489319.4299691841</c:v>
                </c:pt>
                <c:pt idx="2">
                  <c:v>5014267.8611244122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-253714.21368796375</c:v>
                </c:pt>
                <c:pt idx="2">
                  <c:v>-22262.763056218977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9752909.8767487388</c:v>
                </c:pt>
                <c:pt idx="2">
                  <c:v>633807.98066069442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287248.39592951711</c:v>
                </c:pt>
                <c:pt idx="2">
                  <c:v>537686.14771168726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4891.4296197465119</c:v>
                </c:pt>
                <c:pt idx="2">
                  <c:v>299917.46027799317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245707.92287855776</c:v>
                </c:pt>
                <c:pt idx="2">
                  <c:v>754498.9869193387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70179.935803594577</c:v>
                </c:pt>
                <c:pt idx="2">
                  <c:v>215005.07896238801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18329.447243404069</c:v>
                </c:pt>
                <c:pt idx="2">
                  <c:v>16356.183104388647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53439.478453935844</c:v>
                </c:pt>
                <c:pt idx="2">
                  <c:v>143.34379382222059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992405.37867281248</c:v>
                </c:pt>
                <c:pt idx="2">
                  <c:v>2660.7331259514922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136417.13303535167</c:v>
                </c:pt>
                <c:pt idx="2">
                  <c:v>483.5810118234416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67538.772462970126</c:v>
                </c:pt>
                <c:pt idx="2">
                  <c:v>162.57166940822827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155662.58963035964</c:v>
                </c:pt>
                <c:pt idx="2">
                  <c:v>322742.34067986236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31643.793284765423</c:v>
                </c:pt>
                <c:pt idx="2">
                  <c:v>16.412163123889165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295381.28969570249</c:v>
                </c:pt>
                <c:pt idx="2">
                  <c:v>2147.2082115244143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8013.7680697060587</c:v>
                </c:pt>
                <c:pt idx="2">
                  <c:v>6348.1779255936181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101970.2100146141</c:v>
                </c:pt>
                <c:pt idx="2">
                  <c:v>501.7744430942368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14.12423989447726</c:v>
                </c:pt>
                <c:pt idx="2">
                  <c:v>8.6827009518271741</c:v>
                </c:pt>
                <c:pt idx="3">
                  <c:v>7.483154704207001</c:v>
                </c:pt>
                <c:pt idx="4">
                  <c:v>3.9924514842057848</c:v>
                </c:pt>
                <c:pt idx="5">
                  <c:v>5.0333912548142052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24.393200841877629</c:v>
                </c:pt>
                <c:pt idx="2">
                  <c:v>64.175137325746221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27.63117559647575</c:v>
                </c:pt>
                <c:pt idx="2">
                  <c:v>13.732936241351867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0.93973134231983635</c:v>
                </c:pt>
                <c:pt idx="2">
                  <c:v>6.0547705128400089E-2</c:v>
                </c:pt>
                <c:pt idx="3">
                  <c:v>5.0922829580050024</c:v>
                </c:pt>
                <c:pt idx="4">
                  <c:v>10.114954755047025</c:v>
                </c:pt>
                <c:pt idx="5">
                  <c:v>1.2624378640218132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7.2413089721898078</c:v>
                </c:pt>
                <c:pt idx="2">
                  <c:v>14.654531654055848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45.055169098464063</c:v>
                </c:pt>
                <c:pt idx="2">
                  <c:v>45.041720198799787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1081138.0604123813</c:v>
                </c:pt>
                <c:pt idx="2">
                  <c:v>1009103.8878695687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2911715.3446413972</c:v>
                </c:pt>
                <c:pt idx="2">
                  <c:v>9766445.2482961845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2320481.2029949962</c:v>
                </c:pt>
                <c:pt idx="2">
                  <c:v>1129374.4698903398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1516304.9496731197</c:v>
                </c:pt>
                <c:pt idx="2">
                  <c:v>188407.19869176933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1496587.689162788</c:v>
                </c:pt>
                <c:pt idx="2">
                  <c:v>1506464.0604055864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48910.366343274291</c:v>
                </c:pt>
                <c:pt idx="5">
                  <c:v>6174.5010966237514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2106143.9491047473</c:v>
                </c:pt>
                <c:pt idx="2">
                  <c:v>407102.0419736823</c:v>
                </c:pt>
                <c:pt idx="15">
                  <c:v>823764.99285714305</c:v>
                </c:pt>
                <c:pt idx="16">
                  <c:v>265775.30786321807</c:v>
                </c:pt>
                <c:pt idx="17">
                  <c:v>17124.13351159139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6572.2723545464542</c:v>
                </c:pt>
                <c:pt idx="2">
                  <c:v>5480.9700138047265</c:v>
                </c:pt>
                <c:pt idx="15">
                  <c:v>4441.5</c:v>
                </c:pt>
                <c:pt idx="16">
                  <c:v>2190.7574515154847</c:v>
                </c:pt>
                <c:pt idx="17">
                  <c:v>608.99666820052505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9280062.7029926386</c:v>
                </c:pt>
                <c:pt idx="5">
                  <c:v>1171525.8261246812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586245.08547563502</c:v>
                </c:pt>
                <c:pt idx="5">
                  <c:v>74008.256199809693</c:v>
                </c:pt>
                <c:pt idx="9">
                  <c:v>1895494.5192748301</c:v>
                </c:pt>
                <c:pt idx="10">
                  <c:v>2110603.0181052475</c:v>
                </c:pt>
                <c:pt idx="11">
                  <c:v>1328675.8469298114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3661484.3693090063</c:v>
                </c:pt>
                <c:pt idx="5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4458315.7543181824</c:v>
                </c:pt>
                <c:pt idx="5">
                  <c:v>562822.92634918995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6149984.92344434</c:v>
                </c:pt>
                <c:pt idx="2">
                  <c:v>756558.64442740742</c:v>
                </c:pt>
                <c:pt idx="15">
                  <c:v>9696490.333333334</c:v>
                </c:pt>
                <c:pt idx="16">
                  <c:v>2049994.9744814469</c:v>
                </c:pt>
                <c:pt idx="17">
                  <c:v>84062.071603045246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1149393.6090669457</c:v>
                </c:pt>
                <c:pt idx="5">
                  <c:v>145100.77577065813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4289846.7146913484</c:v>
                </c:pt>
                <c:pt idx="5">
                  <c:v>541555.20034970809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646545.44394551869</c:v>
                </c:pt>
                <c:pt idx="20">
                  <c:v>1308440.3262549867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637872.69439353561</c:v>
                </c:pt>
                <c:pt idx="5">
                  <c:v>80525.785135134764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29889.668320889847</c:v>
                </c:pt>
                <c:pt idx="5">
                  <c:v>3773.3062257145148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5448586.1690262407</c:v>
                </c:pt>
                <c:pt idx="2">
                  <c:v>6751934.1392240729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5715341.1010015961</c:v>
                </c:pt>
                <c:pt idx="2">
                  <c:v>0</c:v>
                </c:pt>
                <c:pt idx="15">
                  <c:v>14742130.666666664</c:v>
                </c:pt>
                <c:pt idx="16">
                  <c:v>1905113.7003338654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192072.11069021252</c:v>
                </c:pt>
                <c:pt idx="11">
                  <c:v>143523.94669780202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2864790.7596825948</c:v>
                </c:pt>
                <c:pt idx="11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162355.24383392438</c:v>
                </c:pt>
                <c:pt idx="5">
                  <c:v>20495.91336240384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206894.54206256595</c:v>
                </c:pt>
                <c:pt idx="11">
                  <c:v>418700.9044015957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12803468.568539068</c:v>
                </c:pt>
                <c:pt idx="17">
                  <c:v>843173.48136747919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1985633.2267312168</c:v>
                </c:pt>
                <c:pt idx="17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788679.64758670493</c:v>
                </c:pt>
                <c:pt idx="14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233567.51949445403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1117452.9738889411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1985633.2267312168</c:v>
                </c:pt>
                <c:pt idx="2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B-47EB-BAD2-C631EBF5A48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121218.25849421723</c:v>
                </c:pt>
                <c:pt idx="2">
                  <c:v>38234.096623569851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5B-47EB-BAD2-C631EBF5A482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516494.58495904895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5B-47EB-BAD2-C631EBF5A482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Mejeriprodukter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712841.35005861125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5B-47EB-BAD2-C631EBF5A482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51843.324620132888</c:v>
                </c:pt>
                <c:pt idx="2">
                  <c:v>112903.28792996558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5B-47EB-BAD2-C631EBF5A482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79045.945262496738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45B-47EB-BAD2-C631EBF5A482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172.32701619649208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45B-47EB-BAD2-C631EBF5A482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199508.1218701629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45B-47EB-BAD2-C631EBF5A482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45B-47EB-BAD2-C631EBF5A482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441805.67568415956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45B-47EB-BAD2-C631EBF5A482}"/>
            </c:ext>
          </c:extLst>
        </c:ser>
        <c:ser>
          <c:idx val="17"/>
          <c:order val="17"/>
          <c:tx>
            <c:strRef>
              <c:f>'Resultat-Import'!$S$4:$S$5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'Resultat-Import'!$S$6:$S$9</c:f>
              <c:numCache>
                <c:formatCode>0</c:formatCode>
                <c:ptCount val="3"/>
                <c:pt idx="0">
                  <c:v>5421074.2654714445</c:v>
                </c:pt>
                <c:pt idx="1">
                  <c:v>3661484.3693090063</c:v>
                </c:pt>
                <c:pt idx="2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45B-47EB-BAD2-C631EBF5A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997537.40382014518</c:v>
                </c:pt>
                <c:pt idx="2">
                  <c:v>1913259.3368418217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5876128.6539074313</c:v>
                </c:pt>
                <c:pt idx="2">
                  <c:v>7470808.2181634232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436272.67517169751</c:v>
                </c:pt>
                <c:pt idx="2">
                  <c:v>28109.42670770664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41032.931452540652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1401586.7021664588</c:v>
                </c:pt>
                <c:pt idx="2">
                  <c:v>7956.3105810060788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7296587.5607431894</c:v>
                </c:pt>
                <c:pt idx="2">
                  <c:v>34880161.601057798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1033865.5069852719</c:v>
                </c:pt>
                <c:pt idx="2">
                  <c:v>4170005.4391380921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591642.55905312812</c:v>
                </c:pt>
                <c:pt idx="2">
                  <c:v>382368.42148557794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1933983.9629797461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1698285.9277597938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1703831.2509753662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1102402.5067304149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3089251.4514141078</c:v>
                </c:pt>
                <c:pt idx="2">
                  <c:v>321091.18690605665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1787607.2617034707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112106.64759676083</c:v>
                </c:pt>
                <c:pt idx="2">
                  <c:v>5859.9303124103544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47458.843865180679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596705.34393487545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1816195.3896754137</c:v>
                </c:pt>
                <c:pt idx="2">
                  <c:v>750214.90435823007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1852933.4676486014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871023.20428516739</c:v>
                </c:pt>
                <c:pt idx="2">
                  <c:v>756682.92027104762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1912360.1390352619</c:v>
                </c:pt>
                <c:pt idx="2">
                  <c:v>5375.3604753848949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6-4A3D-9CF4-F1A3C26AFB0D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160917.47813883494</c:v>
                </c:pt>
                <c:pt idx="2">
                  <c:v>633724.24976508948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6-4A3D-9CF4-F1A3C26AF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2469781.111111111</c:v>
                </c:pt>
                <c:pt idx="2">
                  <c:v>2158669.9999999995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549664.07407407404</c:v>
                </c:pt>
                <c:pt idx="2">
                  <c:v>675590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627224.81481481483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3632152.2628168822</c:v>
                </c:pt>
                <c:pt idx="2">
                  <c:v>462032.60052467551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8489319.4299691841</c:v>
                </c:pt>
                <c:pt idx="2">
                  <c:v>5014267.8611244122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-253714.21368796375</c:v>
                </c:pt>
                <c:pt idx="2">
                  <c:v>-22262.763056218977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9752909.8767487388</c:v>
                </c:pt>
                <c:pt idx="2">
                  <c:v>633807.98066069442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  <c:pivotFmt>
        <c:idx val="527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233567.51949445403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1117452.9738889411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1985633.2267312168</c:v>
                </c:pt>
                <c:pt idx="2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B6-4B1D-8AE5-3907A2D8091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121218.25849421723</c:v>
                </c:pt>
                <c:pt idx="2">
                  <c:v>38234.096623569851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B6-4B1D-8AE5-3907A2D80917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516494.58495904895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B6-4B1D-8AE5-3907A2D80917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Mejeriprodukter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712841.35005861125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B6-4B1D-8AE5-3907A2D80917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51843.324620132888</c:v>
                </c:pt>
                <c:pt idx="2">
                  <c:v>112903.28792996558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B6-4B1D-8AE5-3907A2D80917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79045.945262496738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B6-4B1D-8AE5-3907A2D80917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172.32701619649208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B6-4B1D-8AE5-3907A2D80917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199508.1218701629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B6-4B1D-8AE5-3907A2D80917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6B6-4B1D-8AE5-3907A2D80917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441805.67568415956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6B6-4B1D-8AE5-3907A2D80917}"/>
            </c:ext>
          </c:extLst>
        </c:ser>
        <c:ser>
          <c:idx val="17"/>
          <c:order val="17"/>
          <c:tx>
            <c:strRef>
              <c:f>'Resultat-Import'!$S$4:$S$5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'Resultat-Import'!$S$6:$S$9</c:f>
              <c:numCache>
                <c:formatCode>0</c:formatCode>
                <c:ptCount val="3"/>
                <c:pt idx="0">
                  <c:v>5421074.2654714445</c:v>
                </c:pt>
                <c:pt idx="1">
                  <c:v>3661484.3693090063</c:v>
                </c:pt>
                <c:pt idx="2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6B6-4B1D-8AE5-3907A2D80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997537.40382014518</c:v>
                </c:pt>
                <c:pt idx="2">
                  <c:v>1913259.3368418217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5876128.6539074313</c:v>
                </c:pt>
                <c:pt idx="2">
                  <c:v>7470808.2181634232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436272.67517169751</c:v>
                </c:pt>
                <c:pt idx="2">
                  <c:v>28109.42670770664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41032.931452540652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1401586.7021664588</c:v>
                </c:pt>
                <c:pt idx="2">
                  <c:v>7956.3105810060788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7296587.5607431894</c:v>
                </c:pt>
                <c:pt idx="2">
                  <c:v>34880161.601057798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1033865.5069852719</c:v>
                </c:pt>
                <c:pt idx="2">
                  <c:v>4170005.4391380921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591642.55905312812</c:v>
                </c:pt>
                <c:pt idx="2">
                  <c:v>382368.42148557794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1933983.9629797461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1698285.9277597938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1703831.2509753662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1102402.5067304149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3089251.4514141078</c:v>
                </c:pt>
                <c:pt idx="2">
                  <c:v>321091.18690605665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1787607.2617034707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112106.64759676083</c:v>
                </c:pt>
                <c:pt idx="2">
                  <c:v>5859.9303124103544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47458.843865180679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596705.34393487545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1816195.3896754137</c:v>
                </c:pt>
                <c:pt idx="2">
                  <c:v>750214.90435823007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1852933.4676486014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871023.20428516739</c:v>
                </c:pt>
                <c:pt idx="2">
                  <c:v>756682.92027104762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1912360.1390352619</c:v>
                </c:pt>
                <c:pt idx="2">
                  <c:v>5375.3604753848949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F-414A-85C3-6AFE5B6DBD68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160917.47813883494</c:v>
                </c:pt>
                <c:pt idx="2">
                  <c:v>633724.24976508948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F-414A-85C3-6AFE5B6DB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3632152.2628168822</c:v>
                </c:pt>
                <c:pt idx="2">
                  <c:v>462032.60052467551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8489319.4299691841</c:v>
                </c:pt>
                <c:pt idx="2">
                  <c:v>5014267.8611244122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-253714.21368796375</c:v>
                </c:pt>
                <c:pt idx="2">
                  <c:v>-22262.763056218977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9752909.8767487388</c:v>
                </c:pt>
                <c:pt idx="2">
                  <c:v>633807.98066069442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233567.51949445403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1117452.9738889411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1985633.2267312168</c:v>
                </c:pt>
                <c:pt idx="2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12-4D13-9A5D-DB714380E4B1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121218.25849421723</c:v>
                </c:pt>
                <c:pt idx="2">
                  <c:v>38234.096623569851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12-4D13-9A5D-DB714380E4B1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516494.58495904895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12-4D13-9A5D-DB714380E4B1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Mejeriprodukter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712841.35005861125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12-4D13-9A5D-DB714380E4B1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51843.324620132888</c:v>
                </c:pt>
                <c:pt idx="2">
                  <c:v>112903.28792996558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12-4D13-9A5D-DB714380E4B1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79045.945262496738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12-4D13-9A5D-DB714380E4B1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172.32701619649208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12-4D13-9A5D-DB714380E4B1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199508.1218701629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12-4D13-9A5D-DB714380E4B1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12-4D13-9A5D-DB714380E4B1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441805.67568415956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12-4D13-9A5D-DB714380E4B1}"/>
            </c:ext>
          </c:extLst>
        </c:ser>
        <c:ser>
          <c:idx val="17"/>
          <c:order val="17"/>
          <c:tx>
            <c:strRef>
              <c:f>'Resultat-Import'!$S$4:$S$5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'Resultat-Import'!$S$6:$S$9</c:f>
              <c:numCache>
                <c:formatCode>0</c:formatCode>
                <c:ptCount val="3"/>
                <c:pt idx="0">
                  <c:v>5421074.2654714445</c:v>
                </c:pt>
                <c:pt idx="1">
                  <c:v>3661484.3693090063</c:v>
                </c:pt>
                <c:pt idx="2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12-4D13-9A5D-DB714380E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997537.40382014518</c:v>
                </c:pt>
                <c:pt idx="2">
                  <c:v>1913259.3368418217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5876128.6539074313</c:v>
                </c:pt>
                <c:pt idx="2">
                  <c:v>7470808.2181634232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436272.67517169751</c:v>
                </c:pt>
                <c:pt idx="2">
                  <c:v>28109.42670770664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41032.931452540652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1401586.7021664588</c:v>
                </c:pt>
                <c:pt idx="2">
                  <c:v>7956.3105810060788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7296587.5607431894</c:v>
                </c:pt>
                <c:pt idx="2">
                  <c:v>34880161.601057798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1033865.5069852719</c:v>
                </c:pt>
                <c:pt idx="2">
                  <c:v>4170005.4391380921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591642.55905312812</c:v>
                </c:pt>
                <c:pt idx="2">
                  <c:v>382368.42148557794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1933983.9629797461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1698285.9277597938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1703831.2509753662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1102402.5067304149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3089251.4514141078</c:v>
                </c:pt>
                <c:pt idx="2">
                  <c:v>321091.18690605665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1787607.2617034707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112106.64759676083</c:v>
                </c:pt>
                <c:pt idx="2">
                  <c:v>5859.9303124103544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47458.843865180679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596705.34393487545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1816195.3896754137</c:v>
                </c:pt>
                <c:pt idx="2">
                  <c:v>750214.90435823007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1852933.4676486014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871023.20428516739</c:v>
                </c:pt>
                <c:pt idx="2">
                  <c:v>756682.92027104762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1912360.1390352619</c:v>
                </c:pt>
                <c:pt idx="2">
                  <c:v>5375.3604753848949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B-4381-B7DE-6FF852E1CC0F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160917.47813883494</c:v>
                </c:pt>
                <c:pt idx="2">
                  <c:v>633724.24976508948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DB-4381-B7DE-6FF852E1C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2864790.7596825948</c:v>
                </c:pt>
                <c:pt idx="2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788679.64758670493</c:v>
                </c:pt>
                <c:pt idx="2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4749.2767790968155</c:v>
                </c:pt>
                <c:pt idx="2">
                  <c:v>16547.038499606464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42743.491011871345</c:v>
                </c:pt>
                <c:pt idx="2">
                  <c:v>148923.34649645825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4749.2767790968155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42743.491011871345</c:v>
                </c:pt>
                <c:pt idx="2">
                  <c:v>148923.34649645828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997537.40382014518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1913259.3368418217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48910.366343274291</c:v>
                </c:pt>
                <c:pt idx="5">
                  <c:v>6174.5010966237514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2106143.9491047473</c:v>
                </c:pt>
                <c:pt idx="2">
                  <c:v>407102.0419736823</c:v>
                </c:pt>
                <c:pt idx="15">
                  <c:v>823764.99285714305</c:v>
                </c:pt>
                <c:pt idx="16">
                  <c:v>265775.30786321807</c:v>
                </c:pt>
                <c:pt idx="17">
                  <c:v>17124.13351159139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6572.2723545464542</c:v>
                </c:pt>
                <c:pt idx="2">
                  <c:v>5480.9700138047265</c:v>
                </c:pt>
                <c:pt idx="15">
                  <c:v>4441.5</c:v>
                </c:pt>
                <c:pt idx="16">
                  <c:v>2190.7574515154847</c:v>
                </c:pt>
                <c:pt idx="17">
                  <c:v>608.99666820052505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9280062.7029926386</c:v>
                </c:pt>
                <c:pt idx="5">
                  <c:v>1171525.8261246812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586245.08547563502</c:v>
                </c:pt>
                <c:pt idx="5">
                  <c:v>74008.256199809693</c:v>
                </c:pt>
                <c:pt idx="9">
                  <c:v>1895494.5192748301</c:v>
                </c:pt>
                <c:pt idx="10">
                  <c:v>2110603.0181052475</c:v>
                </c:pt>
                <c:pt idx="11">
                  <c:v>1328675.8469298114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3661484.3693090063</c:v>
                </c:pt>
                <c:pt idx="5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4458315.7543181824</c:v>
                </c:pt>
                <c:pt idx="5">
                  <c:v>562822.92634918995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6149984.92344434</c:v>
                </c:pt>
                <c:pt idx="2">
                  <c:v>756558.64442740742</c:v>
                </c:pt>
                <c:pt idx="15">
                  <c:v>9696490.333333334</c:v>
                </c:pt>
                <c:pt idx="16">
                  <c:v>2049994.9744814469</c:v>
                </c:pt>
                <c:pt idx="17">
                  <c:v>84062.071603045246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1149393.6090669457</c:v>
                </c:pt>
                <c:pt idx="5">
                  <c:v>145100.77577065813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4289846.7146913484</c:v>
                </c:pt>
                <c:pt idx="5">
                  <c:v>541555.20034970809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646545.44394551869</c:v>
                </c:pt>
                <c:pt idx="20">
                  <c:v>1308440.3262549867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637872.69439353561</c:v>
                </c:pt>
                <c:pt idx="5">
                  <c:v>80525.785135134764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29889.668320889847</c:v>
                </c:pt>
                <c:pt idx="5">
                  <c:v>3773.3062257145148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5448586.1690262407</c:v>
                </c:pt>
                <c:pt idx="2">
                  <c:v>6751934.1392240729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5715341.1010015961</c:v>
                </c:pt>
                <c:pt idx="2">
                  <c:v>0</c:v>
                </c:pt>
                <c:pt idx="15">
                  <c:v>14742130.666666664</c:v>
                </c:pt>
                <c:pt idx="16">
                  <c:v>1905113.7003338654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192072.11069021252</c:v>
                </c:pt>
                <c:pt idx="11">
                  <c:v>143523.94669780202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2864790.7596825948</c:v>
                </c:pt>
                <c:pt idx="11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162355.24383392438</c:v>
                </c:pt>
                <c:pt idx="5">
                  <c:v>20495.91336240384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206894.54206256595</c:v>
                </c:pt>
                <c:pt idx="11">
                  <c:v>418700.9044015957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12803468.568539068</c:v>
                </c:pt>
                <c:pt idx="17">
                  <c:v>843173.48136747919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1985633.2267312168</c:v>
                </c:pt>
                <c:pt idx="17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788679.64758670493</c:v>
                </c:pt>
                <c:pt idx="14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233567.51949445403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1117452.9738889411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1985633.2267312168</c:v>
                </c:pt>
                <c:pt idx="2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35-4D9E-BBD0-EC19F39B9244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121218.25849421723</c:v>
                </c:pt>
                <c:pt idx="2">
                  <c:v>38234.096623569851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35-4D9E-BBD0-EC19F39B9244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516494.58495904895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35-4D9E-BBD0-EC19F39B9244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712841.35005861125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35-4D9E-BBD0-EC19F39B9244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51843.324620132888</c:v>
                </c:pt>
                <c:pt idx="2">
                  <c:v>112903.28792996558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35-4D9E-BBD0-EC19F39B9244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79045.945262496738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35-4D9E-BBD0-EC19F39B9244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172.32701619649208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35-4D9E-BBD0-EC19F39B9244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199508.1218701629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35-4D9E-BBD0-EC19F39B9244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35-4D9E-BBD0-EC19F39B9244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441805.67568415956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35-4D9E-BBD0-EC19F39B9244}"/>
            </c:ext>
          </c:extLst>
        </c:ser>
        <c:ser>
          <c:idx val="17"/>
          <c:order val="17"/>
          <c:tx>
            <c:strRef>
              <c:f>'Resultat-Import'!$S$4:$S$5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'Resultat-Import'!$S$6:$S$9</c:f>
              <c:numCache>
                <c:formatCode>0</c:formatCode>
                <c:ptCount val="3"/>
                <c:pt idx="0">
                  <c:v>5421074.2654714445</c:v>
                </c:pt>
                <c:pt idx="1">
                  <c:v>3661484.3693090063</c:v>
                </c:pt>
                <c:pt idx="2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635-4D9E-BBD0-EC19F39B9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997537.40382014518</c:v>
                </c:pt>
                <c:pt idx="2">
                  <c:v>1913259.3368418217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5876128.6539074313</c:v>
                </c:pt>
                <c:pt idx="2">
                  <c:v>7470808.2181634232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436272.67517169751</c:v>
                </c:pt>
                <c:pt idx="2">
                  <c:v>28109.42670770664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41032.931452540652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1401586.7021664588</c:v>
                </c:pt>
                <c:pt idx="2">
                  <c:v>7956.3105810060788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7296587.5607431894</c:v>
                </c:pt>
                <c:pt idx="2">
                  <c:v>34880161.601057798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1033865.5069852719</c:v>
                </c:pt>
                <c:pt idx="2">
                  <c:v>4170005.4391380921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591642.55905312812</c:v>
                </c:pt>
                <c:pt idx="2">
                  <c:v>382368.42148557794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1933983.9629797461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1698285.9277597938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1703831.2509753662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1102402.5067304149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3089251.4514141078</c:v>
                </c:pt>
                <c:pt idx="2">
                  <c:v>321091.18690605665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1787607.2617034707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112106.64759676083</c:v>
                </c:pt>
                <c:pt idx="2">
                  <c:v>5859.9303124103544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47458.843865180679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596705.34393487545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1816195.3896754137</c:v>
                </c:pt>
                <c:pt idx="2">
                  <c:v>750214.90435823007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1852933.4676486014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871023.20428516739</c:v>
                </c:pt>
                <c:pt idx="2">
                  <c:v>756682.92027104762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1912360.1390352619</c:v>
                </c:pt>
                <c:pt idx="2">
                  <c:v>5375.3604753848949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3E-4A0A-8ADD-D927D483EF3D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160917.47813883494</c:v>
                </c:pt>
                <c:pt idx="2">
                  <c:v>633724.24976508948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3E-4A0A-8ADD-D927D483E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14.12423989447726</c:v>
                </c:pt>
                <c:pt idx="2">
                  <c:v>8.6827009518271741</c:v>
                </c:pt>
                <c:pt idx="3">
                  <c:v>7.483154704207001</c:v>
                </c:pt>
                <c:pt idx="4">
                  <c:v>3.9924514842057848</c:v>
                </c:pt>
                <c:pt idx="5">
                  <c:v>5.0333912548142052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24.393200841877629</c:v>
                </c:pt>
                <c:pt idx="2">
                  <c:v>64.175137325746221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27.63117559647575</c:v>
                </c:pt>
                <c:pt idx="2">
                  <c:v>13.732936241351867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0.93973134231983635</c:v>
                </c:pt>
                <c:pt idx="2">
                  <c:v>6.0547705128400089E-2</c:v>
                </c:pt>
                <c:pt idx="3">
                  <c:v>5.0922829580050024</c:v>
                </c:pt>
                <c:pt idx="4">
                  <c:v>10.114954755047025</c:v>
                </c:pt>
                <c:pt idx="5">
                  <c:v>1.2624378640218132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7.2413089721898078</c:v>
                </c:pt>
                <c:pt idx="2">
                  <c:v>14.654531654055848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45.055169098464063</c:v>
                </c:pt>
                <c:pt idx="2">
                  <c:v>45.041720198799787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1081138.0604123813</c:v>
                </c:pt>
                <c:pt idx="2">
                  <c:v>1009103.8878695687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2911715.3446413972</c:v>
                </c:pt>
                <c:pt idx="2">
                  <c:v>9766445.2482961845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2320481.2029949962</c:v>
                </c:pt>
                <c:pt idx="2">
                  <c:v>1129374.4698903398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1516304.9496731197</c:v>
                </c:pt>
                <c:pt idx="2">
                  <c:v>188407.19869176933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1496587.689162788</c:v>
                </c:pt>
                <c:pt idx="2">
                  <c:v>1506464.0604055864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5745" y="179294"/>
          <a:ext cx="1200897" cy="38037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499412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72380" y="212912"/>
          <a:ext cx="1213437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hub%20repositories\DK-BioRES\DK-BioRes.xlsm" TargetMode="External"/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kcal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>
        <row r="2">
          <cell r="A2" t="str">
            <v>Æg</v>
          </cell>
          <cell r="B2" t="str">
            <v>Friske æg (kun hele æg)</v>
          </cell>
          <cell r="C2">
            <v>138</v>
          </cell>
        </row>
        <row r="3">
          <cell r="A3" t="str">
            <v>Bælgsæd</v>
          </cell>
          <cell r="B3" t="str">
            <v>Friske bælgplanter</v>
          </cell>
          <cell r="C3">
            <v>694.5</v>
          </cell>
        </row>
        <row r="4">
          <cell r="A4" t="str">
            <v>Bioaffald</v>
          </cell>
          <cell r="B4" t="str">
            <v>-</v>
          </cell>
        </row>
        <row r="5">
          <cell r="A5" t="str">
            <v>Biogas</v>
          </cell>
          <cell r="B5" t="str">
            <v>-</v>
          </cell>
        </row>
        <row r="6">
          <cell r="A6" t="str">
            <v>Biogasgylle</v>
          </cell>
          <cell r="B6" t="str">
            <v>-</v>
          </cell>
        </row>
        <row r="7">
          <cell r="A7" t="str">
            <v>Brun saft</v>
          </cell>
          <cell r="B7" t="str">
            <v>-</v>
          </cell>
        </row>
        <row r="8">
          <cell r="A8" t="str">
            <v>Dybstrøelse</v>
          </cell>
          <cell r="B8" t="str">
            <v>-</v>
          </cell>
        </row>
        <row r="9">
          <cell r="A9" t="str">
            <v>Fiberfraktion</v>
          </cell>
          <cell r="B9" t="str">
            <v>-</v>
          </cell>
        </row>
        <row r="10">
          <cell r="A10" t="str">
            <v>Fjerkrægylle</v>
          </cell>
          <cell r="B10" t="str">
            <v>-</v>
          </cell>
        </row>
        <row r="11">
          <cell r="A11" t="str">
            <v>Fjerkrækød</v>
          </cell>
          <cell r="B11" t="str">
            <v>Høns og kylling (kun "rå")</v>
          </cell>
          <cell r="C11">
            <v>152</v>
          </cell>
        </row>
        <row r="12">
          <cell r="A12" t="str">
            <v>Frø</v>
          </cell>
          <cell r="B12" t="str">
            <v>Fedtrige frø</v>
          </cell>
          <cell r="C12">
            <v>559</v>
          </cell>
        </row>
        <row r="13">
          <cell r="A13" t="str">
            <v>Frugt</v>
          </cell>
          <cell r="B13" t="str">
            <v>Kernefrugt (her valgt æble og pære)</v>
          </cell>
          <cell r="C13">
            <v>52</v>
          </cell>
        </row>
        <row r="14">
          <cell r="A14" t="str">
            <v>Glycerin</v>
          </cell>
          <cell r="B14" t="str">
            <v>-</v>
          </cell>
        </row>
        <row r="15">
          <cell r="A15" t="str">
            <v>Græs</v>
          </cell>
        </row>
        <row r="16">
          <cell r="A16" t="str">
            <v>Græsprotein</v>
          </cell>
        </row>
        <row r="17">
          <cell r="A17" t="str">
            <v>Grøntsager</v>
          </cell>
          <cell r="B17" t="str">
            <v>Rod- og knoldgrøntsager + Blad- og stængelgrøntsager</v>
          </cell>
          <cell r="C17">
            <v>39</v>
          </cell>
        </row>
        <row r="18">
          <cell r="A18" t="str">
            <v>Halm</v>
          </cell>
          <cell r="B18" t="str">
            <v>-</v>
          </cell>
        </row>
        <row r="19">
          <cell r="A19" t="str">
            <v>Have/parkaffald</v>
          </cell>
          <cell r="B19" t="str">
            <v>-</v>
          </cell>
        </row>
        <row r="20">
          <cell r="A20" t="str">
            <v>Import af foder</v>
          </cell>
          <cell r="B20" t="str">
            <v>-</v>
          </cell>
          <cell r="C20">
            <v>57</v>
          </cell>
        </row>
        <row r="21">
          <cell r="A21" t="str">
            <v>Industriaffald</v>
          </cell>
          <cell r="B21" t="str">
            <v>-</v>
          </cell>
        </row>
        <row r="22">
          <cell r="A22" t="str">
            <v>Juletræer</v>
          </cell>
          <cell r="B22" t="str">
            <v>-</v>
          </cell>
        </row>
        <row r="23">
          <cell r="A23" t="str">
            <v>Kartofler</v>
          </cell>
          <cell r="B23" t="str">
            <v>Rod- og knoldgrøntsager (kun kartoffel + rå)</v>
          </cell>
          <cell r="C23">
            <v>78</v>
          </cell>
        </row>
        <row r="24">
          <cell r="A24" t="str">
            <v>Korn</v>
          </cell>
          <cell r="B24" t="str">
            <v>Korn og gryn (Havregryn, hvedekim, hvedegryn)</v>
          </cell>
          <cell r="C24">
            <v>366</v>
          </cell>
        </row>
        <row r="25">
          <cell r="A25" t="str">
            <v>Kunstgødning</v>
          </cell>
          <cell r="B25" t="str">
            <v>-</v>
          </cell>
        </row>
        <row r="26">
          <cell r="A26" t="str">
            <v>Kvæggylle</v>
          </cell>
          <cell r="B26" t="str">
            <v>-</v>
          </cell>
        </row>
        <row r="27">
          <cell r="A27" t="str">
            <v>Mælk til foder</v>
          </cell>
          <cell r="B27" t="str">
            <v>-</v>
          </cell>
        </row>
        <row r="28">
          <cell r="A28" t="str">
            <v>Majs</v>
          </cell>
          <cell r="B28" t="str">
            <v>Frugt-grøntsager (majskolbe rå)</v>
          </cell>
          <cell r="C28">
            <v>91</v>
          </cell>
        </row>
        <row r="29">
          <cell r="A29" t="str">
            <v>Mejeriprodukter</v>
          </cell>
          <cell r="B29" t="str">
            <v>Usyrnede mækeprodukter (sødmælk konventionel, sødmælk økologisk)</v>
          </cell>
          <cell r="C29">
            <v>63</v>
          </cell>
        </row>
        <row r="30">
          <cell r="A30" t="str">
            <v>Muslinger</v>
          </cell>
          <cell r="B30" t="str">
            <v>Bløddyr og produkter heraf (musling rå)</v>
          </cell>
          <cell r="C30">
            <v>83</v>
          </cell>
        </row>
        <row r="31">
          <cell r="A31" t="str">
            <v>Oksekød</v>
          </cell>
          <cell r="B31" t="str">
            <v>Oksekød</v>
          </cell>
          <cell r="C31">
            <v>195</v>
          </cell>
        </row>
        <row r="32">
          <cell r="A32" t="str">
            <v>Øvrige</v>
          </cell>
          <cell r="B32" t="str">
            <v>(antaget lig med grøntsager)</v>
          </cell>
          <cell r="C32">
            <v>39</v>
          </cell>
        </row>
        <row r="33">
          <cell r="A33" t="str">
            <v>Pil &amp; poppel</v>
          </cell>
          <cell r="B33" t="str">
            <v>-</v>
          </cell>
        </row>
        <row r="34">
          <cell r="A34" t="str">
            <v>Pyrolysegas</v>
          </cell>
          <cell r="B34" t="str">
            <v>-</v>
          </cell>
        </row>
        <row r="35">
          <cell r="A35" t="str">
            <v>Pyrolyseolie</v>
          </cell>
          <cell r="B35" t="str">
            <v>-</v>
          </cell>
        </row>
        <row r="36">
          <cell r="A36" t="str">
            <v>Råmælk</v>
          </cell>
          <cell r="B36" t="str">
            <v>Antaget lig med mejeriprodukter</v>
          </cell>
          <cell r="C36">
            <v>63</v>
          </cell>
        </row>
        <row r="37">
          <cell r="A37" t="str">
            <v>Raps</v>
          </cell>
        </row>
        <row r="38">
          <cell r="A38" t="str">
            <v>Rapskage</v>
          </cell>
        </row>
        <row r="39">
          <cell r="A39" t="str">
            <v>Rapsolie</v>
          </cell>
          <cell r="B39" t="str">
            <v>(søgt på rapsolie)</v>
          </cell>
          <cell r="C39">
            <v>900</v>
          </cell>
        </row>
        <row r="40">
          <cell r="A40" t="str">
            <v>Roer</v>
          </cell>
          <cell r="B40" t="str">
            <v>(majroe + kålrabi)</v>
          </cell>
          <cell r="C40">
            <v>30</v>
          </cell>
        </row>
        <row r="41">
          <cell r="A41" t="str">
            <v>Slagteriaffald til andet</v>
          </cell>
          <cell r="B41" t="str">
            <v>-</v>
          </cell>
        </row>
        <row r="42">
          <cell r="A42" t="str">
            <v>Slagteriaffald til foder</v>
          </cell>
          <cell r="B42" t="str">
            <v>-</v>
          </cell>
        </row>
        <row r="43">
          <cell r="A43" t="str">
            <v>Spildevandsslam</v>
          </cell>
          <cell r="B43" t="str">
            <v>-</v>
          </cell>
        </row>
        <row r="44">
          <cell r="A44" t="str">
            <v>Svinegylle</v>
          </cell>
          <cell r="B44" t="str">
            <v>-</v>
          </cell>
        </row>
        <row r="45">
          <cell r="A45" t="str">
            <v>Svinekød</v>
          </cell>
          <cell r="B45" t="str">
            <v>Svinekød (Gris)</v>
          </cell>
          <cell r="C45">
            <v>195</v>
          </cell>
        </row>
        <row r="46">
          <cell r="A46" t="str">
            <v>Tang</v>
          </cell>
          <cell r="B46" t="str">
            <v>(søgt på tang)</v>
          </cell>
          <cell r="C46">
            <v>40.799999999999997</v>
          </cell>
        </row>
        <row r="47">
          <cell r="A47" t="str">
            <v>Total til biogas</v>
          </cell>
          <cell r="B47" t="str">
            <v>-</v>
          </cell>
        </row>
        <row r="48">
          <cell r="A48" t="str">
            <v>Træ til energi</v>
          </cell>
          <cell r="B48" t="str">
            <v>-</v>
          </cell>
        </row>
        <row r="49">
          <cell r="A49" t="str">
            <v>Træmaterialer</v>
          </cell>
          <cell r="B49" t="str">
            <v>-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0046296" createdVersion="7" refreshedVersion="8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2818096.4339148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0393519" createdVersion="6" refreshedVersion="8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0509258" createdVersion="6" refreshedVersion="8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215.4481017361189" maxValue="27470991.9553650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0740742" createdVersion="6" refreshedVersion="8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23452262.365757864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0" maxValue="23452262.3657578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097222" createdVersion="7" refreshedVersion="8" minRefreshableVersion="3" recordCount="288" xr:uid="{E73CE649-34D2-4547-A4AF-B1792D0E11FA}">
  <cacheSource type="worksheet">
    <worksheetSource ref="A3:Z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60155466.1518810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5741886.057452837"/>
    </cacheField>
    <cacheField name="Gødning" numFmtId="0">
      <sharedItems containsSemiMixedTypes="0" containsString="0" containsNumber="1" minValue="0" maxValue="12818096.433914844"/>
    </cacheField>
    <cacheField name="Energi" numFmtId="0">
      <sharedItems containsSemiMixedTypes="0" containsString="0" containsNumber="1" minValue="0" maxValue="360155466.15188104"/>
    </cacheField>
    <cacheField name="Materialer og processer" numFmtId="0">
      <sharedItems containsSemiMixedTypes="0" containsString="0" containsNumber="1" minValue="0" maxValue="996229.71876806754"/>
    </cacheField>
    <cacheField name="Produktion minus forbrug [ton]" numFmtId="3">
      <sharedItems containsSemiMixedTypes="0" containsString="0" containsNumber="1" minValue="-4828427.5390456235" maxValue="26418240.720742173"/>
    </cacheField>
    <cacheField name="Potentiale til energi [ton]" numFmtId="3">
      <sharedItems containsSemiMixedTypes="0" containsString="0" containsNumber="1" minValue="0" maxValue="26418240.720742173"/>
    </cacheField>
    <cacheField name="Forbrug energi [ton/m3]" numFmtId="3">
      <sharedItems containsSemiMixedTypes="0" containsString="0" containsNumber="1" minValue="0" maxValue="360155466.15188104"/>
    </cacheField>
    <cacheField name="Potentiale til energi [PJ]" numFmtId="0">
      <sharedItems containsSemiMixedTypes="0" containsString="0" containsNumber="1" minValue="0" maxValue="48.606260646075512"/>
    </cacheField>
    <cacheField name="Forbrug/potentiale [PJ]" numFmtId="0">
      <sharedItems containsSemiMixedTypes="0" containsString="0" containsNumber="1" minValue="0" maxValue="48.606260646075512"/>
    </cacheField>
    <cacheField name="Biogasproduktion [PJ]" numFmtId="0">
      <sharedItems containsSemiMixedTypes="0" containsString="0" containsNumber="1" minValue="0" maxValue="3.9828598120565926"/>
    </cacheField>
    <cacheField name="Biomasser til energi eksl. biogas [PJ]" numFmtId="0">
      <sharedItems containsSemiMixedTypes="0" containsString="0" containsNumber="1" minValue="0" maxValue="48.606260646075512"/>
    </cacheField>
    <cacheField name="Potentiale til energi [Ton TS]" numFmtId="0">
      <sharedItems containsSemiMixedTypes="0" containsString="0" containsNumber="1" minValue="0" maxValue="7397107.4018078092"/>
    </cacheField>
    <cacheField name="Forbrug/potentiale [Ton TS]" numFmtId="0">
      <sharedItems containsSemiMixedTypes="0" containsString="0" containsNumber="1" minValue="0" maxValue="7397107.4018078092"/>
    </cacheField>
    <cacheField name="Biogasproduktion [Ton TS]" numFmtId="0">
      <sharedItems containsSemiMixedTypes="0" containsString="0" containsNumber="1" minValue="0" maxValue="554715.85126136383"/>
    </cacheField>
    <cacheField name="Biomasser til energi eksl. biogas [Ton TS]" numFmtId="0">
      <sharedItems containsSemiMixedTypes="0" containsString="0" containsNumber="1" minValue="0" maxValue="7397107.4018078092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1319443" createdVersion="7" refreshedVersion="8" minRefreshableVersion="3" recordCount="288" xr:uid="{DB7E48C5-4053-49AC-B0E7-43CEB6C0C35A}">
  <cacheSource type="worksheet">
    <worksheetSource ref="A3:AA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60155466.1518810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5741886.057452837"/>
    </cacheField>
    <cacheField name="Gødning" numFmtId="0">
      <sharedItems containsSemiMixedTypes="0" containsString="0" containsNumber="1" minValue="0" maxValue="12818096.433914844"/>
    </cacheField>
    <cacheField name="Energi" numFmtId="0">
      <sharedItems containsSemiMixedTypes="0" containsString="0" containsNumber="1" minValue="0" maxValue="360155466.15188104"/>
    </cacheField>
    <cacheField name="Materialer og processer" numFmtId="0">
      <sharedItems containsSemiMixedTypes="0" containsString="0" containsNumber="1" minValue="0" maxValue="996229.71876806754"/>
    </cacheField>
    <cacheField name="Produktion minus forbrug [ton]" numFmtId="3">
      <sharedItems containsSemiMixedTypes="0" containsString="0" containsNumber="1" minValue="-4828427.5390456235" maxValue="26418240.720742173"/>
    </cacheField>
    <cacheField name="Potentiale til energi [ton]" numFmtId="3">
      <sharedItems containsSemiMixedTypes="0" containsString="0" containsNumber="1" minValue="0" maxValue="26418240.720742173"/>
    </cacheField>
    <cacheField name="Forbrug energi [ton/m3]" numFmtId="3">
      <sharedItems containsSemiMixedTypes="0" containsString="0" containsNumber="1" minValue="0" maxValue="360155466.15188104"/>
    </cacheField>
    <cacheField name="Potentiale til energi [PJ]" numFmtId="0">
      <sharedItems containsSemiMixedTypes="0" containsString="0" containsNumber="1" minValue="0" maxValue="48.606260646075512"/>
    </cacheField>
    <cacheField name="Forbrug/potentiale [PJ]" numFmtId="0">
      <sharedItems containsSemiMixedTypes="0" containsString="0" containsNumber="1" minValue="0" maxValue="48.606260646075512"/>
    </cacheField>
    <cacheField name="Biogasproduktion [PJ]" numFmtId="0">
      <sharedItems containsSemiMixedTypes="0" containsString="0" containsNumber="1" minValue="0" maxValue="3.9828598120565926"/>
    </cacheField>
    <cacheField name="Biomasser til energi eksl. biogas [PJ]" numFmtId="0">
      <sharedItems containsSemiMixedTypes="0" containsString="0" containsNumber="1" minValue="0" maxValue="48.606260646075512"/>
    </cacheField>
    <cacheField name="Potentiale til energi [Ton TS]" numFmtId="0">
      <sharedItems containsSemiMixedTypes="0" containsString="0" containsNumber="1" minValue="0" maxValue="7397107.4018078092"/>
    </cacheField>
    <cacheField name="Forbrug/potentiale [Ton TS]" numFmtId="0">
      <sharedItems containsSemiMixedTypes="0" containsString="0" containsNumber="1" minValue="0" maxValue="7397107.4018078092"/>
    </cacheField>
    <cacheField name="Biogasproduktion [Ton TS]" numFmtId="0">
      <sharedItems containsSemiMixedTypes="0" containsString="0" containsNumber="1" minValue="0" maxValue="554715.85126136383"/>
    </cacheField>
    <cacheField name="Biomasser til energi eksl. biogas [Ton TS]" numFmtId="0">
      <sharedItems containsSemiMixedTypes="0" containsString="0" containsNumber="1" minValue="0" maxValue="7397107.4018078092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1666666" createdVersion="7" refreshedVersion="8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887651.1003491962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1898151" createdVersion="6" refreshedVersion="8" minRefreshableVersion="3" recordCount="288" xr:uid="{822B5E33-E9A7-41DC-AB73-B52BC0B6315D}">
  <cacheSource type="worksheet">
    <worksheetSource ref="A3:Y291" sheet="Resultat-Produktion &amp; forbrug"/>
  </cacheSource>
  <cacheFields count="25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60155466.1518810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5741886.057452837"/>
    </cacheField>
    <cacheField name="Gødning" numFmtId="0">
      <sharedItems containsSemiMixedTypes="0" containsString="0" containsNumber="1" minValue="0" maxValue="12818096.433914844"/>
    </cacheField>
    <cacheField name="Energi" numFmtId="0">
      <sharedItems containsSemiMixedTypes="0" containsString="0" containsNumber="1" minValue="0" maxValue="360155466.15188104"/>
    </cacheField>
    <cacheField name="Materialer og processer" numFmtId="0">
      <sharedItems containsSemiMixedTypes="0" containsString="0" containsNumber="1" minValue="0" maxValue="996229.71876806754"/>
    </cacheField>
    <cacheField name="Produktion minus forbrug [ton]" numFmtId="3">
      <sharedItems containsSemiMixedTypes="0" containsString="0" containsNumber="1" minValue="-4828427.5390456235" maxValue="26418240.720742173"/>
    </cacheField>
    <cacheField name="Potentiale til energi [ton]" numFmtId="3">
      <sharedItems containsSemiMixedTypes="0" containsString="0" containsNumber="1" minValue="0" maxValue="26418240.720742173"/>
    </cacheField>
    <cacheField name="Forbrug energi [ton/m3]" numFmtId="3">
      <sharedItems containsSemiMixedTypes="0" containsString="0" containsNumber="1" minValue="0" maxValue="360155466.15188104"/>
    </cacheField>
    <cacheField name="Potentiale til energi [PJ]" numFmtId="0">
      <sharedItems containsSemiMixedTypes="0" containsString="0" containsNumber="1" minValue="0" maxValue="48.606260646075512"/>
    </cacheField>
    <cacheField name="Forbrug/potentiale [PJ]" numFmtId="0">
      <sharedItems containsSemiMixedTypes="0" containsString="0" containsNumber="1" minValue="0" maxValue="48.606260646075512"/>
    </cacheField>
    <cacheField name="Biogasproduktion [PJ]" numFmtId="0">
      <sharedItems containsSemiMixedTypes="0" containsString="0" containsNumber="1" minValue="0" maxValue="3.9828598120565926"/>
    </cacheField>
    <cacheField name="Biomasser til energi eksl. biogas [PJ]" numFmtId="0">
      <sharedItems containsSemiMixedTypes="0" containsString="0" containsNumber="1" minValue="0" maxValue="48.606260646075512"/>
    </cacheField>
    <cacheField name="Potentiale til energi [Ton TS]" numFmtId="0">
      <sharedItems containsSemiMixedTypes="0" containsString="0" containsNumber="1" minValue="0" maxValue="7397107.4018078092"/>
    </cacheField>
    <cacheField name="Forbrug/potentiale [Ton TS]" numFmtId="0">
      <sharedItems containsSemiMixedTypes="0" containsString="0" containsNumber="1" minValue="0" maxValue="7397107.4018078092"/>
    </cacheField>
    <cacheField name="Biogasproduktion [Ton TS]" numFmtId="0">
      <sharedItems containsSemiMixedTypes="0" containsString="0" containsNumber="1" minValue="0" maxValue="554715.85126136383"/>
    </cacheField>
    <cacheField name="Biomasser til energi eksl. biogas [Ton TS]" numFmtId="0">
      <sharedItems containsSemiMixedTypes="0" containsString="0" containsNumber="1" minValue="0" maxValue="7397107.40180780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4992012.841626931"/>
  </r>
  <r>
    <x v="1"/>
    <s v="Vestdanmark"/>
    <x v="15"/>
    <x v="1"/>
    <n v="5741886.057452837"/>
  </r>
  <r>
    <x v="1"/>
    <s v="Vestdanmark"/>
    <x v="16"/>
    <x v="1"/>
    <n v="6063.3754879128683"/>
  </r>
  <r>
    <x v="1"/>
    <s v="Vestdanmark"/>
    <x v="17"/>
    <x v="1"/>
    <n v="2943192.4535522191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849052.8375378796"/>
  </r>
  <r>
    <x v="1"/>
    <s v="Vestdanmark"/>
    <x v="21"/>
    <x v="1"/>
    <n v="0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01960.68859899876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0"/>
  </r>
  <r>
    <x v="1"/>
    <s v="Vestdanmark"/>
    <x v="15"/>
    <x v="2"/>
    <n v="706355.15146112291"/>
  </r>
  <r>
    <x v="1"/>
    <s v="Vestdanmark"/>
    <x v="16"/>
    <x v="2"/>
    <n v="5056.5736535095893"/>
  </r>
  <r>
    <x v="1"/>
    <s v="Vestdanmark"/>
    <x v="17"/>
    <x v="2"/>
    <n v="3608845.3408527621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356969.53284222382"/>
  </r>
  <r>
    <x v="1"/>
    <s v="Vestdanmark"/>
    <x v="21"/>
    <x v="2"/>
    <n v="0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523381.7919235682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723328.25937466533"/>
  </r>
  <r>
    <x v="1"/>
    <s v="Østdanmark"/>
    <x v="15"/>
    <x v="1"/>
    <n v="408098.865991503"/>
  </r>
  <r>
    <x v="1"/>
    <s v="Østdanmark"/>
    <x v="16"/>
    <x v="1"/>
    <n v="508.89686663358577"/>
  </r>
  <r>
    <x v="1"/>
    <s v="Østdanmark"/>
    <x v="17"/>
    <x v="1"/>
    <n v="2505393.7154740216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57091.11156686768"/>
  </r>
  <r>
    <x v="1"/>
    <s v="Østdanmark"/>
    <x v="21"/>
    <x v="1"/>
    <n v="0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48039.31140100124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0"/>
  </r>
  <r>
    <x v="1"/>
    <s v="Østdanmark"/>
    <x v="15"/>
    <x v="2"/>
    <n v="50203.492966284524"/>
  </r>
  <r>
    <x v="1"/>
    <s v="Østdanmark"/>
    <x v="16"/>
    <x v="2"/>
    <n v="424.39636029513713"/>
  </r>
  <r>
    <x v="1"/>
    <s v="Østdanmark"/>
    <x v="17"/>
    <x v="2"/>
    <n v="3143088.7983713108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50132.50913145845"/>
  </r>
  <r>
    <x v="1"/>
    <s v="Østdanmark"/>
    <x v="21"/>
    <x v="2"/>
    <n v="0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456618.20807643177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3972505.784940829"/>
  </r>
  <r>
    <x v="2"/>
    <s v="Vestdanmark"/>
    <x v="22"/>
    <x v="1"/>
    <n v="522363.62828034989"/>
  </r>
  <r>
    <x v="2"/>
    <s v="Vestdanmark"/>
    <x v="2"/>
    <x v="1"/>
    <n v="0"/>
  </r>
  <r>
    <x v="2"/>
    <s v="Vestdanmark"/>
    <x v="5"/>
    <x v="1"/>
    <n v="43580.743031500795"/>
  </r>
  <r>
    <x v="2"/>
    <s v="Vestdanmark"/>
    <x v="25"/>
    <x v="1"/>
    <n v="568365.52370248956"/>
  </r>
  <r>
    <x v="2"/>
    <s v="Vestdanmark"/>
    <x v="24"/>
    <x v="1"/>
    <n v="3822394.3367212149"/>
  </r>
  <r>
    <x v="2"/>
    <s v="Vestdanmark"/>
    <x v="28"/>
    <x v="1"/>
    <n v="144663.85534067627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8268840.7021296145"/>
  </r>
  <r>
    <x v="2"/>
    <s v="Vestdanmark"/>
    <x v="29"/>
    <x v="1"/>
    <n v="1024147.461240268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26632.676297028265"/>
  </r>
  <r>
    <x v="2"/>
    <s v="Vestdanmark"/>
    <x v="33"/>
    <x v="1"/>
    <n v="3262502.8463859628"/>
  </r>
  <r>
    <x v="2"/>
    <s v="Vestdanmark"/>
    <x v="0"/>
    <x v="2"/>
    <n v="505761.3902957458"/>
  </r>
  <r>
    <x v="2"/>
    <s v="Vestdanmark"/>
    <x v="22"/>
    <x v="2"/>
    <n v="66504.964166574544"/>
  </r>
  <r>
    <x v="2"/>
    <s v="Vestdanmark"/>
    <x v="2"/>
    <x v="2"/>
    <n v="0"/>
  </r>
  <r>
    <x v="2"/>
    <s v="Vestdanmark"/>
    <x v="5"/>
    <x v="2"/>
    <n v="5548.5022247895331"/>
  </r>
  <r>
    <x v="2"/>
    <s v="Vestdanmark"/>
    <x v="25"/>
    <x v="2"/>
    <n v="72361.716514963497"/>
  </r>
  <r>
    <x v="2"/>
    <s v="Vestdanmark"/>
    <x v="24"/>
    <x v="2"/>
    <n v="486649.88263258187"/>
  </r>
  <r>
    <x v="2"/>
    <s v="Vestdanmark"/>
    <x v="28"/>
    <x v="2"/>
    <n v="18417.94488506525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052751.2346229136"/>
  </r>
  <r>
    <x v="2"/>
    <s v="Vestdanmark"/>
    <x v="29"/>
    <x v="2"/>
    <n v="130389.80228255401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390.7513595936034"/>
  </r>
  <r>
    <x v="2"/>
    <s v="Vestdanmark"/>
    <x v="33"/>
    <x v="2"/>
    <n v="415367.04155021644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485809.96937735338"/>
  </r>
  <r>
    <x v="2"/>
    <s v="Østdanmark"/>
    <x v="22"/>
    <x v="1"/>
    <n v="63881.457195285089"/>
  </r>
  <r>
    <x v="2"/>
    <s v="Østdanmark"/>
    <x v="2"/>
    <x v="1"/>
    <n v="0"/>
  </r>
  <r>
    <x v="2"/>
    <s v="Østdanmark"/>
    <x v="5"/>
    <x v="1"/>
    <n v="5329.6233117734955"/>
  </r>
  <r>
    <x v="2"/>
    <s v="Østdanmark"/>
    <x v="25"/>
    <x v="1"/>
    <n v="69507.170691045991"/>
  </r>
  <r>
    <x v="2"/>
    <s v="Østdanmark"/>
    <x v="24"/>
    <x v="1"/>
    <n v="467452.37797013356"/>
  </r>
  <r>
    <x v="2"/>
    <s v="Østdanmark"/>
    <x v="28"/>
    <x v="1"/>
    <n v="17691.38849324812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011222.0008630237"/>
  </r>
  <r>
    <x v="2"/>
    <s v="Østdanmark"/>
    <x v="29"/>
    <x v="1"/>
    <n v="125246.14782667712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256.9920238615805"/>
  </r>
  <r>
    <x v="2"/>
    <s v="Østdanmark"/>
    <x v="33"/>
    <x v="1"/>
    <n v="398981.52292304358"/>
  </r>
  <r>
    <x v="2"/>
    <s v="Østdanmark"/>
    <x v="0"/>
    <x v="2"/>
    <n v="57061.536053444106"/>
  </r>
  <r>
    <x v="2"/>
    <s v="Østdanmark"/>
    <x v="22"/>
    <x v="2"/>
    <n v="7503.2920332351478"/>
  </r>
  <r>
    <x v="2"/>
    <s v="Østdanmark"/>
    <x v="2"/>
    <x v="2"/>
    <n v="0"/>
  </r>
  <r>
    <x v="2"/>
    <s v="Østdanmark"/>
    <x v="5"/>
    <x v="2"/>
    <n v="625.99887183421856"/>
  </r>
  <r>
    <x v="2"/>
    <s v="Østdanmark"/>
    <x v="25"/>
    <x v="2"/>
    <n v="8164.068620171267"/>
  </r>
  <r>
    <x v="2"/>
    <s v="Østdanmark"/>
    <x v="24"/>
    <x v="2"/>
    <n v="54905.31771712625"/>
  </r>
  <r>
    <x v="2"/>
    <s v="Østdanmark"/>
    <x v="28"/>
    <x v="2"/>
    <n v="2077.9684773385866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18774.59150176747"/>
  </r>
  <r>
    <x v="2"/>
    <s v="Østdanmark"/>
    <x v="29"/>
    <x v="2"/>
    <n v="14710.973488104135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2.55486612091136"/>
  </r>
  <r>
    <x v="2"/>
    <s v="Østdanmark"/>
    <x v="33"/>
    <x v="2"/>
    <n v="46862.971099811642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501637.1325612864"/>
  </r>
  <r>
    <x v="3"/>
    <s v="Vestdanmark"/>
    <x v="34"/>
    <x v="1"/>
    <n v="159446.58748119973"/>
  </r>
  <r>
    <x v="3"/>
    <s v="Vestdanmark"/>
    <x v="35"/>
    <x v="1"/>
    <n v="151285.23145276494"/>
  </r>
  <r>
    <x v="3"/>
    <s v="Vestdanmark"/>
    <x v="36"/>
    <x v="1"/>
    <n v="2217144.8993992088"/>
  </r>
  <r>
    <x v="3"/>
    <s v="Vestdanmark"/>
    <x v="26"/>
    <x v="1"/>
    <n v="124773.42126939242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0444.4261939266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08965.88554396096"/>
  </r>
  <r>
    <x v="3"/>
    <s v="Østdanmark"/>
    <x v="34"/>
    <x v="1"/>
    <n v="47447.954581366219"/>
  </r>
  <r>
    <x v="3"/>
    <s v="Østdanmark"/>
    <x v="35"/>
    <x v="1"/>
    <n v="40786.879237447567"/>
  </r>
  <r>
    <x v="3"/>
    <s v="Østdanmark"/>
    <x v="36"/>
    <x v="1"/>
    <n v="647645.86028338596"/>
  </r>
  <r>
    <x v="3"/>
    <s v="Østdanmark"/>
    <x v="26"/>
    <x v="1"/>
    <n v="108035.5787306076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235.2213927783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995075.1511158779"/>
  </r>
  <r>
    <x v="3"/>
    <s v="Vestdanmark"/>
    <x v="34"/>
    <x v="2"/>
    <n v="318793.5100057816"/>
  </r>
  <r>
    <x v="3"/>
    <s v="Vestdanmark"/>
    <x v="35"/>
    <x v="2"/>
    <n v="109495.6819733945"/>
  </r>
  <r>
    <x v="3"/>
    <s v="Vestdanmark"/>
    <x v="36"/>
    <x v="2"/>
    <n v="2287577.6202536402"/>
  </r>
  <r>
    <x v="3"/>
    <s v="Vestdanmark"/>
    <x v="26"/>
    <x v="2"/>
    <n v="1500.1831158298883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59548.6639607313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333600.69581393356"/>
  </r>
  <r>
    <x v="3"/>
    <s v="Østdanmark"/>
    <x v="34"/>
    <x v="2"/>
    <n v="99907.394395814132"/>
  </r>
  <r>
    <x v="3"/>
    <s v="Østdanmark"/>
    <x v="35"/>
    <x v="2"/>
    <n v="34028.264724407527"/>
  </r>
  <r>
    <x v="3"/>
    <s v="Østdanmark"/>
    <x v="36"/>
    <x v="2"/>
    <n v="637918.49942824384"/>
  </r>
  <r>
    <x v="3"/>
    <s v="Østdanmark"/>
    <x v="26"/>
    <x v="2"/>
    <n v="1308.8168841700535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1156.3842262987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1664004.2805423103"/>
  </r>
  <r>
    <x v="5"/>
    <s v="Vestdanmark"/>
    <x v="15"/>
    <x v="1"/>
    <n v="1913962.0191509458"/>
  </r>
  <r>
    <x v="5"/>
    <s v="Vestdanmark"/>
    <x v="16"/>
    <x v="1"/>
    <n v="2021.1251626376227"/>
  </r>
  <r>
    <x v="5"/>
    <s v="Vestdanmark"/>
    <x v="20"/>
    <x v="1"/>
    <n v="233332.85807025622"/>
  </r>
  <r>
    <x v="5"/>
    <s v="Vestdanmark"/>
    <x v="38"/>
    <x v="1"/>
    <n v="10112257.042498086"/>
  </r>
  <r>
    <x v="5"/>
    <s v="Vestdanmark"/>
    <x v="39"/>
    <x v="1"/>
    <n v="1499151.6936668851"/>
  </r>
  <r>
    <x v="5"/>
    <s v="Vestdanmark"/>
    <x v="14"/>
    <x v="2"/>
    <n v="0"/>
  </r>
  <r>
    <x v="5"/>
    <s v="Vestdanmark"/>
    <x v="15"/>
    <x v="2"/>
    <n v="78483.905717902526"/>
  </r>
  <r>
    <x v="5"/>
    <s v="Vestdanmark"/>
    <x v="16"/>
    <x v="2"/>
    <n v="561.84151705662089"/>
  </r>
  <r>
    <x v="5"/>
    <s v="Vestdanmark"/>
    <x v="20"/>
    <x v="2"/>
    <n v="15015.385111617346"/>
  </r>
  <r>
    <x v="5"/>
    <s v="Vestdanmark"/>
    <x v="38"/>
    <x v="2"/>
    <n v="495509.77237359248"/>
  </r>
  <r>
    <x v="5"/>
    <s v="Vestdanmark"/>
    <x v="39"/>
    <x v="2"/>
    <n v="3130893.6010473287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241109.41979155506"/>
  </r>
  <r>
    <x v="5"/>
    <s v="Østdanmark"/>
    <x v="15"/>
    <x v="1"/>
    <n v="136032.95533050099"/>
  </r>
  <r>
    <x v="5"/>
    <s v="Østdanmark"/>
    <x v="16"/>
    <x v="1"/>
    <n v="169.63228887786195"/>
  </r>
  <r>
    <x v="5"/>
    <s v="Østdanmark"/>
    <x v="20"/>
    <x v="1"/>
    <n v="32442.449792961874"/>
  </r>
  <r>
    <x v="5"/>
    <s v="Østdanmark"/>
    <x v="38"/>
    <x v="1"/>
    <n v="2691211.5260409825"/>
  </r>
  <r>
    <x v="5"/>
    <s v="Østdanmark"/>
    <x v="39"/>
    <x v="1"/>
    <n v="486481.53306433168"/>
  </r>
  <r>
    <x v="5"/>
    <s v="Østdanmark"/>
    <x v="14"/>
    <x v="2"/>
    <n v="0"/>
  </r>
  <r>
    <x v="5"/>
    <s v="Østdanmark"/>
    <x v="15"/>
    <x v="2"/>
    <n v="5578.1658851427237"/>
  </r>
  <r>
    <x v="5"/>
    <s v="Østdanmark"/>
    <x v="16"/>
    <x v="2"/>
    <n v="47.155151143904114"/>
  </r>
  <r>
    <x v="5"/>
    <s v="Østdanmark"/>
    <x v="20"/>
    <x v="2"/>
    <n v="2108.7483999740452"/>
  </r>
  <r>
    <x v="5"/>
    <s v="Østdanmark"/>
    <x v="38"/>
    <x v="2"/>
    <n v="347663.70899388671"/>
  </r>
  <r>
    <x v="5"/>
    <s v="Østdanmark"/>
    <x v="39"/>
    <x v="2"/>
    <n v="973432.69438373833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5762.00237315823"/>
  </r>
  <r>
    <x v="7"/>
    <s v="Vestdanmark"/>
    <x v="40"/>
    <x v="1"/>
    <n v="498270.5858787492"/>
  </r>
  <r>
    <x v="7"/>
    <s v="Vestdanmark"/>
    <x v="40"/>
    <x v="2"/>
    <n v="996229.71876806754"/>
  </r>
  <r>
    <x v="7"/>
    <s v="Østdanmark"/>
    <x v="40"/>
    <x v="0"/>
    <n v="192563.22613808865"/>
  </r>
  <r>
    <x v="7"/>
    <s v="Østdanmark"/>
    <x v="40"/>
    <x v="1"/>
    <n v="148274.85806676943"/>
  </r>
  <r>
    <x v="7"/>
    <s v="Østdanmark"/>
    <x v="40"/>
    <x v="2"/>
    <n v="312210.6074869191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97607.2776597517"/>
  </r>
  <r>
    <x v="0"/>
    <x v="2"/>
    <x v="1"/>
    <s v="JB1-10"/>
    <n v="491333.38307711121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66595.901673525368"/>
  </r>
  <r>
    <x v="0"/>
    <x v="2"/>
    <x v="1"/>
    <s v="OC6"/>
    <n v="0"/>
  </r>
  <r>
    <x v="0"/>
    <x v="3"/>
    <x v="1"/>
    <s v="OC6"/>
    <n v="74044.098326474632"/>
  </r>
  <r>
    <x v="0"/>
    <x v="4"/>
    <x v="1"/>
    <s v="OC6"/>
    <n v="0"/>
  </r>
  <r>
    <x v="0"/>
    <x v="0"/>
    <x v="1"/>
    <s v="OC12"/>
    <n v="0"/>
  </r>
  <r>
    <x v="0"/>
    <x v="1"/>
    <x v="1"/>
    <s v="OC12"/>
    <n v="50308.863648834013"/>
  </r>
  <r>
    <x v="0"/>
    <x v="2"/>
    <x v="1"/>
    <s v="OC12"/>
    <n v="0"/>
  </r>
  <r>
    <x v="0"/>
    <x v="3"/>
    <x v="1"/>
    <s v="OC12"/>
    <n v="61682.247462277082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636839.1020767612"/>
  </r>
  <r>
    <x v="0"/>
    <x v="2"/>
    <x v="2"/>
    <s v="JB1-10"/>
    <n v="652101.55866010161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7582.4059259259229"/>
  </r>
  <r>
    <x v="0"/>
    <x v="2"/>
    <x v="2"/>
    <s v="OC6"/>
    <n v="0"/>
  </r>
  <r>
    <x v="0"/>
    <x v="3"/>
    <x v="2"/>
    <s v="OC6"/>
    <n v="133057.59407407406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1991.11111111109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37513.90752543334"/>
  </r>
  <r>
    <x v="1"/>
    <x v="2"/>
    <x v="1"/>
    <s v="JB1-10"/>
    <n v="135891.43173770356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0114.39462277092"/>
  </r>
  <r>
    <x v="1"/>
    <x v="2"/>
    <x v="1"/>
    <s v="OC6"/>
    <n v="0"/>
  </r>
  <r>
    <x v="1"/>
    <x v="3"/>
    <x v="1"/>
    <s v="OC6"/>
    <n v="11245.605377229082"/>
  </r>
  <r>
    <x v="1"/>
    <x v="4"/>
    <x v="1"/>
    <s v="OC6"/>
    <n v="0"/>
  </r>
  <r>
    <x v="1"/>
    <x v="0"/>
    <x v="1"/>
    <s v="OC12"/>
    <n v="0"/>
  </r>
  <r>
    <x v="1"/>
    <x v="1"/>
    <x v="1"/>
    <s v="OC12"/>
    <n v="7640.7659807956097"/>
  </r>
  <r>
    <x v="1"/>
    <x v="2"/>
    <x v="1"/>
    <s v="OC12"/>
    <n v="0"/>
  </r>
  <r>
    <x v="1"/>
    <x v="3"/>
    <x v="1"/>
    <s v="OC12"/>
    <n v="9368.12290809327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13096.89792323852"/>
  </r>
  <r>
    <x v="1"/>
    <x v="2"/>
    <x v="2"/>
    <s v="JB1-10"/>
    <n v="160308.44133989836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151.5940740740734"/>
  </r>
  <r>
    <x v="1"/>
    <x v="2"/>
    <x v="2"/>
    <s v="OC6"/>
    <n v="0"/>
  </r>
  <r>
    <x v="1"/>
    <x v="3"/>
    <x v="2"/>
    <s v="OC6"/>
    <n v="20208.405925925927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7008.888888888891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5182167.6605635537"/>
  </r>
  <r>
    <x v="1"/>
    <x v="0"/>
    <x v="1"/>
    <n v="807391.35086832882"/>
  </r>
  <r>
    <x v="2"/>
    <x v="0"/>
    <x v="1"/>
    <n v="498270.5858787492"/>
  </r>
  <r>
    <x v="3"/>
    <x v="0"/>
    <x v="1"/>
    <n v="13177775.793539407"/>
  </r>
  <r>
    <x v="4"/>
    <x v="0"/>
    <x v="1"/>
    <n v="1183876.8673845837"/>
  </r>
  <r>
    <x v="5"/>
    <x v="0"/>
    <x v="1"/>
    <n v="1689696.9927296774"/>
  </r>
  <r>
    <x v="6"/>
    <x v="0"/>
    <x v="1"/>
    <n v="1856731.7758593475"/>
  </r>
  <r>
    <x v="7"/>
    <x v="0"/>
    <x v="1"/>
    <n v="4675837.2738896068"/>
  </r>
  <r>
    <x v="8"/>
    <x v="0"/>
    <x v="1"/>
    <n v="30293.444359786194"/>
  </r>
  <r>
    <x v="9"/>
    <x v="0"/>
    <x v="1"/>
    <n v="1479891.647259762"/>
  </r>
  <r>
    <x v="10"/>
    <x v="0"/>
    <x v="1"/>
    <n v="1068143.9155687199"/>
  </r>
  <r>
    <x v="11"/>
    <x v="0"/>
    <x v="1"/>
    <n v="675080.94417097606"/>
  </r>
  <r>
    <x v="12"/>
    <x v="0"/>
    <x v="1"/>
    <n v="151285.23145276494"/>
  </r>
  <r>
    <x v="0"/>
    <x v="0"/>
    <x v="2"/>
    <n v="17585.624267945121"/>
  </r>
  <r>
    <x v="1"/>
    <x v="0"/>
    <x v="2"/>
    <n v="1461503.2991938624"/>
  </r>
  <r>
    <x v="2"/>
    <x v="0"/>
    <x v="2"/>
    <n v="996229.71876806754"/>
  </r>
  <r>
    <x v="3"/>
    <x v="0"/>
    <x v="2"/>
    <n v="27470991.955365088"/>
  </r>
  <r>
    <x v="4"/>
    <x v="0"/>
    <x v="2"/>
    <n v="3574924.4318902972"/>
  </r>
  <r>
    <x v="5"/>
    <x v="0"/>
    <x v="2"/>
    <n v="6540.3387577996864"/>
  </r>
  <r>
    <x v="6"/>
    <x v="0"/>
    <x v="2"/>
    <n v="328.27548713856038"/>
  </r>
  <r>
    <x v="7"/>
    <x v="0"/>
    <x v="2"/>
    <n v="24354.977510479563"/>
  </r>
  <r>
    <x v="8"/>
    <x v="0"/>
    <x v="2"/>
    <n v="1792737.3458964743"/>
  </r>
  <r>
    <x v="9"/>
    <x v="0"/>
    <x v="2"/>
    <n v="4681.8686166152675"/>
  </r>
  <r>
    <x v="10"/>
    <x v="0"/>
    <x v="2"/>
    <n v="5541.8750535368863"/>
  </r>
  <r>
    <x v="11"/>
    <x v="0"/>
    <x v="2"/>
    <n v="576432.67952835571"/>
  </r>
  <r>
    <x v="12"/>
    <x v="0"/>
    <x v="2"/>
    <n v="109495.6819733945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526601.9040028804"/>
  </r>
  <r>
    <x v="1"/>
    <x v="1"/>
    <x v="1"/>
    <n v="239056.41929509072"/>
  </r>
  <r>
    <x v="2"/>
    <x v="1"/>
    <x v="1"/>
    <n v="148274.85806676943"/>
  </r>
  <r>
    <x v="3"/>
    <x v="1"/>
    <x v="1"/>
    <n v="3398874.4701964208"/>
  </r>
  <r>
    <x v="4"/>
    <x v="1"/>
    <x v="1"/>
    <n v="354031.79838602385"/>
  </r>
  <r>
    <x v="5"/>
    <x v="1"/>
    <x v="1"/>
    <n v="474779.06798607635"/>
  </r>
  <r>
    <x v="6"/>
    <x v="1"/>
    <x v="1"/>
    <n v="568748.18023765879"/>
  </r>
  <r>
    <x v="7"/>
    <x v="1"/>
    <x v="1"/>
    <n v="1317840.691777108"/>
  </r>
  <r>
    <x v="8"/>
    <x v="1"/>
    <x v="1"/>
    <n v="9148.1169872791615"/>
  </r>
  <r>
    <x v="9"/>
    <x v="1"/>
    <x v="1"/>
    <n v="432468.49177549983"/>
  </r>
  <r>
    <x v="10"/>
    <x v="1"/>
    <x v="1"/>
    <n v="333442.78659773892"/>
  </r>
  <r>
    <x v="11"/>
    <x v="1"/>
    <x v="1"/>
    <n v="195942.26011419127"/>
  </r>
  <r>
    <x v="12"/>
    <x v="1"/>
    <x v="1"/>
    <n v="40786.879237447567"/>
  </r>
  <r>
    <x v="0"/>
    <x v="1"/>
    <x v="2"/>
    <n v="3503.8972601034743"/>
  </r>
  <r>
    <x v="1"/>
    <x v="1"/>
    <x v="2"/>
    <n v="457930.53874458285"/>
  </r>
  <r>
    <x v="2"/>
    <x v="1"/>
    <x v="2"/>
    <n v="312210.60748691915"/>
  </r>
  <r>
    <x v="3"/>
    <x v="1"/>
    <x v="2"/>
    <n v="8580695.4718173929"/>
  </r>
  <r>
    <x v="4"/>
    <x v="1"/>
    <x v="2"/>
    <n v="1120623.182681245"/>
  </r>
  <r>
    <x v="5"/>
    <x v="1"/>
    <x v="2"/>
    <n v="215.4481017361189"/>
  </r>
  <r>
    <x v="6"/>
    <x v="1"/>
    <x v="2"/>
    <n v="1151.564385499476"/>
  </r>
  <r>
    <x v="7"/>
    <x v="1"/>
    <x v="2"/>
    <n v="705.63788017957472"/>
  </r>
  <r>
    <x v="8"/>
    <x v="1"/>
    <x v="2"/>
    <n v="561970.05809562234"/>
  </r>
  <r>
    <x v="9"/>
    <x v="1"/>
    <x v="2"/>
    <n v="693.49185876962724"/>
  </r>
  <r>
    <x v="10"/>
    <x v="1"/>
    <x v="2"/>
    <n v="2414.435527469192"/>
  </r>
  <r>
    <x v="11"/>
    <x v="1"/>
    <x v="2"/>
    <n v="180250.24074269188"/>
  </r>
  <r>
    <x v="12"/>
    <x v="1"/>
    <x v="2"/>
    <n v="34028.26472440752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637347.23520128522"/>
    <n v="4467804.1187610095"/>
    <n v="1532729.9136543253"/>
    <n v="1532729.9136543253"/>
  </r>
  <r>
    <x v="0"/>
    <x v="1"/>
    <x v="1"/>
    <s v="Konventionel"/>
    <x v="0"/>
    <s v="Halm"/>
    <n v="189649.66510867511"/>
    <n v="732047.70731948595"/>
    <n v="228424.75811780654"/>
    <n v="228424.75811780654"/>
  </r>
  <r>
    <x v="0"/>
    <x v="2"/>
    <x v="1"/>
    <s v="Konventionel"/>
    <x v="0"/>
    <s v="Halm"/>
    <n v="101555.35706467889"/>
    <n v="446843.57108458714"/>
    <n v="250845.80536577498"/>
    <n v="250845.80536577498"/>
  </r>
  <r>
    <x v="0"/>
    <x v="3"/>
    <x v="1"/>
    <s v="Konventionel"/>
    <x v="0"/>
    <s v="Græs"/>
    <n v="139905.49065394065"/>
    <n v="6942110.4462485351"/>
    <n v="0"/>
    <n v="6942110.4462485351"/>
  </r>
  <r>
    <x v="0"/>
    <x v="4"/>
    <x v="1"/>
    <s v="Konventionel"/>
    <x v="0"/>
    <s v="Grøntsager"/>
    <n v="46635.163551313555"/>
    <n v="967679.64368975628"/>
    <n v="0"/>
    <n v="967679.64368975628"/>
  </r>
  <r>
    <x v="0"/>
    <x v="5"/>
    <x v="1"/>
    <s v="Konventionel"/>
    <x v="0"/>
    <s v="Kartofler"/>
    <n v="34039.446970381257"/>
    <n v="1445685.930324076"/>
    <n v="0"/>
    <n v="1445685.930324076"/>
  </r>
  <r>
    <x v="0"/>
    <x v="6"/>
    <x v="1"/>
    <s v="Konventionel"/>
    <x v="0"/>
    <s v="Roer"/>
    <n v="20934.388749875463"/>
    <n v="1700997.1993182392"/>
    <n v="0"/>
    <n v="1700997.1993182392"/>
  </r>
  <r>
    <x v="0"/>
    <x v="7"/>
    <x v="1"/>
    <s v="Konventionel"/>
    <x v="0"/>
    <s v="Majs"/>
    <n v="87052.305295785307"/>
    <n v="3874698.1087154048"/>
    <n v="0"/>
    <n v="3874698.1087154048"/>
  </r>
  <r>
    <x v="0"/>
    <x v="8"/>
    <x v="1"/>
    <s v="Konventionel"/>
    <x v="0"/>
    <s v="Frugt"/>
    <n v="3155.9435616144051"/>
    <n v="26793.960838106304"/>
    <n v="0"/>
    <n v="26793.960838106304"/>
  </r>
  <r>
    <x v="0"/>
    <x v="9"/>
    <x v="1"/>
    <s v="Konventionel"/>
    <x v="0"/>
    <s v="Øvrige"/>
    <n v="43477.4503319453"/>
    <n v="1295451.653970618"/>
    <n v="0"/>
    <n v="1295451.653970618"/>
  </r>
  <r>
    <x v="0"/>
    <x v="10"/>
    <x v="1"/>
    <s v="Konventionel"/>
    <x v="0"/>
    <s v="Halm"/>
    <n v="62794.725438569862"/>
    <n v="897265.08822235989"/>
    <n v="156672.21267540852"/>
    <n v="156672.21267540852"/>
  </r>
  <r>
    <x v="0"/>
    <x v="11"/>
    <x v="1"/>
    <s v="Konventionel"/>
    <x v="0"/>
    <s v="Juletræer"/>
    <n v="11793.931779450841"/>
    <n v="589696.58897254209"/>
    <n v="0"/>
    <n v="589696.58897254209"/>
  </r>
  <r>
    <x v="0"/>
    <x v="12"/>
    <x v="1"/>
    <s v="Konventionel"/>
    <x v="0"/>
    <s v="Pil &amp; poppel"/>
    <n v="4535.2843920639016"/>
    <n v="110616.69248936347"/>
    <n v="0"/>
    <n v="110616.69248936347"/>
  </r>
  <r>
    <x v="0"/>
    <x v="13"/>
    <x v="1"/>
    <s v="Konventionel"/>
    <x v="0"/>
    <s v="Græs"/>
    <n v="170995.5996881497"/>
    <n v="2358029.3196995845"/>
    <n v="0"/>
    <n v="2358029.3196995845"/>
  </r>
  <r>
    <x v="0"/>
    <x v="0"/>
    <x v="2"/>
    <s v="Konventionel"/>
    <x v="0"/>
    <s v="Korn"/>
    <n v="0"/>
    <n v="0"/>
    <n v="0"/>
    <n v="0"/>
  </r>
  <r>
    <x v="0"/>
    <x v="1"/>
    <x v="2"/>
    <s v="Konventionel"/>
    <x v="0"/>
    <s v="Halm"/>
    <n v="337598.06480333197"/>
    <n v="1303128.5301408616"/>
    <n v="442315.41413725627"/>
    <n v="442315.41413725627"/>
  </r>
  <r>
    <x v="0"/>
    <x v="2"/>
    <x v="2"/>
    <s v="Konventionel"/>
    <x v="0"/>
    <s v="Halm"/>
    <n v="202558.83888199917"/>
    <n v="891258.89108079637"/>
    <n v="544247.24183848815"/>
    <n v="544247.24183848815"/>
  </r>
  <r>
    <x v="0"/>
    <x v="3"/>
    <x v="2"/>
    <s v="Konventionel"/>
    <x v="0"/>
    <s v="Græs"/>
    <n v="472637.29072466469"/>
    <n v="23452262.365757864"/>
    <n v="0"/>
    <n v="23452262.365757864"/>
  </r>
  <r>
    <x v="0"/>
    <x v="4"/>
    <x v="2"/>
    <s v="Konventionel"/>
    <x v="0"/>
    <s v="Grøntsager"/>
    <n v="135039.22592133281"/>
    <n v="2802063.9378676559"/>
    <n v="0"/>
    <n v="2802063.9378676559"/>
  </r>
  <r>
    <x v="0"/>
    <x v="5"/>
    <x v="2"/>
    <s v="Konventionel"/>
    <x v="0"/>
    <s v="Kartofler"/>
    <n v="0"/>
    <n v="0"/>
    <n v="0"/>
    <n v="0"/>
  </r>
  <r>
    <x v="0"/>
    <x v="6"/>
    <x v="2"/>
    <s v="Konventionel"/>
    <x v="0"/>
    <s v="Roer"/>
    <n v="0"/>
    <n v="0"/>
    <n v="0"/>
    <n v="0"/>
  </r>
  <r>
    <x v="0"/>
    <x v="7"/>
    <x v="2"/>
    <s v="Konventionel"/>
    <x v="0"/>
    <s v="Majs"/>
    <n v="0"/>
    <n v="0"/>
    <n v="0"/>
    <n v="0"/>
  </r>
  <r>
    <x v="0"/>
    <x v="8"/>
    <x v="2"/>
    <s v="Konventionel"/>
    <x v="0"/>
    <s v="Frugt"/>
    <n v="188373.71840347553"/>
    <n v="1599292.8692455075"/>
    <n v="0"/>
    <n v="1599292.8692455075"/>
  </r>
  <r>
    <x v="0"/>
    <x v="9"/>
    <x v="2"/>
    <s v="Konventionel"/>
    <x v="0"/>
    <s v="Øvrige"/>
    <n v="0"/>
    <n v="0"/>
    <n v="0"/>
    <n v="0"/>
  </r>
  <r>
    <x v="0"/>
    <x v="10"/>
    <x v="2"/>
    <s v="Konventionel"/>
    <x v="0"/>
    <s v="Frø"/>
    <n v="0"/>
    <n v="0"/>
    <n v="0"/>
    <n v="0"/>
  </r>
  <r>
    <x v="0"/>
    <x v="11"/>
    <x v="2"/>
    <s v="Konventionel"/>
    <x v="0"/>
    <s v="Juletræer"/>
    <n v="10245.338260561472"/>
    <n v="512266.91302807361"/>
    <n v="0"/>
    <n v="512266.91302807361"/>
  </r>
  <r>
    <x v="0"/>
    <x v="12"/>
    <x v="2"/>
    <s v="Konventionel"/>
    <x v="0"/>
    <s v="Pil &amp; poppel"/>
    <n v="3939.7822179621876"/>
    <n v="96092.249218589946"/>
    <n v="0"/>
    <n v="96092.249218589946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99671.748639212907"/>
    <n v="468128.30183379131"/>
    <n v="160596.62254123858"/>
    <n v="160596.62254123858"/>
  </r>
  <r>
    <x v="0"/>
    <x v="1"/>
    <x v="1"/>
    <s v="Økologisk"/>
    <x v="0"/>
    <s v="Halm"/>
    <n v="29658.422765814572"/>
    <n v="65254.461769345216"/>
    <n v="20361.698420380486"/>
    <n v="20361.698420380486"/>
  </r>
  <r>
    <x v="0"/>
    <x v="2"/>
    <x v="1"/>
    <s v="Økologisk"/>
    <x v="0"/>
    <s v="Halm"/>
    <n v="15881.766583829967"/>
    <n v="38433.875132868525"/>
    <n v="21575.730266480681"/>
    <n v="21575.730266480681"/>
  </r>
  <r>
    <x v="0"/>
    <x v="3"/>
    <x v="1"/>
    <s v="Økologisk"/>
    <x v="0"/>
    <s v="Græs"/>
    <n v="21879.164335436981"/>
    <n v="846802.42477301881"/>
    <n v="0"/>
    <n v="846802.42477301881"/>
  </r>
  <r>
    <x v="0"/>
    <x v="4"/>
    <x v="1"/>
    <s v="Økologisk"/>
    <x v="0"/>
    <s v="Grøntsager"/>
    <n v="7293.0547784789933"/>
    <n v="86258.605392460304"/>
    <n v="0"/>
    <n v="86258.605392460304"/>
  </r>
  <r>
    <x v="0"/>
    <x v="5"/>
    <x v="1"/>
    <s v="Økologisk"/>
    <x v="0"/>
    <s v="Kartofler"/>
    <n v="5323.269663479693"/>
    <n v="128867.90891845687"/>
    <n v="0"/>
    <n v="128867.90891845687"/>
  </r>
  <r>
    <x v="0"/>
    <x v="6"/>
    <x v="1"/>
    <s v="Økologisk"/>
    <x v="0"/>
    <s v="Roer"/>
    <n v="3273.8309953351877"/>
    <n v="151626.26097021959"/>
    <n v="0"/>
    <n v="151626.26097021959"/>
  </r>
  <r>
    <x v="0"/>
    <x v="7"/>
    <x v="1"/>
    <s v="Økologisk"/>
    <x v="0"/>
    <s v="Majs"/>
    <n v="13613.702253160789"/>
    <n v="502935.08644919499"/>
    <n v="0"/>
    <n v="502935.08644919499"/>
  </r>
  <r>
    <x v="0"/>
    <x v="8"/>
    <x v="1"/>
    <s v="Økologisk"/>
    <x v="0"/>
    <s v="Frugt"/>
    <n v="493.54323047064037"/>
    <n v="2388.4037552165701"/>
    <n v="0"/>
    <n v="2388.4037552165701"/>
  </r>
  <r>
    <x v="0"/>
    <x v="9"/>
    <x v="1"/>
    <s v="Økologisk"/>
    <x v="0"/>
    <s v="Øvrige"/>
    <n v="6799.2347995216924"/>
    <n v="115476.08111170237"/>
    <n v="0"/>
    <n v="115476.08111170237"/>
  </r>
  <r>
    <x v="0"/>
    <x v="10"/>
    <x v="1"/>
    <s v="Økologisk"/>
    <x v="0"/>
    <s v="Halm"/>
    <n v="9820.1729671030407"/>
    <n v="79981.87797181512"/>
    <n v="13965.703068426281"/>
    <n v="13965.703068426281"/>
  </r>
  <r>
    <x v="0"/>
    <x v="11"/>
    <x v="1"/>
    <s v="Økologisk"/>
    <x v="0"/>
    <s v="Juletræer"/>
    <n v="1844.3977456310754"/>
    <n v="52565.335750485647"/>
    <n v="0"/>
    <n v="52565.335750485647"/>
  </r>
  <r>
    <x v="0"/>
    <x v="12"/>
    <x v="1"/>
    <s v="Økologisk"/>
    <x v="0"/>
    <s v="Pil &amp; poppel"/>
    <n v="709.25188181035526"/>
    <n v="9860.3310398024987"/>
    <n v="0"/>
    <n v="9860.3310398024987"/>
  </r>
  <r>
    <x v="0"/>
    <x v="13"/>
    <x v="1"/>
    <s v="Økologisk"/>
    <x v="0"/>
    <s v="Græs"/>
    <n v="26741.200854422976"/>
    <n v="368761.15978249285"/>
    <n v="0"/>
    <n v="368761.15978249285"/>
  </r>
  <r>
    <x v="0"/>
    <x v="0"/>
    <x v="2"/>
    <s v="Økologisk"/>
    <x v="0"/>
    <s v="Korn"/>
    <n v="0"/>
    <n v="0"/>
    <n v="0"/>
    <n v="0"/>
  </r>
  <r>
    <x v="0"/>
    <x v="1"/>
    <x v="2"/>
    <s v="Økologisk"/>
    <x v="0"/>
    <s v="Halm"/>
    <n v="71611.710715858295"/>
    <n v="157560.08591703142"/>
    <n v="53479.9546184137"/>
    <n v="53479.9546184137"/>
  </r>
  <r>
    <x v="0"/>
    <x v="2"/>
    <x v="2"/>
    <s v="Økologisk"/>
    <x v="0"/>
    <s v="Halm"/>
    <n v="42967.026429514983"/>
    <n v="103980.20395942628"/>
    <n v="63495.511547823648"/>
    <n v="63495.511547823648"/>
  </r>
  <r>
    <x v="0"/>
    <x v="3"/>
    <x v="2"/>
    <s v="Økologisk"/>
    <x v="0"/>
    <s v="Græs"/>
    <n v="100256.39500220161"/>
    <n v="3880283.4096072102"/>
    <n v="0"/>
    <n v="3880283.4096072102"/>
  </r>
  <r>
    <x v="0"/>
    <x v="4"/>
    <x v="2"/>
    <s v="Økologisk"/>
    <x v="0"/>
    <s v="Grøntsager"/>
    <n v="28644.684286343319"/>
    <n v="338795.00339672563"/>
    <n v="0"/>
    <n v="338795.00339672563"/>
  </r>
  <r>
    <x v="0"/>
    <x v="5"/>
    <x v="2"/>
    <s v="Økologisk"/>
    <x v="0"/>
    <s v="Kartofler"/>
    <n v="0"/>
    <n v="0"/>
    <n v="0"/>
    <n v="0"/>
  </r>
  <r>
    <x v="0"/>
    <x v="6"/>
    <x v="2"/>
    <s v="Økologisk"/>
    <x v="0"/>
    <s v="Roer"/>
    <n v="0"/>
    <n v="0"/>
    <n v="0"/>
    <n v="0"/>
  </r>
  <r>
    <x v="0"/>
    <x v="7"/>
    <x v="2"/>
    <s v="Økologisk"/>
    <x v="0"/>
    <s v="Majs"/>
    <n v="0"/>
    <n v="0"/>
    <n v="0"/>
    <n v="0"/>
  </r>
  <r>
    <x v="0"/>
    <x v="8"/>
    <x v="2"/>
    <s v="Økologisk"/>
    <x v="0"/>
    <s v="Frugt"/>
    <n v="39958.061479525117"/>
    <n v="193369.0469178659"/>
    <n v="0"/>
    <n v="193369.0469178659"/>
  </r>
  <r>
    <x v="0"/>
    <x v="9"/>
    <x v="2"/>
    <s v="Økologisk"/>
    <x v="0"/>
    <s v="Øvrige"/>
    <n v="0"/>
    <n v="0"/>
    <n v="0"/>
    <n v="0"/>
  </r>
  <r>
    <x v="0"/>
    <x v="10"/>
    <x v="2"/>
    <s v="Økologisk"/>
    <x v="0"/>
    <s v="Frø"/>
    <n v="0"/>
    <n v="0"/>
    <n v="0"/>
    <n v="0"/>
  </r>
  <r>
    <x v="0"/>
    <x v="11"/>
    <x v="2"/>
    <s v="Økologisk"/>
    <x v="0"/>
    <s v="Juletræer"/>
    <n v="2173.2535704221305"/>
    <n v="61937.726757030716"/>
    <n v="0"/>
    <n v="61937.726757030716"/>
  </r>
  <r>
    <x v="0"/>
    <x v="12"/>
    <x v="2"/>
    <s v="Økologisk"/>
    <x v="0"/>
    <s v="Pil &amp; poppel"/>
    <n v="835.7113795677368"/>
    <n v="11618.426496429513"/>
    <n v="0"/>
    <n v="11618.426496429513"/>
  </r>
  <r>
    <x v="0"/>
    <x v="13"/>
    <x v="2"/>
    <s v="Økologisk"/>
    <x v="0"/>
    <s v="Græs"/>
    <n v="0"/>
    <n v="0"/>
    <n v="0"/>
    <n v="0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16851.178700525419"/>
    <n v="141752.11522881981"/>
    <n v="48629.640324347674"/>
    <n v="48629.640324347674"/>
  </r>
  <r>
    <x v="0"/>
    <x v="1"/>
    <x v="1"/>
    <s v="Konventionel"/>
    <x v="1"/>
    <s v="Halm"/>
    <n v="1444.5538636691219"/>
    <n v="6691.1734965153728"/>
    <n v="2087.8826232000652"/>
    <n v="2087.8826232000652"/>
  </r>
  <r>
    <x v="0"/>
    <x v="2"/>
    <x v="1"/>
    <s v="Konventionel"/>
    <x v="1"/>
    <s v="Halm"/>
    <n v="1546.8037177185506"/>
    <n v="8167.1236295539466"/>
    <n v="4584.8006706344586"/>
    <n v="4584.8006706344586"/>
  </r>
  <r>
    <x v="0"/>
    <x v="3"/>
    <x v="1"/>
    <s v="Konventionel"/>
    <x v="1"/>
    <s v="Græs"/>
    <n v="14274.450695696209"/>
    <n v="849957.892224535"/>
    <n v="0"/>
    <n v="849957.892224535"/>
  </r>
  <r>
    <x v="0"/>
    <x v="4"/>
    <x v="1"/>
    <s v="Konventionel"/>
    <x v="1"/>
    <s v="Grøntsager"/>
    <n v="66.762142822909354"/>
    <n v="1662.377356290443"/>
    <n v="0"/>
    <n v="1662.377356290443"/>
  </r>
  <r>
    <x v="0"/>
    <x v="5"/>
    <x v="1"/>
    <s v="Konventionel"/>
    <x v="1"/>
    <s v="Kartofler"/>
    <n v="1054.0011940040383"/>
    <n v="53717.254503304226"/>
    <n v="0"/>
    <n v="53717.254503304226"/>
  </r>
  <r>
    <x v="0"/>
    <x v="6"/>
    <x v="1"/>
    <s v="Konventionel"/>
    <x v="1"/>
    <s v="Roer"/>
    <n v="27.652057994053425"/>
    <n v="2696.199469605257"/>
    <n v="0"/>
    <n v="2696.199469605257"/>
  </r>
  <r>
    <x v="0"/>
    <x v="7"/>
    <x v="1"/>
    <s v="Konventionel"/>
    <x v="1"/>
    <s v="Majs"/>
    <n v="3569.4651454094223"/>
    <n v="190652.27234660808"/>
    <n v="0"/>
    <n v="190652.27234660808"/>
  </r>
  <r>
    <x v="0"/>
    <x v="8"/>
    <x v="1"/>
    <s v="Konventionel"/>
    <x v="1"/>
    <s v="Frugt"/>
    <n v="60.808907260539151"/>
    <n v="619.52114717037284"/>
    <n v="0"/>
    <n v="619.52114717037284"/>
  </r>
  <r>
    <x v="0"/>
    <x v="9"/>
    <x v="1"/>
    <s v="Konventionel"/>
    <x v="1"/>
    <s v="Øvrige"/>
    <n v="1075.4603376621412"/>
    <n v="38453.226559531351"/>
    <n v="0"/>
    <n v="38453.226559531351"/>
  </r>
  <r>
    <x v="0"/>
    <x v="10"/>
    <x v="1"/>
    <s v="Konventionel"/>
    <x v="1"/>
    <s v="Halm"/>
    <n v="2654.553265707737"/>
    <n v="45516.650390828472"/>
    <n v="7947.7006560371638"/>
    <n v="7947.7006560371638"/>
  </r>
  <r>
    <x v="0"/>
    <x v="11"/>
    <x v="1"/>
    <s v="Konventionel"/>
    <x v="1"/>
    <s v="Juletræer"/>
    <n v="304.98975247773001"/>
    <n v="18299.385148663798"/>
    <n v="0"/>
    <n v="18299.385148663798"/>
  </r>
  <r>
    <x v="0"/>
    <x v="12"/>
    <x v="1"/>
    <s v="Konventionel"/>
    <x v="1"/>
    <s v="Pil &amp; poppel"/>
    <n v="500.90563602022252"/>
    <n v="14660.65276156749"/>
    <n v="0"/>
    <n v="14660.65276156749"/>
  </r>
  <r>
    <x v="0"/>
    <x v="13"/>
    <x v="1"/>
    <s v="Konventionel"/>
    <x v="1"/>
    <s v="Græs"/>
    <n v="14158.130367806998"/>
    <n v="234288.74132647022"/>
    <n v="0"/>
    <n v="234288.74132647022"/>
  </r>
  <r>
    <x v="0"/>
    <x v="0"/>
    <x v="2"/>
    <s v="Konventionel"/>
    <x v="1"/>
    <s v="Halm"/>
    <n v="1830.4013535168494"/>
    <n v="15397.336185783737"/>
    <n v="5745.900931129846"/>
    <n v="5745.900931129846"/>
  </r>
  <r>
    <x v="0"/>
    <x v="1"/>
    <x v="2"/>
    <s v="Konventionel"/>
    <x v="1"/>
    <s v="Halm"/>
    <n v="156.90969719557435"/>
    <n v="726.80571740990047"/>
    <n v="246.69659550676531"/>
    <n v="246.69659550676531"/>
  </r>
  <r>
    <x v="0"/>
    <x v="2"/>
    <x v="2"/>
    <s v="Konventionel"/>
    <x v="1"/>
    <s v="Halm"/>
    <n v="168.0162360659466"/>
    <n v="887.12572642819816"/>
    <n v="541.72332484337903"/>
    <n v="541.72332484337903"/>
  </r>
  <r>
    <x v="0"/>
    <x v="3"/>
    <x v="2"/>
    <s v="Konventionel"/>
    <x v="1"/>
    <s v="Græs"/>
    <n v="1550.5131325500222"/>
    <n v="92323.753964558535"/>
    <n v="0"/>
    <n v="92323.753964558535"/>
  </r>
  <r>
    <x v="0"/>
    <x v="4"/>
    <x v="2"/>
    <s v="Konventionel"/>
    <x v="1"/>
    <s v="Grøntsager"/>
    <n v="7.2518082419319594"/>
    <n v="180.57002522410579"/>
    <n v="0"/>
    <n v="180.57002522410579"/>
  </r>
  <r>
    <x v="0"/>
    <x v="5"/>
    <x v="2"/>
    <s v="Konventionel"/>
    <x v="1"/>
    <s v="Kartofler"/>
    <n v="114.48725613794682"/>
    <n v="5834.8520953606294"/>
    <n v="0"/>
    <n v="5834.8520953606294"/>
  </r>
  <r>
    <x v="0"/>
    <x v="6"/>
    <x v="2"/>
    <s v="Konventionel"/>
    <x v="1"/>
    <s v="Roer"/>
    <n v="3.0036097343305523"/>
    <n v="292.86539809603926"/>
    <n v="0"/>
    <n v="292.86539809603926"/>
  </r>
  <r>
    <x v="0"/>
    <x v="7"/>
    <x v="2"/>
    <s v="Konventionel"/>
    <x v="1"/>
    <s v="Majs"/>
    <n v="387.72087992188403"/>
    <n v="20708.947638387672"/>
    <n v="0"/>
    <n v="20708.947638387672"/>
  </r>
  <r>
    <x v="0"/>
    <x v="8"/>
    <x v="2"/>
    <s v="Konventionel"/>
    <x v="1"/>
    <s v="Frugt"/>
    <n v="6.6051584956547265"/>
    <n v="67.293354753730355"/>
    <n v="0"/>
    <n v="67.293354753730355"/>
  </r>
  <r>
    <x v="0"/>
    <x v="9"/>
    <x v="2"/>
    <s v="Konventionel"/>
    <x v="1"/>
    <s v="Øvrige"/>
    <n v="116.81818184321391"/>
    <n v="4176.8495363153243"/>
    <n v="0"/>
    <n v="4176.8495363153243"/>
  </r>
  <r>
    <x v="0"/>
    <x v="10"/>
    <x v="2"/>
    <s v="Konventionel"/>
    <x v="1"/>
    <s v="Halm"/>
    <n v="288.34172237355216"/>
    <n v="4944.0896665779219"/>
    <n v="939.07132142618457"/>
    <n v="939.07132142618457"/>
  </r>
  <r>
    <x v="0"/>
    <x v="11"/>
    <x v="2"/>
    <s v="Konventionel"/>
    <x v="1"/>
    <s v="Juletræer"/>
    <n v="33.128463335719047"/>
    <n v="1987.7078001431428"/>
    <n v="0"/>
    <n v="1987.7078001431428"/>
  </r>
  <r>
    <x v="0"/>
    <x v="12"/>
    <x v="2"/>
    <s v="Konventionel"/>
    <x v="1"/>
    <s v="Pil &amp; poppel"/>
    <n v="54.409152644440603"/>
    <n v="1592.4630042275298"/>
    <n v="0"/>
    <n v="1592.4630042275298"/>
  </r>
  <r>
    <x v="0"/>
    <x v="13"/>
    <x v="2"/>
    <s v="Konventionel"/>
    <x v="1"/>
    <s v="Græs"/>
    <n v="1537.8782368318195"/>
    <n v="25448.809063092951"/>
    <n v="0"/>
    <n v="25448.80906309295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2635.2769023667065"/>
    <n v="14852.526032814852"/>
    <n v="5095.3243111602642"/>
    <n v="5095.3243111602642"/>
  </r>
  <r>
    <x v="0"/>
    <x v="1"/>
    <x v="1"/>
    <s v="Økologisk"/>
    <x v="1"/>
    <s v="Halm"/>
    <n v="225.90701213281457"/>
    <n v="596.44872971354232"/>
    <n v="186.11308450560904"/>
    <n v="186.11308450560904"/>
  </r>
  <r>
    <x v="0"/>
    <x v="2"/>
    <x v="1"/>
    <s v="Økologisk"/>
    <x v="1"/>
    <s v="Halm"/>
    <n v="241.89738784691369"/>
    <n v="702.4700143074374"/>
    <n v="394.34752536900641"/>
    <n v="394.34752536900641"/>
  </r>
  <r>
    <x v="0"/>
    <x v="3"/>
    <x v="1"/>
    <s v="Økologisk"/>
    <x v="1"/>
    <s v="Græs"/>
    <n v="2232.3144796492898"/>
    <n v="103678.32803346511"/>
    <n v="0"/>
    <n v="103678.32803346511"/>
  </r>
  <r>
    <x v="0"/>
    <x v="4"/>
    <x v="1"/>
    <s v="Økologisk"/>
    <x v="1"/>
    <s v="Grøntsager"/>
    <n v="10.440618787588701"/>
    <n v="148.18370245224639"/>
    <n v="0"/>
    <n v="148.18370245224639"/>
  </r>
  <r>
    <x v="0"/>
    <x v="5"/>
    <x v="1"/>
    <s v="Økologisk"/>
    <x v="1"/>
    <s v="Kartofler"/>
    <n v="164.83030955805884"/>
    <n v="4788.3361907863282"/>
    <n v="0"/>
    <n v="4788.3361907863282"/>
  </r>
  <r>
    <x v="0"/>
    <x v="6"/>
    <x v="1"/>
    <s v="Økologisk"/>
    <x v="1"/>
    <s v="Roer"/>
    <n v="4.3243758213994576"/>
    <n v="240.3382231140578"/>
    <n v="0"/>
    <n v="240.3382231140578"/>
  </r>
  <r>
    <x v="0"/>
    <x v="7"/>
    <x v="1"/>
    <s v="Økologisk"/>
    <x v="1"/>
    <s v="Majs"/>
    <n v="558.21193393475642"/>
    <n v="24746.629126718264"/>
    <n v="0"/>
    <n v="24746.629126718264"/>
  </r>
  <r>
    <x v="0"/>
    <x v="8"/>
    <x v="1"/>
    <s v="Økologisk"/>
    <x v="1"/>
    <s v="Frugt"/>
    <n v="9.5096201642477052"/>
    <n v="55.223885833012702"/>
    <n v="0"/>
    <n v="55.223885833012702"/>
  </r>
  <r>
    <x v="0"/>
    <x v="9"/>
    <x v="1"/>
    <s v="Økologisk"/>
    <x v="1"/>
    <s v="Øvrige"/>
    <n v="168.18620451542492"/>
    <n v="3427.706387640942"/>
    <n v="0"/>
    <n v="3427.706387640942"/>
  </r>
  <r>
    <x v="0"/>
    <x v="10"/>
    <x v="1"/>
    <s v="Økologisk"/>
    <x v="1"/>
    <s v="Halm"/>
    <n v="415.13315071565842"/>
    <n v="4057.3373744625455"/>
    <n v="708.45509579232339"/>
    <n v="708.45509579232339"/>
  </r>
  <r>
    <x v="0"/>
    <x v="11"/>
    <x v="1"/>
    <s v="Økologisk"/>
    <x v="1"/>
    <s v="Juletræer"/>
    <n v="47.695918751252741"/>
    <n v="1631.2004212928437"/>
    <n v="0"/>
    <n v="1631.2004212928437"/>
  </r>
  <r>
    <x v="0"/>
    <x v="12"/>
    <x v="1"/>
    <s v="Økologisk"/>
    <x v="1"/>
    <s v="Pil &amp; poppel"/>
    <n v="78.334286065593687"/>
    <n v="1306.8451626552703"/>
    <n v="0"/>
    <n v="1306.8451626552703"/>
  </r>
  <r>
    <x v="0"/>
    <x v="13"/>
    <x v="1"/>
    <s v="Økologisk"/>
    <x v="1"/>
    <s v="Græs"/>
    <n v="2214.1236884405648"/>
    <n v="36639.318796314466"/>
    <n v="0"/>
    <n v="36639.318796314466"/>
  </r>
  <r>
    <x v="0"/>
    <x v="0"/>
    <x v="2"/>
    <s v="Økologisk"/>
    <x v="1"/>
    <s v="Halm"/>
    <n v="388.26695377630136"/>
    <n v="2188.2880821613853"/>
    <n v="816.61440506057488"/>
    <n v="816.61440506057488"/>
  </r>
  <r>
    <x v="0"/>
    <x v="1"/>
    <x v="2"/>
    <s v="Økologisk"/>
    <x v="1"/>
    <s v="Halm"/>
    <n v="33.283875162697591"/>
    <n v="87.877418559560681"/>
    <n v="29.827861093090707"/>
    <n v="29.827861093090707"/>
  </r>
  <r>
    <x v="0"/>
    <x v="2"/>
    <x v="2"/>
    <s v="Økologisk"/>
    <x v="1"/>
    <s v="Halm"/>
    <n v="35.63980765035231"/>
    <n v="103.49800141662314"/>
    <n v="63.201054565060886"/>
    <n v="63.201054565060886"/>
  </r>
  <r>
    <x v="0"/>
    <x v="3"/>
    <x v="2"/>
    <s v="Økologisk"/>
    <x v="1"/>
    <s v="Græs"/>
    <n v="328.89672508636835"/>
    <n v="15275.384746863321"/>
    <n v="0"/>
    <n v="15275.384746863321"/>
  </r>
  <r>
    <x v="0"/>
    <x v="4"/>
    <x v="2"/>
    <s v="Økologisk"/>
    <x v="1"/>
    <s v="Grøntsager"/>
    <n v="1.5382623543492036"/>
    <n v="21.832557595278246"/>
    <n v="0"/>
    <n v="21.832557595278246"/>
  </r>
  <r>
    <x v="0"/>
    <x v="5"/>
    <x v="2"/>
    <s v="Økologisk"/>
    <x v="1"/>
    <s v="Kartofler"/>
    <n v="24.285175544412962"/>
    <n v="705.48666243905791"/>
    <n v="0"/>
    <n v="705.48666243905791"/>
  </r>
  <r>
    <x v="0"/>
    <x v="6"/>
    <x v="2"/>
    <s v="Økologisk"/>
    <x v="1"/>
    <s v="Roer"/>
    <n v="0.63712933758526868"/>
    <n v="35.410089042521115"/>
    <n v="0"/>
    <n v="35.410089042521115"/>
  </r>
  <r>
    <x v="0"/>
    <x v="7"/>
    <x v="2"/>
    <s v="Økologisk"/>
    <x v="1"/>
    <s v="Majs"/>
    <n v="82.243823013732964"/>
    <n v="3646.0298720918895"/>
    <n v="0"/>
    <n v="3646.0298720918895"/>
  </r>
  <r>
    <x v="0"/>
    <x v="8"/>
    <x v="2"/>
    <s v="Økologisk"/>
    <x v="1"/>
    <s v="Frugt"/>
    <n v="1.4010942263510027"/>
    <n v="8.136378347496489"/>
    <n v="0"/>
    <n v="8.136378347496489"/>
  </r>
  <r>
    <x v="0"/>
    <x v="9"/>
    <x v="2"/>
    <s v="Økologisk"/>
    <x v="1"/>
    <s v="Øvrige"/>
    <n v="24.77961433037871"/>
    <n v="505.01908029994365"/>
    <n v="0"/>
    <n v="505.01908029994365"/>
  </r>
  <r>
    <x v="0"/>
    <x v="10"/>
    <x v="2"/>
    <s v="Økologisk"/>
    <x v="1"/>
    <s v="Halm"/>
    <n v="61.163395654995902"/>
    <n v="597.78538695896668"/>
    <n v="113.54225977243867"/>
    <n v="113.54225977243867"/>
  </r>
  <r>
    <x v="0"/>
    <x v="11"/>
    <x v="2"/>
    <s v="Økologisk"/>
    <x v="1"/>
    <s v="Juletræer"/>
    <n v="7.0272497984858573"/>
    <n v="240.33194310821634"/>
    <n v="0"/>
    <n v="240.33194310821634"/>
  </r>
  <r>
    <x v="0"/>
    <x v="12"/>
    <x v="2"/>
    <s v="Økologisk"/>
    <x v="1"/>
    <s v="Pil &amp; poppel"/>
    <n v="11.541335409426795"/>
    <n v="192.54325414751042"/>
    <n v="0"/>
    <n v="192.54325414751042"/>
  </r>
  <r>
    <x v="0"/>
    <x v="13"/>
    <x v="2"/>
    <s v="Økologisk"/>
    <x v="1"/>
    <s v="Græs"/>
    <n v="326.21659569159806"/>
    <n v="5398.2322255045656"/>
    <n v="0"/>
    <n v="5398.2322255045656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8266.7568307088786"/>
    <n v="81129.951536576918"/>
    <n v="27832.532561414399"/>
    <n v="27832.532561414399"/>
  </r>
  <r>
    <x v="0"/>
    <x v="1"/>
    <x v="1"/>
    <s v="Konventionel"/>
    <x v="2"/>
    <s v="Halm"/>
    <n v="475.99342925102297"/>
    <n v="2572.2684916725284"/>
    <n v="802.63868344842786"/>
    <n v="802.63868344842786"/>
  </r>
  <r>
    <x v="0"/>
    <x v="2"/>
    <x v="1"/>
    <s v="Konventionel"/>
    <x v="2"/>
    <s v="Halm"/>
    <n v="616.38993680991337"/>
    <n v="3796.9620107490664"/>
    <n v="2131.5110145096023"/>
    <n v="2131.5110145096023"/>
  </r>
  <r>
    <x v="0"/>
    <x v="3"/>
    <x v="1"/>
    <s v="Konventionel"/>
    <x v="2"/>
    <s v="Græs"/>
    <n v="14215.89771790568"/>
    <n v="987549.98266747175"/>
    <n v="0"/>
    <n v="987549.98266747175"/>
  </r>
  <r>
    <x v="0"/>
    <x v="4"/>
    <x v="1"/>
    <s v="Konventionel"/>
    <x v="2"/>
    <s v="Grøntsager"/>
    <n v="16.523315723463227"/>
    <n v="480.00232176660677"/>
    <n v="0"/>
    <n v="480.00232176660677"/>
  </r>
  <r>
    <x v="0"/>
    <x v="5"/>
    <x v="1"/>
    <s v="Konventionel"/>
    <x v="2"/>
    <s v="Kartofler"/>
    <n v="874.58394661057821"/>
    <n v="52002.113625504528"/>
    <n v="0"/>
    <n v="52002.113625504528"/>
  </r>
  <r>
    <x v="0"/>
    <x v="6"/>
    <x v="1"/>
    <s v="Konventionel"/>
    <x v="2"/>
    <s v="Roer"/>
    <n v="9.4578056299713129"/>
    <n v="1075.8747968565574"/>
    <n v="0"/>
    <n v="1075.8747968565574"/>
  </r>
  <r>
    <x v="0"/>
    <x v="7"/>
    <x v="1"/>
    <s v="Konventionel"/>
    <x v="2"/>
    <s v="Majs"/>
    <n v="1176.1707180927949"/>
    <n v="73291.902127234425"/>
    <n v="0"/>
    <n v="73291.902127234425"/>
  </r>
  <r>
    <x v="0"/>
    <x v="8"/>
    <x v="1"/>
    <s v="Konventionel"/>
    <x v="2"/>
    <s v="Frugt"/>
    <n v="33.705478633164141"/>
    <n v="400.62331903378896"/>
    <n v="0"/>
    <n v="400.62331903378896"/>
  </r>
  <r>
    <x v="0"/>
    <x v="9"/>
    <x v="1"/>
    <s v="Konventionel"/>
    <x v="2"/>
    <s v="Øvrige"/>
    <n v="596.11177153005485"/>
    <n v="24866.397736704123"/>
    <n v="0"/>
    <n v="24866.397736704123"/>
  </r>
  <r>
    <x v="0"/>
    <x v="10"/>
    <x v="1"/>
    <s v="Konventionel"/>
    <x v="2"/>
    <s v="Halm"/>
    <n v="1896.6283551983877"/>
    <n v="37940.921871912171"/>
    <n v="6624.896319541378"/>
    <n v="6624.896319541378"/>
  </r>
  <r>
    <x v="0"/>
    <x v="11"/>
    <x v="1"/>
    <s v="Konventionel"/>
    <x v="2"/>
    <s v="Juletræer"/>
    <n v="169.05131252281291"/>
    <n v="11833.591876596904"/>
    <n v="0"/>
    <n v="11833.591876596904"/>
  </r>
  <r>
    <x v="0"/>
    <x v="12"/>
    <x v="1"/>
    <s v="Konventionel"/>
    <x v="2"/>
    <s v="Pil &amp; poppel"/>
    <n v="399.04965430443821"/>
    <n v="13626.085756736917"/>
    <n v="0"/>
    <n v="13626.085756736917"/>
  </r>
  <r>
    <x v="0"/>
    <x v="13"/>
    <x v="1"/>
    <s v="Konventionel"/>
    <x v="2"/>
    <s v="Græs"/>
    <n v="14758.95687153021"/>
    <n v="284936.42136176227"/>
    <n v="0"/>
    <n v="284936.42136176227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292.799377456608"/>
    <n v="8500.6471705406311"/>
    <n v="2916.2415937164728"/>
    <n v="2916.2415937164728"/>
  </r>
  <r>
    <x v="0"/>
    <x v="1"/>
    <x v="1"/>
    <s v="Økologisk"/>
    <x v="2"/>
    <s v="Halm"/>
    <n v="74.438382743186438"/>
    <n v="229.29106159618232"/>
    <n v="71.546915262484092"/>
    <n v="71.546915262484092"/>
  </r>
  <r>
    <x v="0"/>
    <x v="2"/>
    <x v="1"/>
    <s v="Økologisk"/>
    <x v="2"/>
    <s v="Halm"/>
    <n v="96.394334912357877"/>
    <n v="326.58400668306854"/>
    <n v="183.33536270232733"/>
    <n v="183.33536270232733"/>
  </r>
  <r>
    <x v="0"/>
    <x v="3"/>
    <x v="1"/>
    <s v="Økologisk"/>
    <x v="2"/>
    <s v="Græs"/>
    <n v="2223.1576537275891"/>
    <n v="120461.88639353556"/>
    <n v="0"/>
    <n v="120461.88639353556"/>
  </r>
  <r>
    <x v="0"/>
    <x v="4"/>
    <x v="1"/>
    <s v="Økologisk"/>
    <x v="2"/>
    <s v="Grøntsager"/>
    <n v="2.5840039471658796"/>
    <n v="42.78722935914621"/>
    <n v="0"/>
    <n v="42.78722935914621"/>
  </r>
  <r>
    <x v="0"/>
    <x v="5"/>
    <x v="1"/>
    <s v="Økologisk"/>
    <x v="2"/>
    <s v="Kartofler"/>
    <n v="136.7720866678431"/>
    <n v="4635.4491675495001"/>
    <n v="0"/>
    <n v="4635.4491675495001"/>
  </r>
  <r>
    <x v="0"/>
    <x v="6"/>
    <x v="1"/>
    <s v="Økologisk"/>
    <x v="2"/>
    <s v="Roer"/>
    <n v="1.479061920040055"/>
    <n v="95.903081313030611"/>
    <n v="0"/>
    <n v="95.903081313030611"/>
  </r>
  <r>
    <x v="0"/>
    <x v="7"/>
    <x v="1"/>
    <s v="Økologisk"/>
    <x v="2"/>
    <s v="Majs"/>
    <n v="183.93582916151516"/>
    <n v="9513.275124447644"/>
    <n v="0"/>
    <n v="9513.275124447644"/>
  </r>
  <r>
    <x v="0"/>
    <x v="8"/>
    <x v="1"/>
    <s v="Økologisk"/>
    <x v="2"/>
    <s v="Frugt"/>
    <n v="5.2710419196030802"/>
    <n v="35.711414426149261"/>
    <n v="0"/>
    <n v="35.711414426149261"/>
  </r>
  <r>
    <x v="0"/>
    <x v="9"/>
    <x v="1"/>
    <s v="Økologisk"/>
    <x v="2"/>
    <s v="Øvrige"/>
    <n v="93.223127631604285"/>
    <n v="2216.5814935650428"/>
    <n v="0"/>
    <n v="2216.5814935650428"/>
  </r>
  <r>
    <x v="0"/>
    <x v="10"/>
    <x v="1"/>
    <s v="Økologisk"/>
    <x v="2"/>
    <s v="Halm"/>
    <n v="296.60482424723369"/>
    <n v="3382.0397373417254"/>
    <n v="590.54080668094912"/>
    <n v="590.54080668094912"/>
  </r>
  <r>
    <x v="0"/>
    <x v="11"/>
    <x v="1"/>
    <s v="Økologisk"/>
    <x v="2"/>
    <s v="Juletræer"/>
    <n v="26.437142892102489"/>
    <n v="1054.8420013948892"/>
    <n v="0"/>
    <n v="1054.8420013948892"/>
  </r>
  <r>
    <x v="0"/>
    <x v="12"/>
    <x v="1"/>
    <s v="Økologisk"/>
    <x v="2"/>
    <s v="Pil &amp; poppel"/>
    <n v="62.405506200768976"/>
    <n v="1214.6242426393571"/>
    <n v="0"/>
    <n v="1214.6242426393571"/>
  </r>
  <r>
    <x v="0"/>
    <x v="13"/>
    <x v="1"/>
    <s v="Økologisk"/>
    <x v="2"/>
    <s v="Græs"/>
    <n v="2308.0841309550201"/>
    <n v="44559.872232217625"/>
    <n v="0"/>
    <n v="44559.872232217625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190577.22290130702"/>
    <n v="1335946.3325381624"/>
    <n v="458311.25369163969"/>
    <n v="458311.25369163969"/>
  </r>
  <r>
    <x v="1"/>
    <x v="1"/>
    <x v="1"/>
    <s v="Konventionel"/>
    <x v="0"/>
    <s v="Halm"/>
    <n v="56708.344375510875"/>
    <n v="218894.209289472"/>
    <n v="68302.729877295278"/>
    <n v="68302.729877295278"/>
  </r>
  <r>
    <x v="1"/>
    <x v="2"/>
    <x v="1"/>
    <s v="Konventionel"/>
    <x v="0"/>
    <s v="Halm"/>
    <n v="30366.708838118309"/>
    <n v="133613.51888772057"/>
    <n v="75006.988848007444"/>
    <n v="75006.988848007444"/>
  </r>
  <r>
    <x v="1"/>
    <x v="3"/>
    <x v="1"/>
    <s v="Konventionel"/>
    <x v="0"/>
    <s v="Græs"/>
    <n v="41834.0245393113"/>
    <n v="2075804.2976406266"/>
    <n v="0"/>
    <n v="2075804.2976406266"/>
  </r>
  <r>
    <x v="1"/>
    <x v="4"/>
    <x v="1"/>
    <s v="Konventionel"/>
    <x v="0"/>
    <s v="Grøntsager"/>
    <n v="13944.674846437101"/>
    <n v="289352.00306356989"/>
    <n v="0"/>
    <n v="289352.00306356989"/>
  </r>
  <r>
    <x v="1"/>
    <x v="5"/>
    <x v="1"/>
    <s v="Konventionel"/>
    <x v="0"/>
    <s v="Kartofler"/>
    <n v="10178.350064800734"/>
    <n v="432283.68238177506"/>
    <n v="0"/>
    <n v="432283.68238177506"/>
  </r>
  <r>
    <x v="1"/>
    <x v="6"/>
    <x v="1"/>
    <s v="Konventionel"/>
    <x v="0"/>
    <s v="Roer"/>
    <n v="6259.7238220193121"/>
    <n v="508625.91771750944"/>
    <n v="0"/>
    <n v="508625.91771750944"/>
  </r>
  <r>
    <x v="1"/>
    <x v="7"/>
    <x v="1"/>
    <s v="Konventionel"/>
    <x v="0"/>
    <s v="Majs"/>
    <n v="26030.059713349256"/>
    <n v="1158597.9578411754"/>
    <n v="0"/>
    <n v="1158597.9578411754"/>
  </r>
  <r>
    <x v="1"/>
    <x v="8"/>
    <x v="1"/>
    <s v="Konventionel"/>
    <x v="0"/>
    <s v="Frugt"/>
    <n v="943.67862036113604"/>
    <n v="8011.8314868660455"/>
    <n v="0"/>
    <n v="8011.8314868660455"/>
  </r>
  <r>
    <x v="1"/>
    <x v="9"/>
    <x v="1"/>
    <s v="Konventionel"/>
    <x v="0"/>
    <s v="Øvrige"/>
    <n v="13000.467069532109"/>
    <n v="387361.18238381506"/>
    <n v="0"/>
    <n v="387361.18238381506"/>
  </r>
  <r>
    <x v="1"/>
    <x v="10"/>
    <x v="1"/>
    <s v="Konventionel"/>
    <x v="0"/>
    <s v="Halm"/>
    <n v="18776.64752582357"/>
    <n v="268296.90202658431"/>
    <n v="46847.548005841112"/>
    <n v="46847.548005841112"/>
  </r>
  <r>
    <x v="1"/>
    <x v="11"/>
    <x v="1"/>
    <s v="Konventionel"/>
    <x v="0"/>
    <s v="Juletræer"/>
    <n v="3526.5780432943488"/>
    <n v="176328.90216471744"/>
    <n v="0"/>
    <n v="176328.90216471744"/>
  </r>
  <r>
    <x v="1"/>
    <x v="12"/>
    <x v="1"/>
    <s v="Konventionel"/>
    <x v="0"/>
    <s v="Pil &amp; poppel"/>
    <n v="1356.1240353293651"/>
    <n v="33076.195983643054"/>
    <n v="0"/>
    <n v="33076.195983643054"/>
  </r>
  <r>
    <x v="1"/>
    <x v="13"/>
    <x v="1"/>
    <s v="Konventionel"/>
    <x v="0"/>
    <s v="Græs"/>
    <n v="51130.474436936034"/>
    <n v="705089.24248534802"/>
    <n v="0"/>
    <n v="705089.24248534802"/>
  </r>
  <r>
    <x v="1"/>
    <x v="0"/>
    <x v="2"/>
    <s v="Konventionel"/>
    <x v="0"/>
    <s v="Korn"/>
    <n v="0"/>
    <n v="0"/>
    <n v="0"/>
    <n v="0"/>
  </r>
  <r>
    <x v="1"/>
    <x v="1"/>
    <x v="2"/>
    <s v="Konventionel"/>
    <x v="0"/>
    <s v="Halm"/>
    <n v="105826.23519666794"/>
    <n v="408489.26785913832"/>
    <n v="138651.78722179355"/>
    <n v="138651.78722179355"/>
  </r>
  <r>
    <x v="1"/>
    <x v="2"/>
    <x v="2"/>
    <s v="Konventionel"/>
    <x v="0"/>
    <s v="Halm"/>
    <n v="63495.741118000762"/>
    <n v="279381.26091920334"/>
    <n v="170604.16698031151"/>
    <n v="170604.16698031151"/>
  </r>
  <r>
    <x v="1"/>
    <x v="3"/>
    <x v="2"/>
    <s v="Konventionel"/>
    <x v="0"/>
    <s v="Græs"/>
    <n v="148156.72927533509"/>
    <n v="7351536.9066421278"/>
    <n v="0"/>
    <n v="7351536.9066421278"/>
  </r>
  <r>
    <x v="1"/>
    <x v="4"/>
    <x v="2"/>
    <s v="Konventionel"/>
    <x v="0"/>
    <s v="Grøntsager"/>
    <n v="42330.49407866718"/>
    <n v="878357.75213234406"/>
    <n v="0"/>
    <n v="878357.75213234406"/>
  </r>
  <r>
    <x v="1"/>
    <x v="5"/>
    <x v="2"/>
    <s v="Konventionel"/>
    <x v="0"/>
    <s v="Kartofler"/>
    <n v="0"/>
    <n v="0"/>
    <n v="0"/>
    <n v="0"/>
  </r>
  <r>
    <x v="1"/>
    <x v="6"/>
    <x v="2"/>
    <s v="Konventionel"/>
    <x v="0"/>
    <s v="Roer"/>
    <n v="0"/>
    <n v="0"/>
    <n v="0"/>
    <n v="0"/>
  </r>
  <r>
    <x v="1"/>
    <x v="7"/>
    <x v="2"/>
    <s v="Konventionel"/>
    <x v="0"/>
    <s v="Majs"/>
    <n v="0"/>
    <n v="0"/>
    <n v="0"/>
    <n v="0"/>
  </r>
  <r>
    <x v="1"/>
    <x v="8"/>
    <x v="2"/>
    <s v="Konventionel"/>
    <x v="0"/>
    <s v="Frugt"/>
    <n v="59049.1578802449"/>
    <n v="501327.3504032793"/>
    <n v="0"/>
    <n v="501327.3504032793"/>
  </r>
  <r>
    <x v="1"/>
    <x v="9"/>
    <x v="2"/>
    <s v="Konventionel"/>
    <x v="0"/>
    <s v="Øvrige"/>
    <n v="0"/>
    <n v="0"/>
    <n v="0"/>
    <n v="0"/>
  </r>
  <r>
    <x v="1"/>
    <x v="10"/>
    <x v="2"/>
    <s v="Konventionel"/>
    <x v="0"/>
    <s v="Frø"/>
    <n v="0"/>
    <n v="0"/>
    <n v="0"/>
    <n v="0"/>
  </r>
  <r>
    <x v="1"/>
    <x v="11"/>
    <x v="2"/>
    <s v="Konventionel"/>
    <x v="0"/>
    <s v="Juletræer"/>
    <n v="3211.5870600834623"/>
    <n v="160579.35300417314"/>
    <n v="0"/>
    <n v="160579.35300417314"/>
  </r>
  <r>
    <x v="1"/>
    <x v="12"/>
    <x v="2"/>
    <s v="Konventionel"/>
    <x v="0"/>
    <s v="Pil &amp; poppel"/>
    <n v="1234.9961776724069"/>
    <n v="30121.857992009926"/>
    <n v="0"/>
    <n v="30121.857992009926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29803.479184120606"/>
    <n v="139978.00068405925"/>
    <n v="48021.010590204845"/>
    <n v="48021.010590204845"/>
  </r>
  <r>
    <x v="1"/>
    <x v="1"/>
    <x v="1"/>
    <s v="Økologisk"/>
    <x v="0"/>
    <s v="Halm"/>
    <n v="8868.3523425919848"/>
    <n v="19512.148824170883"/>
    <n v="6088.4800689290223"/>
    <n v="6088.4800689290223"/>
  </r>
  <r>
    <x v="1"/>
    <x v="2"/>
    <x v="1"/>
    <s v="Økologisk"/>
    <x v="0"/>
    <s v="Halm"/>
    <n v="4748.9073508841821"/>
    <n v="11492.355789139723"/>
    <n v="6451.4954002349659"/>
    <n v="6451.4954002349659"/>
  </r>
  <r>
    <x v="1"/>
    <x v="3"/>
    <x v="1"/>
    <s v="Økologisk"/>
    <x v="0"/>
    <s v="Græs"/>
    <n v="6542.2271379776948"/>
    <n v="253207.74225743354"/>
    <n v="0"/>
    <n v="253207.74225743354"/>
  </r>
  <r>
    <x v="1"/>
    <x v="4"/>
    <x v="1"/>
    <s v="Økologisk"/>
    <x v="0"/>
    <s v="Grøntsager"/>
    <n v="2180.7423793258981"/>
    <n v="25792.730491477061"/>
    <n v="0"/>
    <n v="25792.730491477061"/>
  </r>
  <r>
    <x v="1"/>
    <x v="5"/>
    <x v="1"/>
    <s v="Økologisk"/>
    <x v="0"/>
    <s v="Kartofler"/>
    <n v="1591.7444890152233"/>
    <n v="38533.607500504557"/>
    <n v="0"/>
    <n v="38533.607500504557"/>
  </r>
  <r>
    <x v="1"/>
    <x v="6"/>
    <x v="1"/>
    <s v="Økologisk"/>
    <x v="0"/>
    <s v="Roer"/>
    <n v="978.92888660944459"/>
    <n v="45338.7261113438"/>
    <n v="0"/>
    <n v="45338.7261113438"/>
  </r>
  <r>
    <x v="1"/>
    <x v="7"/>
    <x v="1"/>
    <s v="Økologisk"/>
    <x v="0"/>
    <s v="Majs"/>
    <n v="4070.7191080750104"/>
    <n v="150385.79722534755"/>
    <n v="0"/>
    <n v="150385.79722534755"/>
  </r>
  <r>
    <x v="1"/>
    <x v="8"/>
    <x v="1"/>
    <s v="Økologisk"/>
    <x v="0"/>
    <s v="Frugt"/>
    <n v="147.57747904112145"/>
    <n v="714.17169432369906"/>
    <n v="0"/>
    <n v="714.17169432369906"/>
  </r>
  <r>
    <x v="1"/>
    <x v="9"/>
    <x v="1"/>
    <s v="Økologisk"/>
    <x v="0"/>
    <s v="Øvrige"/>
    <n v="2033.0821479715682"/>
    <n v="34529.232472223855"/>
    <n v="0"/>
    <n v="34529.232472223855"/>
  </r>
  <r>
    <x v="1"/>
    <x v="10"/>
    <x v="1"/>
    <s v="Økologisk"/>
    <x v="0"/>
    <s v="Halm"/>
    <n v="2936.3919526377699"/>
    <n v="23915.886575527133"/>
    <n v="4175.9730954263596"/>
    <n v="4175.9730954263596"/>
  </r>
  <r>
    <x v="1"/>
    <x v="11"/>
    <x v="1"/>
    <s v="Økologisk"/>
    <x v="0"/>
    <s v="Juletræer"/>
    <n v="551.50502092755107"/>
    <n v="15717.893096435204"/>
    <n v="0"/>
    <n v="15717.893096435204"/>
  </r>
  <r>
    <x v="1"/>
    <x v="12"/>
    <x v="1"/>
    <s v="Økologisk"/>
    <x v="0"/>
    <s v="Pil &amp; poppel"/>
    <n v="212.07788550342642"/>
    <n v="2948.3998716330011"/>
    <n v="0"/>
    <n v="2948.3998716330011"/>
  </r>
  <r>
    <x v="1"/>
    <x v="13"/>
    <x v="1"/>
    <s v="Økologisk"/>
    <x v="0"/>
    <s v="Græs"/>
    <n v="7996.0553908616266"/>
    <n v="110265.60383998184"/>
    <n v="0"/>
    <n v="110265.60383998184"/>
  </r>
  <r>
    <x v="1"/>
    <x v="0"/>
    <x v="2"/>
    <s v="Økologisk"/>
    <x v="0"/>
    <s v="Korn"/>
    <n v="0"/>
    <n v="0"/>
    <n v="0"/>
    <n v="0"/>
  </r>
  <r>
    <x v="1"/>
    <x v="1"/>
    <x v="2"/>
    <s v="Økologisk"/>
    <x v="0"/>
    <s v="Halm"/>
    <n v="22447.989284141684"/>
    <n v="49390.066022968531"/>
    <n v="16764.261545907768"/>
    <n v="16764.261545907768"/>
  </r>
  <r>
    <x v="1"/>
    <x v="2"/>
    <x v="2"/>
    <s v="Økologisk"/>
    <x v="0"/>
    <s v="Halm"/>
    <n v="13468.79357048501"/>
    <n v="32594.480440573723"/>
    <n v="19903.819481036346"/>
    <n v="19903.819481036346"/>
  </r>
  <r>
    <x v="1"/>
    <x v="3"/>
    <x v="2"/>
    <s v="Økologisk"/>
    <x v="0"/>
    <s v="Græs"/>
    <n v="31427.184997798355"/>
    <n v="1216345.1972807886"/>
    <n v="0"/>
    <n v="1216345.1972807886"/>
  </r>
  <r>
    <x v="1"/>
    <x v="4"/>
    <x v="2"/>
    <s v="Økologisk"/>
    <x v="0"/>
    <s v="Grøntsager"/>
    <n v="8979.1957136566725"/>
    <n v="106201.43730327429"/>
    <n v="0"/>
    <n v="106201.43730327429"/>
  </r>
  <r>
    <x v="1"/>
    <x v="5"/>
    <x v="2"/>
    <s v="Økologisk"/>
    <x v="0"/>
    <s v="Kartofler"/>
    <n v="0"/>
    <n v="0"/>
    <n v="0"/>
    <n v="0"/>
  </r>
  <r>
    <x v="1"/>
    <x v="6"/>
    <x v="2"/>
    <s v="Økologisk"/>
    <x v="0"/>
    <s v="Roer"/>
    <n v="0"/>
    <n v="0"/>
    <n v="0"/>
    <n v="0"/>
  </r>
  <r>
    <x v="1"/>
    <x v="7"/>
    <x v="2"/>
    <s v="Økologisk"/>
    <x v="0"/>
    <s v="Majs"/>
    <n v="0"/>
    <n v="0"/>
    <n v="0"/>
    <n v="0"/>
  </r>
  <r>
    <x v="1"/>
    <x v="8"/>
    <x v="2"/>
    <s v="Økologisk"/>
    <x v="0"/>
    <s v="Frugt"/>
    <n v="12525.578944294373"/>
    <n v="60615.034185123761"/>
    <n v="0"/>
    <n v="60615.034185123761"/>
  </r>
  <r>
    <x v="1"/>
    <x v="9"/>
    <x v="2"/>
    <s v="Økologisk"/>
    <x v="0"/>
    <s v="Øvrige"/>
    <n v="0"/>
    <n v="0"/>
    <n v="0"/>
    <n v="0"/>
  </r>
  <r>
    <x v="1"/>
    <x v="10"/>
    <x v="2"/>
    <s v="Økologisk"/>
    <x v="0"/>
    <s v="Frø"/>
    <n v="0"/>
    <n v="0"/>
    <n v="0"/>
    <n v="0"/>
  </r>
  <r>
    <x v="1"/>
    <x v="11"/>
    <x v="2"/>
    <s v="Økologisk"/>
    <x v="0"/>
    <s v="Juletræer"/>
    <n v="681.24574001770407"/>
    <n v="19415.503590504566"/>
    <n v="0"/>
    <n v="19415.503590504566"/>
  </r>
  <r>
    <x v="1"/>
    <x v="12"/>
    <x v="2"/>
    <s v="Økologisk"/>
    <x v="0"/>
    <s v="Pil &amp; poppel"/>
    <n v="261.96888617293479"/>
    <n v="3642.0064663066546"/>
    <n v="0"/>
    <n v="3642.0064663066546"/>
  </r>
  <r>
    <x v="1"/>
    <x v="13"/>
    <x v="2"/>
    <s v="Økologisk"/>
    <x v="0"/>
    <s v="Græs"/>
    <n v="0"/>
    <n v="0"/>
    <n v="0"/>
    <n v="0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3357.5605834995149"/>
    <n v="28243.799628397916"/>
    <n v="9689.3497152040363"/>
    <n v="9689.3497152040363"/>
  </r>
  <r>
    <x v="1"/>
    <x v="1"/>
    <x v="1"/>
    <s v="Konventionel"/>
    <x v="1"/>
    <s v="Halm"/>
    <n v="90.793805177184794"/>
    <n v="420.55690558071996"/>
    <n v="131.22861866996251"/>
    <n v="131.22861866996251"/>
  </r>
  <r>
    <x v="1"/>
    <x v="2"/>
    <x v="1"/>
    <s v="Konventionel"/>
    <x v="1"/>
    <s v="Halm"/>
    <n v="366.73036231407929"/>
    <n v="1936.3363130183386"/>
    <n v="1087.0064454975313"/>
    <n v="1087.0064454975313"/>
  </r>
  <r>
    <x v="1"/>
    <x v="3"/>
    <x v="1"/>
    <s v="Konventionel"/>
    <x v="1"/>
    <s v="Græs"/>
    <n v="1078.3409265177115"/>
    <n v="64208.732128570613"/>
    <n v="0"/>
    <n v="64208.732128570613"/>
  </r>
  <r>
    <x v="1"/>
    <x v="4"/>
    <x v="1"/>
    <s v="Konventionel"/>
    <x v="1"/>
    <s v="Grøntsager"/>
    <n v="20.422609337589453"/>
    <n v="508.52297250597741"/>
    <n v="0"/>
    <n v="508.52297250597741"/>
  </r>
  <r>
    <x v="1"/>
    <x v="5"/>
    <x v="1"/>
    <s v="Konventionel"/>
    <x v="1"/>
    <s v="Kartofler"/>
    <n v="34.720305000251777"/>
    <n v="1769.5230999175938"/>
    <n v="0"/>
    <n v="1769.5230999175938"/>
  </r>
  <r>
    <x v="1"/>
    <x v="6"/>
    <x v="1"/>
    <s v="Konventionel"/>
    <x v="1"/>
    <s v="Roer"/>
    <n v="97.001227381554372"/>
    <n v="9458.0540035554968"/>
    <n v="0"/>
    <n v="9458.0540035554968"/>
  </r>
  <r>
    <x v="1"/>
    <x v="7"/>
    <x v="1"/>
    <s v="Konventionel"/>
    <x v="1"/>
    <s v="Majs"/>
    <n v="103.41827733151489"/>
    <n v="5523.7770288308739"/>
    <n v="0"/>
    <n v="5523.7770288308739"/>
  </r>
  <r>
    <x v="1"/>
    <x v="8"/>
    <x v="1"/>
    <s v="Konventionel"/>
    <x v="1"/>
    <s v="Frugt"/>
    <n v="22.309448342014662"/>
    <n v="227.28865970844541"/>
    <n v="0"/>
    <n v="227.28865970844541"/>
  </r>
  <r>
    <x v="1"/>
    <x v="9"/>
    <x v="1"/>
    <s v="Konventionel"/>
    <x v="1"/>
    <s v="Øvrige"/>
    <n v="159.30028150544692"/>
    <n v="5695.8026262893663"/>
    <n v="0"/>
    <n v="5695.8026262893663"/>
  </r>
  <r>
    <x v="1"/>
    <x v="10"/>
    <x v="1"/>
    <s v="Konventionel"/>
    <x v="1"/>
    <s v="Halm"/>
    <n v="1156.5124894314743"/>
    <n v="19830.295113722077"/>
    <n v="3462.5845296493239"/>
    <n v="3462.5845296493239"/>
  </r>
  <r>
    <x v="1"/>
    <x v="11"/>
    <x v="1"/>
    <s v="Konventionel"/>
    <x v="1"/>
    <s v="Juletræer"/>
    <n v="34.958778596980039"/>
    <n v="2097.5267158188026"/>
    <n v="0"/>
    <n v="2097.5267158188026"/>
  </r>
  <r>
    <x v="1"/>
    <x v="12"/>
    <x v="1"/>
    <s v="Konventionel"/>
    <x v="1"/>
    <s v="Pil &amp; poppel"/>
    <n v="74.1955849335599"/>
    <n v="2171.5780956163871"/>
    <n v="0"/>
    <n v="2171.5780956163871"/>
  </r>
  <r>
    <x v="1"/>
    <x v="13"/>
    <x v="1"/>
    <s v="Konventionel"/>
    <x v="1"/>
    <s v="Græs"/>
    <n v="2150.2962504007219"/>
    <n v="35583.102351631147"/>
    <n v="0"/>
    <n v="35583.102351631147"/>
  </r>
  <r>
    <x v="1"/>
    <x v="0"/>
    <x v="2"/>
    <s v="Konventionel"/>
    <x v="1"/>
    <s v="Halm"/>
    <n v="364.7034753931315"/>
    <n v="3067.8856350070218"/>
    <n v="1144.8582218437455"/>
    <n v="1144.8582218437455"/>
  </r>
  <r>
    <x v="1"/>
    <x v="1"/>
    <x v="2"/>
    <s v="Konventionel"/>
    <x v="1"/>
    <s v="Halm"/>
    <n v="9.8621649464842704"/>
    <n v="45.681548032115138"/>
    <n v="15.505494944594487"/>
    <n v="15.505494944594487"/>
  </r>
  <r>
    <x v="1"/>
    <x v="2"/>
    <x v="2"/>
    <s v="Konventionel"/>
    <x v="1"/>
    <s v="Halm"/>
    <n v="39.83482482056197"/>
    <n v="210.32787505256721"/>
    <n v="128.43671690085014"/>
    <n v="128.43671690085014"/>
  </r>
  <r>
    <x v="1"/>
    <x v="3"/>
    <x v="2"/>
    <s v="Konventionel"/>
    <x v="1"/>
    <s v="Græs"/>
    <n v="117.13107590444632"/>
    <n v="6974.4527836543512"/>
    <n v="0"/>
    <n v="6974.4527836543512"/>
  </r>
  <r>
    <x v="1"/>
    <x v="4"/>
    <x v="2"/>
    <s v="Konventionel"/>
    <x v="1"/>
    <s v="Grøntsager"/>
    <n v="2.2183357282125327"/>
    <n v="55.23655963249206"/>
    <n v="0"/>
    <n v="55.23655963249206"/>
  </r>
  <r>
    <x v="1"/>
    <x v="5"/>
    <x v="2"/>
    <s v="Konventionel"/>
    <x v="1"/>
    <s v="Kartofler"/>
    <n v="3.7713737653851549"/>
    <n v="192.2083632682326"/>
    <n v="0"/>
    <n v="192.2083632682326"/>
  </r>
  <r>
    <x v="1"/>
    <x v="6"/>
    <x v="2"/>
    <s v="Konventionel"/>
    <x v="1"/>
    <s v="Roer"/>
    <n v="10.536424842878008"/>
    <n v="1027.3486002022901"/>
    <n v="0"/>
    <n v="1027.3486002022901"/>
  </r>
  <r>
    <x v="1"/>
    <x v="7"/>
    <x v="2"/>
    <s v="Konventionel"/>
    <x v="1"/>
    <s v="Majs"/>
    <n v="11.233454832455337"/>
    <n v="600.00128951110446"/>
    <n v="0"/>
    <n v="600.00128951110446"/>
  </r>
  <r>
    <x v="1"/>
    <x v="8"/>
    <x v="2"/>
    <s v="Konventionel"/>
    <x v="1"/>
    <s v="Frugt"/>
    <n v="2.4232871282864399"/>
    <n v="24.68844926298225"/>
    <n v="0"/>
    <n v="24.68844926298225"/>
  </r>
  <r>
    <x v="1"/>
    <x v="9"/>
    <x v="2"/>
    <s v="Konventionel"/>
    <x v="1"/>
    <s v="Øvrige"/>
    <n v="17.303445418574402"/>
    <n v="618.6869786265936"/>
    <n v="0"/>
    <n v="618.6869786265936"/>
  </r>
  <r>
    <x v="1"/>
    <x v="10"/>
    <x v="2"/>
    <s v="Konventionel"/>
    <x v="1"/>
    <s v="Halm"/>
    <n v="125.62219317919325"/>
    <n v="2153.9976319676493"/>
    <n v="409.12635874599658"/>
    <n v="409.12635874599658"/>
  </r>
  <r>
    <x v="1"/>
    <x v="11"/>
    <x v="2"/>
    <s v="Konventionel"/>
    <x v="1"/>
    <s v="Juletræer"/>
    <n v="3.7972771399791134"/>
    <n v="227.83662839874683"/>
    <n v="0"/>
    <n v="227.83662839874683"/>
  </r>
  <r>
    <x v="1"/>
    <x v="12"/>
    <x v="2"/>
    <s v="Konventionel"/>
    <x v="1"/>
    <s v="Pil &amp; poppel"/>
    <n v="8.0592403356999522"/>
    <n v="235.88020494731569"/>
    <n v="0"/>
    <n v="235.88020494731569"/>
  </r>
  <r>
    <x v="1"/>
    <x v="13"/>
    <x v="2"/>
    <s v="Konventionel"/>
    <x v="1"/>
    <s v="Græs"/>
    <n v="233.56853767582237"/>
    <n v="3865.0921614595086"/>
    <n v="0"/>
    <n v="3865.0921614595086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525.07317210500355"/>
    <n v="2959.3334009106838"/>
    <n v="1015.2322500007133"/>
    <n v="1015.2322500007133"/>
  </r>
  <r>
    <x v="1"/>
    <x v="1"/>
    <x v="1"/>
    <s v="Økologisk"/>
    <x v="1"/>
    <s v="Halm"/>
    <n v="14.198817893608684"/>
    <n v="37.488286955421387"/>
    <n v="11.697670513030937"/>
    <n v="11.697670513030937"/>
  </r>
  <r>
    <x v="1"/>
    <x v="2"/>
    <x v="1"/>
    <s v="Økologisk"/>
    <x v="1"/>
    <s v="Halm"/>
    <n v="57.351243517032643"/>
    <n v="166.54801117346281"/>
    <n v="93.495515429418262"/>
    <n v="93.495515429418262"/>
  </r>
  <r>
    <x v="1"/>
    <x v="3"/>
    <x v="1"/>
    <s v="Økologisk"/>
    <x v="1"/>
    <s v="Græs"/>
    <n v="168.63668631323898"/>
    <n v="7832.2162228716916"/>
    <n v="0"/>
    <n v="7832.2162228716916"/>
  </r>
  <r>
    <x v="1"/>
    <x v="4"/>
    <x v="1"/>
    <s v="Økologisk"/>
    <x v="1"/>
    <s v="Grøntsager"/>
    <n v="3.1937962103345354"/>
    <n v="45.329549613278061"/>
    <n v="0"/>
    <n v="45.329549613278061"/>
  </r>
  <r>
    <x v="1"/>
    <x v="5"/>
    <x v="1"/>
    <s v="Økologisk"/>
    <x v="1"/>
    <s v="Kartofler"/>
    <n v="5.429745861483144"/>
    <n v="157.73463439473878"/>
    <n v="0"/>
    <n v="157.73463439473878"/>
  </r>
  <r>
    <x v="1"/>
    <x v="6"/>
    <x v="1"/>
    <s v="Økologisk"/>
    <x v="1"/>
    <s v="Roer"/>
    <n v="15.169567575226109"/>
    <n v="843.08743435222607"/>
    <n v="0"/>
    <n v="843.08743435222607"/>
  </r>
  <r>
    <x v="1"/>
    <x v="7"/>
    <x v="1"/>
    <s v="Økologisk"/>
    <x v="1"/>
    <s v="Majs"/>
    <n v="16.173099958034264"/>
    <n v="716.98522041557669"/>
    <n v="0"/>
    <n v="716.98522041557669"/>
  </r>
  <r>
    <x v="1"/>
    <x v="8"/>
    <x v="1"/>
    <s v="Økologisk"/>
    <x v="1"/>
    <s v="Frugt"/>
    <n v="3.4888701238698125"/>
    <n v="20.260427028531822"/>
    <n v="0"/>
    <n v="20.260427028531822"/>
  </r>
  <r>
    <x v="1"/>
    <x v="9"/>
    <x v="1"/>
    <s v="Økologisk"/>
    <x v="1"/>
    <s v="Øvrige"/>
    <n v="24.912224827259667"/>
    <n v="507.72173863352538"/>
    <n v="0"/>
    <n v="507.72173863352538"/>
  </r>
  <r>
    <x v="1"/>
    <x v="10"/>
    <x v="1"/>
    <s v="Økologisk"/>
    <x v="1"/>
    <s v="Halm"/>
    <n v="180.86157086461591"/>
    <n v="1767.6651691342113"/>
    <n v="308.65350380028923"/>
    <n v="308.65350380028923"/>
  </r>
  <r>
    <x v="1"/>
    <x v="11"/>
    <x v="1"/>
    <s v="Økologisk"/>
    <x v="1"/>
    <s v="Juletræer"/>
    <n v="5.467039630212966"/>
    <n v="186.97275535328342"/>
    <n v="0"/>
    <n v="186.97275535328342"/>
  </r>
  <r>
    <x v="1"/>
    <x v="12"/>
    <x v="1"/>
    <s v="Økologisk"/>
    <x v="1"/>
    <s v="Pil &amp; poppel"/>
    <n v="11.603099979403883"/>
    <n v="193.57366794907941"/>
    <n v="0"/>
    <n v="193.57366794907941"/>
  </r>
  <r>
    <x v="1"/>
    <x v="13"/>
    <x v="1"/>
    <s v="Økologisk"/>
    <x v="1"/>
    <s v="Græs"/>
    <n v="336.27475814199715"/>
    <n v="5564.6746977337698"/>
    <n v="0"/>
    <n v="5564.6746977337698"/>
  </r>
  <r>
    <x v="1"/>
    <x v="0"/>
    <x v="2"/>
    <s v="Økologisk"/>
    <x v="1"/>
    <s v="Halm"/>
    <n v="77.361343265209698"/>
    <n v="436.01162509645246"/>
    <n v="162.70863819536862"/>
    <n v="162.70863819536862"/>
  </r>
  <r>
    <x v="1"/>
    <x v="1"/>
    <x v="2"/>
    <s v="Økologisk"/>
    <x v="1"/>
    <s v="Halm"/>
    <n v="2.0919743825875723"/>
    <n v="5.5233144438830122"/>
    <n v="1.8747552978464239"/>
    <n v="1.8747552978464239"/>
  </r>
  <r>
    <x v="1"/>
    <x v="2"/>
    <x v="2"/>
    <s v="Økologisk"/>
    <x v="1"/>
    <s v="Halm"/>
    <n v="8.4498113255737515"/>
    <n v="24.53825208946618"/>
    <n v="14.984283638432522"/>
    <n v="14.984283638432522"/>
  </r>
  <r>
    <x v="1"/>
    <x v="3"/>
    <x v="2"/>
    <s v="Økologisk"/>
    <x v="1"/>
    <s v="Græs"/>
    <n v="24.845985797912856"/>
    <n v="1153.9549151137201"/>
    <n v="0"/>
    <n v="1153.9549151137201"/>
  </r>
  <r>
    <x v="1"/>
    <x v="4"/>
    <x v="2"/>
    <s v="Økologisk"/>
    <x v="1"/>
    <s v="Grøntsager"/>
    <n v="0.47055606356023416"/>
    <n v="6.6786022101104026"/>
    <n v="0"/>
    <n v="6.6786022101104026"/>
  </r>
  <r>
    <x v="1"/>
    <x v="5"/>
    <x v="2"/>
    <s v="Økologisk"/>
    <x v="1"/>
    <s v="Kartofler"/>
    <n v="0.79998837447563886"/>
    <n v="23.239738467886301"/>
    <n v="0"/>
    <n v="23.239738467886301"/>
  </r>
  <r>
    <x v="1"/>
    <x v="6"/>
    <x v="2"/>
    <s v="Økologisk"/>
    <x v="1"/>
    <s v="Roer"/>
    <n v="2.234999209095335"/>
    <n v="124.21578529718597"/>
    <n v="0"/>
    <n v="124.21578529718597"/>
  </r>
  <r>
    <x v="1"/>
    <x v="7"/>
    <x v="2"/>
    <s v="Økologisk"/>
    <x v="1"/>
    <s v="Majs"/>
    <n v="2.3828540553693136"/>
    <n v="105.63659066847021"/>
    <n v="0"/>
    <n v="105.63659066847021"/>
  </r>
  <r>
    <x v="1"/>
    <x v="8"/>
    <x v="2"/>
    <s v="Økologisk"/>
    <x v="1"/>
    <s v="Frugt"/>
    <n v="0.51403060296985081"/>
    <n v="2.9850579563423985"/>
    <n v="0"/>
    <n v="2.9850579563423985"/>
  </r>
  <r>
    <x v="1"/>
    <x v="9"/>
    <x v="2"/>
    <s v="Økologisk"/>
    <x v="1"/>
    <s v="Øvrige"/>
    <n v="3.6704278160612374"/>
    <n v="74.804880143033586"/>
    <n v="0"/>
    <n v="74.804880143033586"/>
  </r>
  <r>
    <x v="1"/>
    <x v="10"/>
    <x v="2"/>
    <s v="Økologisk"/>
    <x v="1"/>
    <s v="Halm"/>
    <n v="26.647131886495536"/>
    <n v="260.43789550154304"/>
    <n v="49.467096102925041"/>
    <n v="49.467096102925041"/>
  </r>
  <r>
    <x v="1"/>
    <x v="11"/>
    <x v="2"/>
    <s v="Økologisk"/>
    <x v="1"/>
    <s v="Juletræer"/>
    <n v="0.80548302969253915"/>
    <n v="27.547519615484841"/>
    <n v="0"/>
    <n v="27.547519615484841"/>
  </r>
  <r>
    <x v="1"/>
    <x v="12"/>
    <x v="2"/>
    <s v="Økologisk"/>
    <x v="1"/>
    <s v="Pil &amp; poppel"/>
    <n v="1.7095358287848383"/>
    <n v="28.520061143629984"/>
    <n v="0"/>
    <n v="28.520061143629984"/>
  </r>
  <r>
    <x v="1"/>
    <x v="13"/>
    <x v="2"/>
    <s v="Økologisk"/>
    <x v="1"/>
    <s v="Græs"/>
    <n v="49.544841325174438"/>
    <n v="819.86803424898665"/>
    <n v="0"/>
    <n v="819.86803424898665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796.1549250748035"/>
    <n v="17627.46443468412"/>
    <n v="6047.2978050816228"/>
    <n v="6047.2978050816228"/>
  </r>
  <r>
    <x v="1"/>
    <x v="1"/>
    <x v="1"/>
    <s v="Konventionel"/>
    <x v="2"/>
    <s v="Halm"/>
    <n v="32.624096434599416"/>
    <n v="176.30061713257524"/>
    <n v="55.012023699915716"/>
    <n v="55.012023699915716"/>
  </r>
  <r>
    <x v="1"/>
    <x v="2"/>
    <x v="1"/>
    <s v="Konventionel"/>
    <x v="2"/>
    <s v="Halm"/>
    <n v="159.36107732825297"/>
    <n v="981.66423634203829"/>
    <n v="551.0795542303614"/>
    <n v="551.0795542303614"/>
  </r>
  <r>
    <x v="1"/>
    <x v="3"/>
    <x v="1"/>
    <s v="Konventionel"/>
    <x v="2"/>
    <s v="Græs"/>
    <n v="1171.0785614452748"/>
    <n v="81352.485506480356"/>
    <n v="0"/>
    <n v="81352.485506480356"/>
  </r>
  <r>
    <x v="1"/>
    <x v="4"/>
    <x v="1"/>
    <s v="Konventionel"/>
    <x v="2"/>
    <s v="Grøntsager"/>
    <n v="5.5117970826864369"/>
    <n v="160.11770525204099"/>
    <n v="0"/>
    <n v="160.11770525204099"/>
  </r>
  <r>
    <x v="1"/>
    <x v="5"/>
    <x v="1"/>
    <s v="Konventionel"/>
    <x v="2"/>
    <s v="Kartofler"/>
    <n v="31.416585856718971"/>
    <n v="1868.0069234954308"/>
    <n v="0"/>
    <n v="1868.0069234954308"/>
  </r>
  <r>
    <x v="1"/>
    <x v="6"/>
    <x v="1"/>
    <s v="Konventionel"/>
    <x v="2"/>
    <s v="Roer"/>
    <n v="36.178887809125172"/>
    <n v="4115.5374824780356"/>
    <n v="0"/>
    <n v="4115.5374824780356"/>
  </r>
  <r>
    <x v="1"/>
    <x v="7"/>
    <x v="1"/>
    <s v="Konventionel"/>
    <x v="2"/>
    <s v="Majs"/>
    <n v="37.160330995922486"/>
    <n v="2315.6088656799143"/>
    <n v="0"/>
    <n v="2315.6088656799143"/>
  </r>
  <r>
    <x v="1"/>
    <x v="8"/>
    <x v="1"/>
    <s v="Konventionel"/>
    <x v="2"/>
    <s v="Frugt"/>
    <n v="13.484572661869436"/>
    <n v="160.27763065898012"/>
    <n v="0"/>
    <n v="160.27763065898012"/>
  </r>
  <r>
    <x v="1"/>
    <x v="9"/>
    <x v="1"/>
    <s v="Konventionel"/>
    <x v="2"/>
    <s v="Øvrige"/>
    <n v="96.286388981255755"/>
    <n v="4016.521329369848"/>
    <n v="0"/>
    <n v="4016.521329369848"/>
  </r>
  <r>
    <x v="1"/>
    <x v="10"/>
    <x v="1"/>
    <s v="Konventionel"/>
    <x v="2"/>
    <s v="Halm"/>
    <n v="901.06512085105521"/>
    <n v="18025.271665907891"/>
    <n v="3147.4078653479032"/>
    <n v="3147.4078653479032"/>
  </r>
  <r>
    <x v="1"/>
    <x v="11"/>
    <x v="1"/>
    <s v="Konventionel"/>
    <x v="2"/>
    <s v="Juletræer"/>
    <n v="21.130248625350497"/>
    <n v="1479.117403774535"/>
    <n v="0"/>
    <n v="1479.117403774535"/>
  </r>
  <r>
    <x v="1"/>
    <x v="12"/>
    <x v="1"/>
    <s v="Konventionel"/>
    <x v="2"/>
    <s v="Pil &amp; poppel"/>
    <n v="64.456117245548413"/>
    <n v="2200.9405888723845"/>
    <n v="0"/>
    <n v="2200.9405888723845"/>
  </r>
  <r>
    <x v="1"/>
    <x v="13"/>
    <x v="1"/>
    <s v="Konventionel"/>
    <x v="2"/>
    <s v="Græs"/>
    <n v="2241.5480572801857"/>
    <n v="43275.326793851265"/>
    <n v="0"/>
    <n v="43275.326793851265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280.89225514973896"/>
    <n v="1846.9733166664905"/>
    <n v="633.62474650323929"/>
    <n v="633.62474650323929"/>
  </r>
  <r>
    <x v="1"/>
    <x v="1"/>
    <x v="1"/>
    <s v="Økologisk"/>
    <x v="2"/>
    <s v="Halm"/>
    <n v="5.1019296230003928"/>
    <n v="15.715371779135646"/>
    <n v="4.9037514379015512"/>
    <n v="4.9037514379015512"/>
  </r>
  <r>
    <x v="1"/>
    <x v="2"/>
    <x v="1"/>
    <s v="Økologisk"/>
    <x v="2"/>
    <s v="Halm"/>
    <n v="24.921732401207365"/>
    <n v="84.434829375290576"/>
    <n v="47.399412559875849"/>
    <n v="47.399412559875849"/>
  </r>
  <r>
    <x v="1"/>
    <x v="3"/>
    <x v="1"/>
    <s v="Økologisk"/>
    <x v="2"/>
    <s v="Græs"/>
    <n v="183.13949063618546"/>
    <n v="9923.4206257013338"/>
    <n v="0"/>
    <n v="9923.4206257013338"/>
  </r>
  <r>
    <x v="1"/>
    <x v="4"/>
    <x v="1"/>
    <s v="Økologisk"/>
    <x v="2"/>
    <s v="Grøntsager"/>
    <n v="0.86196412729768701"/>
    <n v="14.27283300185875"/>
    <n v="0"/>
    <n v="14.27283300185875"/>
  </r>
  <r>
    <x v="1"/>
    <x v="5"/>
    <x v="1"/>
    <s v="Økologisk"/>
    <x v="2"/>
    <s v="Kartofler"/>
    <n v="4.9130926999694466"/>
    <n v="166.51344598898669"/>
    <n v="0"/>
    <n v="166.51344598898669"/>
  </r>
  <r>
    <x v="1"/>
    <x v="6"/>
    <x v="1"/>
    <s v="Økologisk"/>
    <x v="2"/>
    <s v="Roer"/>
    <n v="5.6578467946418041"/>
    <n v="366.85748841976005"/>
    <n v="0"/>
    <n v="366.85748841976005"/>
  </r>
  <r>
    <x v="1"/>
    <x v="7"/>
    <x v="1"/>
    <s v="Økologisk"/>
    <x v="2"/>
    <s v="Majs"/>
    <n v="5.8113300973303872"/>
    <n v="300.56559565858794"/>
    <n v="0"/>
    <n v="300.56559565858794"/>
  </r>
  <r>
    <x v="1"/>
    <x v="8"/>
    <x v="1"/>
    <s v="Økologisk"/>
    <x v="2"/>
    <s v="Frugt"/>
    <n v="2.1087891539006742"/>
    <n v="14.287088693460143"/>
    <n v="0"/>
    <n v="14.287088693460143"/>
  </r>
  <r>
    <x v="1"/>
    <x v="9"/>
    <x v="1"/>
    <s v="Økologisk"/>
    <x v="2"/>
    <s v="Øvrige"/>
    <n v="15.057777346262895"/>
    <n v="358.03122516814113"/>
    <n v="0"/>
    <n v="358.03122516814113"/>
  </r>
  <r>
    <x v="1"/>
    <x v="10"/>
    <x v="1"/>
    <s v="Økologisk"/>
    <x v="2"/>
    <s v="Halm"/>
    <n v="140.91335346369644"/>
    <n v="1606.7660468632666"/>
    <n v="280.55877256131697"/>
    <n v="280.55877256131697"/>
  </r>
  <r>
    <x v="1"/>
    <x v="11"/>
    <x v="1"/>
    <s v="Økologisk"/>
    <x v="2"/>
    <s v="Juletræer"/>
    <n v="3.3044606038102131"/>
    <n v="131.84797809202749"/>
    <n v="0"/>
    <n v="131.84797809202749"/>
  </r>
  <r>
    <x v="1"/>
    <x v="12"/>
    <x v="1"/>
    <s v="Økologisk"/>
    <x v="2"/>
    <s v="Pil &amp; poppel"/>
    <n v="10.079990249473639"/>
    <n v="196.19102973365764"/>
    <n v="0"/>
    <n v="196.19102973365764"/>
  </r>
  <r>
    <x v="1"/>
    <x v="13"/>
    <x v="1"/>
    <s v="Økologisk"/>
    <x v="2"/>
    <s v="Græs"/>
    <n v="350.54520077644509"/>
    <n v="6767.6256461900484"/>
    <n v="0"/>
    <n v="6767.6256461900484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Vestdanmark"/>
    <n v="137289.06413917695"/>
    <n v="0"/>
    <n v="0"/>
    <n v="32579.784552999867"/>
    <n v="0"/>
    <n v="0"/>
    <n v="0"/>
    <n v="0"/>
    <n v="104709.27958617709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807391.35086832882"/>
    <n v="43580.743031500795"/>
    <n v="0"/>
    <n v="0"/>
    <n v="0"/>
    <n v="0"/>
    <n v="0"/>
    <n v="0"/>
    <n v="763810.60783682799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n v="0"/>
    <x v="1"/>
    <s v="Vestdanmark"/>
    <n v="360155466.15188104"/>
    <n v="0"/>
    <n v="0"/>
    <n v="0"/>
    <n v="0"/>
    <n v="0"/>
    <n v="360155466.15188104"/>
    <n v="0"/>
    <n v="0"/>
    <n v="0"/>
    <n v="360155466.15188104"/>
    <n v="0"/>
    <n v="0"/>
    <n v="0"/>
    <n v="0"/>
    <n v="0"/>
    <n v="0"/>
    <n v="0"/>
    <n v="0"/>
    <x v="0"/>
  </r>
  <r>
    <x v="4"/>
    <s v=""/>
    <n v="0"/>
    <n v="0"/>
    <x v="1"/>
    <s v="Vestdanmark"/>
    <n v="14753259.052618254"/>
    <n v="0"/>
    <n v="0"/>
    <n v="0"/>
    <n v="0"/>
    <n v="10112257.042498086"/>
    <n v="0"/>
    <n v="0"/>
    <n v="4641002.0101201683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1"/>
    <s v="Vestdanmark"/>
    <n v="2465403.7833838393"/>
    <n v="0"/>
    <n v="0"/>
    <n v="0"/>
    <n v="1849052.8375378796"/>
    <n v="233332.85807025622"/>
    <n v="0"/>
    <n v="0"/>
    <n v="383018.08777570352"/>
    <n v="383018.08777570352"/>
    <n v="1849052.8375378796"/>
    <n v="0.82502096106886535"/>
    <n v="4.8078807731254578"/>
    <n v="3.9828598120565926"/>
    <n v="0.82502096106886524"/>
    <n v="114905.42633271105"/>
    <n v="669621.27759407496"/>
    <n v="554715.85126136383"/>
    <n v="114905.42633271113"/>
    <x v="0"/>
  </r>
  <r>
    <x v="7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8084.5006505504907"/>
    <n v="0"/>
    <n v="0"/>
    <n v="0"/>
    <n v="6063.3754879128683"/>
    <n v="2021.1251626376227"/>
    <n v="0"/>
    <n v="0"/>
    <n v="0"/>
    <n v="0"/>
    <n v="6063.3754879128683"/>
    <n v="0"/>
    <n v="2.8515448582105427E-3"/>
    <n v="2.8515448582105427E-3"/>
    <n v="0"/>
    <n v="0"/>
    <n v="381.99265573851068"/>
    <n v="381.99265573851068"/>
    <n v="0"/>
    <x v="0"/>
  </r>
  <r>
    <x v="9"/>
    <s v=""/>
    <n v="0"/>
    <n v="1"/>
    <x v="1"/>
    <s v="Vestdanmark"/>
    <n v="98611.398262488423"/>
    <n v="0"/>
    <n v="0"/>
    <n v="35294.766599083188"/>
    <n v="0"/>
    <n v="0"/>
    <n v="0"/>
    <n v="0"/>
    <n v="63316.631663405235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1068143.9155687199"/>
    <n v="0"/>
    <n v="0"/>
    <n v="0"/>
    <n v="0"/>
    <n v="0"/>
    <n v="0"/>
    <n v="0"/>
    <n v="1068143.9155687199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30293.444359786194"/>
    <n v="0"/>
    <n v="0"/>
    <n v="257923.29437791562"/>
    <n v="0"/>
    <n v="0"/>
    <n v="0"/>
    <n v="0"/>
    <n v="-227629.85001812942"/>
    <n v="0"/>
    <n v="0"/>
    <n v="0"/>
    <n v="0"/>
    <n v="0"/>
    <n v="0"/>
    <n v="0"/>
    <n v="0"/>
    <n v="0"/>
    <n v="0"/>
    <x v="1"/>
  </r>
  <r>
    <x v="12"/>
    <s v="Glycerin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1"/>
    <s v="Vestdanmark"/>
    <n v="13177775.793539407"/>
    <n v="8268840.7021296145"/>
    <n v="0"/>
    <n v="0"/>
    <n v="0"/>
    <n v="0"/>
    <n v="0"/>
    <n v="0"/>
    <n v="4908935.0914097922"/>
    <n v="4908935.0914097922"/>
    <n v="0"/>
    <n v="9.0318269513075915"/>
    <n v="9.0318269513075915"/>
    <n v="0"/>
    <n v="9.0318269513075915"/>
    <n v="1374501.8255947419"/>
    <n v="1374501.8255947419"/>
    <n v="0"/>
    <n v="1374501.8255947419"/>
    <x v="0"/>
  </r>
  <r>
    <x v="14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Vestdanmark"/>
    <n v="1183876.8673845837"/>
    <n v="0"/>
    <n v="0"/>
    <n v="270140.71358529059"/>
    <n v="0"/>
    <n v="0"/>
    <n v="0"/>
    <n v="0"/>
    <n v="913736.1537992931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2495959.9516581628"/>
    <n v="522363.62828034989"/>
    <n v="471959.19081652729"/>
    <n v="0"/>
    <n v="0"/>
    <n v="0"/>
    <n v="1501637.1325612864"/>
    <n v="0"/>
    <n v="0"/>
    <n v="0"/>
    <n v="1501637.1325612864"/>
    <n v="0"/>
    <n v="15.520630593806496"/>
    <n v="0"/>
    <n v="15.520630593806496"/>
    <n v="0"/>
    <n v="1276391.5626770935"/>
    <n v="0"/>
    <n v="1276391.5626770935"/>
    <x v="0"/>
  </r>
  <r>
    <x v="17"/>
    <s v="Bionedbrydeligt affald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x v="0"/>
  </r>
  <r>
    <x v="18"/>
    <s v=""/>
    <n v="0"/>
    <n v="1"/>
    <x v="1"/>
    <s v="Vestdanmark"/>
    <n v="0"/>
    <n v="3262502.8463859628"/>
    <n v="0"/>
    <n v="0"/>
    <n v="0"/>
    <n v="0"/>
    <n v="0"/>
    <n v="0"/>
    <n v="-3262502.8463859628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Vestdanmark"/>
    <n v="402383.95965350419"/>
    <n v="0"/>
    <n v="0"/>
    <n v="0"/>
    <n v="0"/>
    <n v="0"/>
    <n v="0"/>
    <n v="0"/>
    <n v="402383.95965350419"/>
    <n v="402383.95965350419"/>
    <n v="0"/>
    <n v="1.7435820070933887"/>
    <n v="1.7435820070933887"/>
    <n v="0"/>
    <n v="1.7435820070933887"/>
    <n v="169001.26305447175"/>
    <n v="169001.26305447175"/>
    <n v="0"/>
    <n v="169001.26305447175"/>
    <x v="0"/>
  </r>
  <r>
    <x v="20"/>
    <s v=""/>
    <n v="0"/>
    <n v="0"/>
    <x v="1"/>
    <s v="Vestdanmark"/>
    <n v="675080.94417097606"/>
    <n v="0"/>
    <n v="0"/>
    <n v="0"/>
    <n v="0"/>
    <n v="0"/>
    <n v="0"/>
    <n v="0"/>
    <n v="675080.94417097606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689696.9927296774"/>
    <n v="0"/>
    <n v="0"/>
    <n v="123531.68309679118"/>
    <n v="0"/>
    <n v="0"/>
    <n v="0"/>
    <n v="0"/>
    <n v="1566165.3096328862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5182167.6605635537"/>
    <n v="3972505.784940829"/>
    <n v="0"/>
    <n v="295933.04302308214"/>
    <n v="0"/>
    <n v="0"/>
    <n v="0"/>
    <n v="0"/>
    <n v="913728.83259964269"/>
    <n v="913728.83259964269"/>
    <n v="0"/>
    <n v="3.1293933296172129"/>
    <n v="3.1293933296172129"/>
    <n v="0"/>
    <n v="3.1293933296172129"/>
    <n v="283255.93810588925"/>
    <n v="283255.93810588925"/>
    <n v="0"/>
    <n v="283255.93810588925"/>
    <x v="0"/>
  </r>
  <r>
    <x v="23"/>
    <s v=""/>
    <n v="0"/>
    <n v="0"/>
    <x v="1"/>
    <s v="Vestdanmark"/>
    <n v="0"/>
    <n v="0"/>
    <n v="0"/>
    <n v="0"/>
    <n v="0"/>
    <n v="1499151.6936668851"/>
    <n v="0"/>
    <n v="0"/>
    <n v="-1499151.6936668851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Vestdanmark"/>
    <n v="7655848.0766037833"/>
    <n v="0"/>
    <n v="0"/>
    <n v="0"/>
    <n v="5741886.057452837"/>
    <n v="1913962.0191509458"/>
    <n v="0"/>
    <n v="0"/>
    <n v="0"/>
    <n v="0"/>
    <n v="5741886.057452837"/>
    <n v="0"/>
    <n v="2.9064853034220519"/>
    <n v="2.9064853034220519"/>
    <n v="0"/>
    <n v="0"/>
    <n v="436383.34036641562"/>
    <n v="436383.34036641562"/>
    <n v="0"/>
    <x v="0"/>
  </r>
  <r>
    <x v="25"/>
    <s v=""/>
    <n v="0"/>
    <n v="0"/>
    <x v="1"/>
    <s v="Vestdanmark"/>
    <n v="959947.99719994201"/>
    <n v="1024147.4612402687"/>
    <n v="0"/>
    <n v="0"/>
    <n v="0"/>
    <n v="0"/>
    <n v="0"/>
    <n v="0"/>
    <n v="-64199.464040326653"/>
    <n v="0"/>
    <n v="0"/>
    <n v="0"/>
    <n v="0"/>
    <n v="0"/>
    <n v="0"/>
    <n v="0"/>
    <n v="0"/>
    <n v="0"/>
    <n v="0"/>
    <x v="1"/>
  </r>
  <r>
    <x v="26"/>
    <s v="Græs og urter"/>
    <n v="1"/>
    <n v="1"/>
    <x v="1"/>
    <s v="Vestdanmark"/>
    <n v="4675837.2738896068"/>
    <n v="3822394.3367212149"/>
    <n v="0"/>
    <n v="0"/>
    <n v="0"/>
    <n v="0"/>
    <n v="0"/>
    <n v="0"/>
    <n v="853442.93716839189"/>
    <n v="853442.93716839189"/>
    <n v="0"/>
    <n v="3.063860144434527"/>
    <n v="3.063860144434527"/>
    <n v="0"/>
    <n v="3.063860144434527"/>
    <n v="256032.88115051755"/>
    <n v="256032.88115051755"/>
    <n v="0"/>
    <n v="256032.88115051755"/>
    <x v="0"/>
  </r>
  <r>
    <x v="27"/>
    <s v=""/>
    <n v="0"/>
    <n v="1"/>
    <x v="1"/>
    <s v="Vestdanmark"/>
    <n v="1852201.4318158275"/>
    <n v="0"/>
    <n v="0"/>
    <n v="472406.87601849809"/>
    <n v="0"/>
    <n v="0"/>
    <n v="0"/>
    <n v="0"/>
    <n v="1379794.5557973294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1"/>
    <s v="Vestdanmark"/>
    <n v="56168.51594495419"/>
    <n v="0"/>
    <n v="0"/>
    <n v="60028.253038902265"/>
    <n v="0"/>
    <n v="0"/>
    <n v="0"/>
    <n v="0"/>
    <n v="-3859.7370939480752"/>
    <n v="0"/>
    <n v="0"/>
    <n v="0"/>
    <n v="0"/>
    <n v="0"/>
    <n v="0"/>
    <n v="0"/>
    <n v="0"/>
    <n v="0"/>
    <n v="0"/>
    <x v="1"/>
  </r>
  <r>
    <x v="30"/>
    <s v=""/>
    <n v="0"/>
    <n v="1"/>
    <x v="1"/>
    <s v="Vestdanmark"/>
    <n v="1479891.647259762"/>
    <n v="0"/>
    <n v="0"/>
    <n v="0"/>
    <n v="0"/>
    <n v="0"/>
    <n v="0"/>
    <n v="0"/>
    <n v="1479891.647259762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51285.23145276494"/>
    <n v="0"/>
    <n v="0"/>
    <n v="0"/>
    <n v="0"/>
    <n v="0"/>
    <n v="151285.23145276494"/>
    <n v="0"/>
    <n v="0"/>
    <n v="0"/>
    <n v="151285.23145276494"/>
    <n v="0"/>
    <n v="2.7836482587308744"/>
    <n v="0"/>
    <n v="2.7836482587308744"/>
    <n v="0"/>
    <n v="62783.371052897455"/>
    <n v="0"/>
    <n v="62783.371052897455"/>
    <x v="0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Vestdanmark"/>
    <n v="2884255.8246315583"/>
    <n v="0"/>
    <n v="0"/>
    <n v="0"/>
    <n v="0"/>
    <n v="0"/>
    <n v="0"/>
    <n v="0"/>
    <n v="2884255.8246315583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98270.5858787492"/>
    <n v="0"/>
    <n v="0"/>
    <n v="0"/>
    <n v="0"/>
    <n v="0"/>
    <n v="0"/>
    <n v="498270.5858787492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Vestdanmark"/>
    <n v="249135.2929393746"/>
    <n v="144663.85534067627"/>
    <n v="0"/>
    <n v="0"/>
    <n v="0"/>
    <n v="0"/>
    <n v="0"/>
    <n v="0"/>
    <n v="104471.43759869834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59446.58748119973"/>
    <n v="0"/>
    <n v="0"/>
    <n v="0"/>
    <n v="0"/>
    <n v="0"/>
    <n v="159446.58748119973"/>
    <n v="0"/>
    <n v="0"/>
    <n v="0"/>
    <n v="159446.58748119973"/>
    <n v="0"/>
    <n v="5.58063056184199"/>
    <n v="0"/>
    <n v="5.58063056184199"/>
    <n v="0"/>
    <n v="0"/>
    <n v="0"/>
    <n v="0"/>
    <x v="0"/>
  </r>
  <r>
    <x v="38"/>
    <s v="Græs og urter"/>
    <n v="1"/>
    <n v="1"/>
    <x v="1"/>
    <s v="Vestdanmark"/>
    <n v="1856731.7758593475"/>
    <n v="568365.52370248956"/>
    <n v="0"/>
    <n v="0"/>
    <n v="0"/>
    <n v="0"/>
    <n v="0"/>
    <n v="0"/>
    <n v="1288366.2521568579"/>
    <n v="1288366.2521568579"/>
    <n v="0"/>
    <n v="3.4966775430037984"/>
    <n v="3.4966775430037984"/>
    <n v="0"/>
    <n v="3.4966775430037984"/>
    <n v="257673.25043137159"/>
    <n v="257673.25043137159"/>
    <n v="0"/>
    <n v="257673.25043137159"/>
    <x v="0"/>
  </r>
  <r>
    <x v="39"/>
    <s v=""/>
    <n v="0"/>
    <n v="0"/>
    <x v="1"/>
    <s v="Vestdanmark"/>
    <n v="100301.72992417146"/>
    <n v="0"/>
    <n v="0"/>
    <n v="0"/>
    <n v="0"/>
    <n v="0"/>
    <n v="0"/>
    <n v="0"/>
    <n v="100301.72992417146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67791.218966454777"/>
    <n v="26632.676297028265"/>
    <n v="0"/>
    <n v="0"/>
    <n v="0"/>
    <n v="0"/>
    <n v="0"/>
    <n v="0"/>
    <n v="41158.542669426512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24256.6047362923"/>
    <n v="0"/>
    <n v="0"/>
    <n v="0"/>
    <n v="2943192.4535522191"/>
    <n v="0"/>
    <n v="0"/>
    <n v="0"/>
    <n v="981064.15118407318"/>
    <n v="981064.15118407318"/>
    <n v="2943192.4535522191"/>
    <n v="0.48956082208236446"/>
    <n v="1.9582432883294574"/>
    <n v="1.468682466247093"/>
    <n v="0.4895608220823644"/>
    <n v="58863.849071044388"/>
    <n v="235455.39628417752"/>
    <n v="176591.54721313313"/>
    <n v="58863.849071044388"/>
    <x v="0"/>
  </r>
  <r>
    <x v="42"/>
    <s v="Husdyrgødning"/>
    <n v="1"/>
    <n v="0"/>
    <x v="1"/>
    <s v="Vestdanmark"/>
    <n v="6656017.1221692413"/>
    <n v="0"/>
    <n v="0"/>
    <n v="0"/>
    <n v="4992012.841626931"/>
    <n v="1664004.2805423103"/>
    <n v="0"/>
    <n v="0"/>
    <n v="0"/>
    <n v="0"/>
    <n v="4992012.841626931"/>
    <n v="0"/>
    <n v="2.1505591321728823"/>
    <n v="2.1505591321728823"/>
    <n v="0"/>
    <n v="0"/>
    <n v="249600.64208134657"/>
    <n v="249600.64208134657"/>
    <n v="0"/>
    <x v="0"/>
  </r>
  <r>
    <x v="43"/>
    <s v=""/>
    <n v="0"/>
    <n v="1"/>
    <x v="1"/>
    <s v="Vestdanmark"/>
    <n v="719809.07013594534"/>
    <n v="0"/>
    <n v="0"/>
    <n v="121875.54404868034"/>
    <n v="0"/>
    <n v="0"/>
    <n v="0"/>
    <n v="0"/>
    <n v="597933.526087265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  <x v="0"/>
  </r>
  <r>
    <x v="47"/>
    <s v="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  <x v="1"/>
  </r>
  <r>
    <x v="1"/>
    <s v=""/>
    <n v="0"/>
    <n v="1"/>
    <x v="2"/>
    <s v="Vestdanmark"/>
    <n v="1461503.2991938624"/>
    <n v="5548.5022247895331"/>
    <n v="0"/>
    <n v="0"/>
    <n v="0"/>
    <n v="0"/>
    <n v="0"/>
    <n v="0"/>
    <n v="1455954.7969690729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n v="0"/>
    <x v="2"/>
    <s v="Vestdanmark"/>
    <n v="154707932.21283442"/>
    <n v="0"/>
    <n v="0"/>
    <n v="0"/>
    <n v="0"/>
    <n v="0"/>
    <n v="154707932.21283442"/>
    <n v="0"/>
    <n v="0"/>
    <n v="0"/>
    <n v="154707932.21283442"/>
    <n v="0"/>
    <n v="0"/>
    <n v="0"/>
    <n v="0"/>
    <n v="0"/>
    <n v="0"/>
    <n v="0"/>
    <n v="0"/>
    <x v="0"/>
  </r>
  <r>
    <x v="4"/>
    <s v=""/>
    <n v="0"/>
    <n v="0"/>
    <x v="2"/>
    <s v="Vestdanmark"/>
    <n v="4885897.4700810183"/>
    <n v="0"/>
    <n v="0"/>
    <n v="0"/>
    <n v="0"/>
    <n v="495509.77237359248"/>
    <n v="0"/>
    <n v="0"/>
    <n v="4390387.6977074258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2"/>
    <s v="Vestdanmark"/>
    <n v="396632.81426913757"/>
    <n v="0"/>
    <n v="0"/>
    <n v="0"/>
    <n v="356969.53284222382"/>
    <n v="15015.385111617346"/>
    <n v="0"/>
    <n v="0"/>
    <n v="24647.896315296413"/>
    <n v="24647.896315296413"/>
    <n v="356969.53284222382"/>
    <n v="5.3091568663148472E-2"/>
    <n v="0.82200394240529862"/>
    <n v="0.76891237374215016"/>
    <n v="5.3091568663148458E-2"/>
    <n v="7394.3688945889235"/>
    <n v="114485.22874725607"/>
    <n v="107090.85985266714"/>
    <n v="7394.3688945889298"/>
    <x v="0"/>
  </r>
  <r>
    <x v="7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5618.4151705662098"/>
    <n v="0"/>
    <n v="0"/>
    <n v="0"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  <x v="0"/>
  </r>
  <r>
    <x v="9"/>
    <s v=""/>
    <n v="0"/>
    <n v="1"/>
    <x v="2"/>
    <s v="Vestdanmark"/>
    <n v="6001.6248923716248"/>
    <n v="0"/>
    <n v="0"/>
    <n v="36670.799626981883"/>
    <n v="0"/>
    <n v="0"/>
    <n v="0"/>
    <n v="0"/>
    <n v="-30669.174734610257"/>
    <n v="0"/>
    <n v="0"/>
    <n v="0"/>
    <n v="0"/>
    <n v="0"/>
    <n v="0"/>
    <n v="0"/>
    <n v="0"/>
    <n v="0"/>
    <n v="0"/>
    <x v="1"/>
  </r>
  <r>
    <x v="10"/>
    <s v=""/>
    <n v="0"/>
    <n v="0"/>
    <x v="2"/>
    <s v="Vestdanmark"/>
    <n v="5541.8750535368863"/>
    <n v="0"/>
    <n v="0"/>
    <n v="0"/>
    <n v="0"/>
    <n v="0"/>
    <n v="0"/>
    <n v="0"/>
    <n v="5541.8750535368863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1792737.3458964743"/>
    <n v="0"/>
    <n v="0"/>
    <n v="267978.92035102146"/>
    <n v="0"/>
    <n v="0"/>
    <n v="0"/>
    <n v="0"/>
    <n v="1524758.4255454529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2"/>
    <s v="Vestdanmark"/>
    <n v="27470991.955365088"/>
    <n v="1052751.2346229136"/>
    <n v="0"/>
    <n v="0"/>
    <n v="0"/>
    <n v="0"/>
    <n v="0"/>
    <n v="0"/>
    <n v="26418240.720742173"/>
    <n v="26418240.720742173"/>
    <n v="0"/>
    <n v="48.606260646075512"/>
    <n v="48.606260646075512"/>
    <n v="0"/>
    <n v="48.606260646075512"/>
    <n v="7397107.4018078092"/>
    <n v="7397107.4018078092"/>
    <n v="0"/>
    <n v="7397107.4018078092"/>
    <x v="0"/>
  </r>
  <r>
    <x v="14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Vestdanmark"/>
    <n v="3574924.4318902972"/>
    <n v="0"/>
    <n v="0"/>
    <n v="280672.65868343826"/>
    <n v="0"/>
    <n v="0"/>
    <n v="0"/>
    <n v="0"/>
    <n v="3294251.7732068589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1112034.6998953791"/>
    <n v="66504.964166574544"/>
    <n v="50454.584612926636"/>
    <n v="0"/>
    <n v="0"/>
    <n v="0"/>
    <n v="995075.1511158779"/>
    <n v="0"/>
    <n v="0"/>
    <n v="0"/>
    <n v="995075.1511158779"/>
    <n v="0"/>
    <n v="10.284904054818577"/>
    <n v="0"/>
    <n v="10.284904054818577"/>
    <n v="0"/>
    <n v="845813.87844849622"/>
    <n v="0"/>
    <n v="845813.87844849622"/>
    <x v="0"/>
  </r>
  <r>
    <x v="17"/>
    <s v="Bionedbrydeligt affald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x v="0"/>
  </r>
  <r>
    <x v="18"/>
    <s v=""/>
    <n v="0"/>
    <n v="1"/>
    <x v="2"/>
    <s v="Vestdanmark"/>
    <n v="0"/>
    <n v="415367.04155021644"/>
    <n v="0"/>
    <n v="0"/>
    <n v="0"/>
    <n v="0"/>
    <n v="0"/>
    <n v="0"/>
    <n v="-415367.04155021644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Vestdanmark"/>
    <n v="214268.06810170741"/>
    <n v="0"/>
    <n v="0"/>
    <n v="0"/>
    <n v="0"/>
    <n v="0"/>
    <n v="0"/>
    <n v="0"/>
    <n v="214268.06810170741"/>
    <n v="214268.06810170741"/>
    <n v="0"/>
    <n v="0.92845139393355158"/>
    <n v="0.92845139393355158"/>
    <n v="0"/>
    <n v="0.92845139393355158"/>
    <n v="89992.588602717107"/>
    <n v="89992.588602717107"/>
    <n v="0"/>
    <n v="89992.588602717107"/>
    <x v="0"/>
  </r>
  <r>
    <x v="20"/>
    <s v=""/>
    <n v="0"/>
    <n v="0"/>
    <x v="2"/>
    <s v="Vestdanmark"/>
    <n v="576432.67952835571"/>
    <n v="0"/>
    <n v="0"/>
    <n v="0"/>
    <n v="0"/>
    <n v="0"/>
    <n v="0"/>
    <n v="0"/>
    <n v="576432.67952835571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6540.3387577996864"/>
    <n v="0"/>
    <n v="0"/>
    <n v="128347.79869443661"/>
    <n v="0"/>
    <n v="0"/>
    <n v="0"/>
    <n v="0"/>
    <n v="-121807.45993663692"/>
    <n v="0"/>
    <n v="0"/>
    <n v="0"/>
    <n v="0"/>
    <n v="0"/>
    <n v="0"/>
    <n v="0"/>
    <n v="0"/>
    <n v="0"/>
    <n v="0"/>
    <x v="1"/>
  </r>
  <r>
    <x v="22"/>
    <s v="Halm og strå"/>
    <n v="1"/>
    <n v="1"/>
    <x v="2"/>
    <s v="Vestdanmark"/>
    <n v="17585.624267945121"/>
    <n v="505761.3902957458"/>
    <n v="0"/>
    <n v="307470.55071854044"/>
    <n v="0"/>
    <n v="0"/>
    <n v="0"/>
    <n v="0"/>
    <n v="-795646.31674634118"/>
    <n v="0"/>
    <n v="0"/>
    <n v="0"/>
    <n v="0"/>
    <n v="0"/>
    <n v="0"/>
    <n v="0"/>
    <n v="0"/>
    <n v="0"/>
    <n v="0"/>
    <x v="1"/>
  </r>
  <r>
    <x v="23"/>
    <s v=""/>
    <n v="0"/>
    <n v="0"/>
    <x v="2"/>
    <s v="Vestdanmark"/>
    <n v="0"/>
    <n v="0"/>
    <n v="0"/>
    <n v="0"/>
    <n v="0"/>
    <n v="3130893.6010473287"/>
    <n v="0"/>
    <n v="0"/>
    <n v="-3130893.6010473287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Vestdanmark"/>
    <n v="784839.05717902537"/>
    <n v="0"/>
    <n v="0"/>
    <n v="0"/>
    <n v="706355.15146112291"/>
    <n v="78483.905717902526"/>
    <n v="0"/>
    <n v="0"/>
    <n v="0"/>
    <n v="0"/>
    <n v="706355.15146112291"/>
    <n v="0"/>
    <n v="0.35754991411810583"/>
    <n v="0.35754991411810583"/>
    <n v="0"/>
    <n v="0"/>
    <n v="53682.991511045337"/>
    <n v="53682.991511045337"/>
    <n v="0"/>
    <x v="0"/>
  </r>
  <r>
    <x v="25"/>
    <s v=""/>
    <n v="0"/>
    <n v="0"/>
    <x v="2"/>
    <s v="Vestdanmark"/>
    <n v="99775.251913510743"/>
    <n v="130389.80228255401"/>
    <n v="0"/>
    <n v="0"/>
    <n v="0"/>
    <n v="0"/>
    <n v="0"/>
    <n v="0"/>
    <n v="-30614.550369043267"/>
    <n v="0"/>
    <n v="0"/>
    <n v="0"/>
    <n v="0"/>
    <n v="0"/>
    <n v="0"/>
    <n v="0"/>
    <n v="0"/>
    <n v="0"/>
    <n v="0"/>
    <x v="1"/>
  </r>
  <r>
    <x v="26"/>
    <s v="Græs og urter"/>
    <n v="1"/>
    <n v="1"/>
    <x v="2"/>
    <s v="Vestdanmark"/>
    <n v="24354.977510479563"/>
    <n v="486649.88263258187"/>
    <n v="0"/>
    <n v="0"/>
    <n v="0"/>
    <n v="0"/>
    <n v="0"/>
    <n v="0"/>
    <n v="-462294.9051221023"/>
    <n v="0"/>
    <n v="0"/>
    <n v="0"/>
    <n v="0"/>
    <n v="0"/>
    <n v="0"/>
    <n v="0"/>
    <n v="0"/>
    <n v="0"/>
    <n v="0"/>
    <x v="1"/>
  </r>
  <r>
    <x v="27"/>
    <s v=""/>
    <n v="0"/>
    <n v="1"/>
    <x v="2"/>
    <s v="Vestdanmark"/>
    <n v="192514.45390067078"/>
    <n v="0"/>
    <n v="0"/>
    <n v="490824.54885344987"/>
    <n v="0"/>
    <n v="0"/>
    <n v="0"/>
    <n v="0"/>
    <n v="-298310.09495277912"/>
    <n v="0"/>
    <n v="0"/>
    <n v="0"/>
    <n v="0"/>
    <n v="0"/>
    <n v="0"/>
    <n v="0"/>
    <n v="0"/>
    <n v="0"/>
    <n v="0"/>
    <x v="1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2"/>
    <s v="Vestdanmark"/>
    <n v="3620.6587311595463"/>
    <n v="0"/>
    <n v="0"/>
    <n v="62368.567673274578"/>
    <n v="0"/>
    <n v="0"/>
    <n v="0"/>
    <n v="0"/>
    <n v="-58747.908942115035"/>
    <n v="0"/>
    <n v="0"/>
    <n v="0"/>
    <n v="0"/>
    <n v="0"/>
    <n v="0"/>
    <n v="0"/>
    <n v="0"/>
    <n v="0"/>
    <n v="0"/>
    <x v="1"/>
  </r>
  <r>
    <x v="30"/>
    <s v=""/>
    <n v="0"/>
    <n v="1"/>
    <x v="2"/>
    <s v="Vestdanmark"/>
    <n v="4681.8686166152675"/>
    <n v="0"/>
    <n v="0"/>
    <n v="0"/>
    <n v="0"/>
    <n v="0"/>
    <n v="0"/>
    <n v="0"/>
    <n v="4681.8686166152675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09495.6819733945"/>
    <n v="0"/>
    <n v="0"/>
    <n v="0"/>
    <n v="0"/>
    <n v="0"/>
    <n v="109495.6819733945"/>
    <n v="0"/>
    <n v="0"/>
    <n v="0"/>
    <n v="109495.6819733945"/>
    <n v="0"/>
    <n v="2.0147205483104584"/>
    <n v="0"/>
    <n v="2.0147205483104584"/>
    <n v="0"/>
    <n v="45440.708018958721"/>
    <n v="0"/>
    <n v="45440.708018958721"/>
    <x v="0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Vestdanmark"/>
    <n v="299784.31365557079"/>
    <n v="0"/>
    <n v="0"/>
    <n v="0"/>
    <n v="0"/>
    <n v="0"/>
    <n v="0"/>
    <n v="0"/>
    <n v="299784.31365557079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996229.71876806754"/>
    <n v="0"/>
    <n v="0"/>
    <n v="0"/>
    <n v="0"/>
    <n v="0"/>
    <n v="0"/>
    <n v="996229.71876806754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Vestdanmark"/>
    <n v="498114.85938403377"/>
    <n v="18417.944885065255"/>
    <n v="0"/>
    <n v="0"/>
    <n v="0"/>
    <n v="0"/>
    <n v="0"/>
    <n v="0"/>
    <n v="479696.91449896852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318793.5100057816"/>
    <n v="0"/>
    <n v="0"/>
    <n v="0"/>
    <n v="0"/>
    <n v="0"/>
    <n v="318793.5100057816"/>
    <n v="0"/>
    <n v="0"/>
    <n v="0"/>
    <n v="318793.5100057816"/>
    <n v="0"/>
    <n v="11.157772850202354"/>
    <n v="0"/>
    <n v="11.157772850202354"/>
    <n v="0"/>
    <n v="0"/>
    <n v="0"/>
    <n v="0"/>
    <x v="0"/>
  </r>
  <r>
    <x v="38"/>
    <s v="Græs og urter"/>
    <n v="1"/>
    <n v="1"/>
    <x v="2"/>
    <s v="Vestdanmark"/>
    <n v="328.27548713856038"/>
    <n v="72361.716514963497"/>
    <n v="0"/>
    <n v="0"/>
    <n v="0"/>
    <n v="0"/>
    <n v="0"/>
    <n v="0"/>
    <n v="-72033.441027824942"/>
    <n v="0"/>
    <n v="0"/>
    <n v="0"/>
    <n v="0"/>
    <n v="0"/>
    <n v="0"/>
    <n v="0"/>
    <n v="0"/>
    <n v="0"/>
    <n v="0"/>
    <x v="1"/>
  </r>
  <r>
    <x v="39"/>
    <s v=""/>
    <n v="0"/>
    <n v="0"/>
    <x v="2"/>
    <s v="Vestdanmark"/>
    <n v="5271.9252933549069"/>
    <n v="0"/>
    <n v="0"/>
    <n v="0"/>
    <n v="0"/>
    <n v="0"/>
    <n v="0"/>
    <n v="0"/>
    <n v="5271.9252933549069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3160.1886401433912"/>
    <n v="3390.7513595936034"/>
    <n v="0"/>
    <n v="0"/>
    <n v="0"/>
    <n v="0"/>
    <n v="0"/>
    <n v="0"/>
    <n v="-230.56271945021217"/>
    <n v="0"/>
    <n v="0"/>
    <n v="0"/>
    <n v="0"/>
    <n v="0"/>
    <n v="0"/>
    <n v="0"/>
    <n v="0"/>
    <n v="0"/>
    <n v="0"/>
    <x v="1"/>
  </r>
  <r>
    <x v="41"/>
    <s v="Bionedbrydeligt affald"/>
    <n v="1"/>
    <n v="0"/>
    <x v="2"/>
    <s v="Vestdanmark"/>
    <n v="4009828.1565030687"/>
    <n v="0"/>
    <n v="0"/>
    <n v="0"/>
    <n v="3608845.3408527621"/>
    <n v="0"/>
    <n v="0"/>
    <n v="0"/>
    <n v="400982.81565030664"/>
    <n v="400982.81565030664"/>
    <n v="3608845.3408527621"/>
    <n v="0.20009443483765954"/>
    <n v="2.0009443483765965"/>
    <n v="1.8008499135389371"/>
    <n v="0.20009443483765943"/>
    <n v="24058.968939018399"/>
    <n v="240589.68939018412"/>
    <n v="216530.72045116572"/>
    <n v="24058.968939018407"/>
    <x v="0"/>
  </r>
  <r>
    <x v="42"/>
    <s v="Husdyrgødning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3"/>
    <s v=""/>
    <n v="0"/>
    <n v="1"/>
    <x v="2"/>
    <s v="Vestdanmark"/>
    <n v="32835.498607746944"/>
    <n v="0"/>
    <n v="0"/>
    <n v="126627.09194270898"/>
    <n v="0"/>
    <n v="0"/>
    <n v="0"/>
    <n v="0"/>
    <n v="-93791.593334962032"/>
    <n v="0"/>
    <n v="0"/>
    <n v="0"/>
    <n v="0"/>
    <n v="0"/>
    <n v="0"/>
    <n v="0"/>
    <n v="0"/>
    <n v="0"/>
    <n v="0"/>
    <x v="1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  <x v="0"/>
  </r>
  <r>
    <x v="47"/>
    <s v="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  <x v="0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Østdanmark"/>
    <n v="11522.620478108267"/>
    <n v="0"/>
    <n v="0"/>
    <n v="28209.340124628539"/>
    <n v="0"/>
    <n v="0"/>
    <n v="0"/>
    <n v="0"/>
    <n v="-16686.719646520272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239056.41929509072"/>
    <n v="5329.6233117734955"/>
    <n v="0"/>
    <n v="0"/>
    <n v="0"/>
    <n v="0"/>
    <n v="0"/>
    <n v="0"/>
    <n v="233726.79598331722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n v="0"/>
    <x v="1"/>
    <s v="Østdanmark"/>
    <n v="93239749.064297408"/>
    <n v="0"/>
    <n v="0"/>
    <n v="0"/>
    <n v="0"/>
    <n v="0"/>
    <n v="93239749.064297408"/>
    <n v="0"/>
    <n v="0"/>
    <n v="0"/>
    <n v="93239749.064297408"/>
    <n v="0"/>
    <n v="0"/>
    <n v="0"/>
    <n v="0"/>
    <n v="0"/>
    <n v="0"/>
    <n v="0"/>
    <n v="0"/>
    <x v="0"/>
  </r>
  <r>
    <x v="4"/>
    <s v=""/>
    <n v="0"/>
    <n v="0"/>
    <x v="1"/>
    <s v="Østdanmark"/>
    <n v="3926338.169828245"/>
    <n v="0"/>
    <n v="0"/>
    <n v="0"/>
    <n v="0"/>
    <n v="2691211.5260409825"/>
    <n v="0"/>
    <n v="0"/>
    <n v="1235126.6437872625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1"/>
    <s v="Østdanmark"/>
    <n v="342788.14875582355"/>
    <n v="0"/>
    <n v="0"/>
    <n v="0"/>
    <n v="257091.11156686768"/>
    <n v="32442.449792961874"/>
    <n v="0"/>
    <n v="0"/>
    <n v="53254.587395993993"/>
    <n v="53254.587395993993"/>
    <n v="257091.11156686768"/>
    <n v="0.11471038125097106"/>
    <n v="0.66848463556600413"/>
    <n v="0.55377425431503302"/>
    <n v="0.11471038125097111"/>
    <n v="15976.376218798197"/>
    <n v="93103.709688858493"/>
    <n v="77127.333470060301"/>
    <n v="15976.376218798192"/>
    <x v="0"/>
  </r>
  <r>
    <x v="7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678.5291555114477"/>
    <n v="0"/>
    <n v="0"/>
    <n v="0"/>
    <n v="508.89686663358577"/>
    <n v="169.63228887786195"/>
    <n v="0"/>
    <n v="0"/>
    <n v="0"/>
    <n v="0"/>
    <n v="508.89686663358577"/>
    <n v="0"/>
    <n v="2.3932910740910907E-4"/>
    <n v="2.3932910740910907E-4"/>
    <n v="0"/>
    <n v="0"/>
    <n v="32.060502597915907"/>
    <n v="32.060502597915907"/>
    <n v="0"/>
    <x v="0"/>
  </r>
  <r>
    <x v="9"/>
    <s v=""/>
    <n v="0"/>
    <n v="1"/>
    <x v="1"/>
    <s v="Østdanmark"/>
    <n v="8276.4182574830029"/>
    <n v="0"/>
    <n v="0"/>
    <n v="30560.118468347584"/>
    <n v="0"/>
    <n v="0"/>
    <n v="0"/>
    <n v="0"/>
    <n v="-22283.700210864583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333442.78659773892"/>
    <n v="0"/>
    <n v="0"/>
    <n v="0"/>
    <n v="0"/>
    <n v="0"/>
    <n v="0"/>
    <n v="0"/>
    <n v="333442.78659773892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9148.1169872791615"/>
    <n v="0"/>
    <n v="0"/>
    <n v="223323.94265330929"/>
    <n v="0"/>
    <n v="0"/>
    <n v="0"/>
    <n v="0"/>
    <n v="-214175.82566603014"/>
    <n v="0"/>
    <n v="0"/>
    <n v="0"/>
    <n v="0"/>
    <n v="0"/>
    <n v="0"/>
    <n v="0"/>
    <n v="0"/>
    <n v="0"/>
    <n v="0"/>
    <x v="1"/>
  </r>
  <r>
    <x v="12"/>
    <s v="Glycerin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1"/>
    <s v="Østdanmark"/>
    <n v="3398874.4701964208"/>
    <n v="1011222.0008630237"/>
    <n v="0"/>
    <n v="0"/>
    <n v="0"/>
    <n v="0"/>
    <n v="0"/>
    <n v="0"/>
    <n v="2387652.4693333972"/>
    <n v="2387652.4693333972"/>
    <n v="0"/>
    <n v="4.3929820870147847"/>
    <n v="4.3929820870147847"/>
    <n v="0"/>
    <n v="4.3929820870147847"/>
    <n v="668542.69141335133"/>
    <n v="668542.69141335133"/>
    <n v="0"/>
    <n v="668542.69141335133"/>
    <x v="0"/>
  </r>
  <r>
    <x v="14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Østdanmark"/>
    <n v="354031.79838602385"/>
    <n v="0"/>
    <n v="0"/>
    <n v="233902.44520004498"/>
    <n v="0"/>
    <n v="0"/>
    <n v="0"/>
    <n v="0"/>
    <n v="120129.35318597886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739772.0117577652"/>
    <n v="63881.457195285089"/>
    <n v="66924.669018519271"/>
    <n v="0"/>
    <n v="0"/>
    <n v="0"/>
    <n v="608965.88554396096"/>
    <n v="0"/>
    <n v="0"/>
    <n v="0"/>
    <n v="608965.88554396096"/>
    <n v="0"/>
    <n v="6.2941534601218443"/>
    <n v="0"/>
    <n v="6.2941534601218443"/>
    <n v="0"/>
    <n v="517621.00271236681"/>
    <n v="0"/>
    <n v="517621.00271236681"/>
    <x v="0"/>
  </r>
  <r>
    <x v="17"/>
    <s v="Bionedbrydeligt affald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x v="0"/>
  </r>
  <r>
    <x v="18"/>
    <s v=""/>
    <n v="0"/>
    <n v="1"/>
    <x v="1"/>
    <s v="Østdanmark"/>
    <n v="0"/>
    <n v="398981.52292304358"/>
    <n v="0"/>
    <n v="0"/>
    <n v="0"/>
    <n v="0"/>
    <n v="0"/>
    <n v="0"/>
    <n v="-398981.52292304358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Østdanmark"/>
    <n v="189258.59939962387"/>
    <n v="0"/>
    <n v="0"/>
    <n v="0"/>
    <n v="0"/>
    <n v="0"/>
    <n v="0"/>
    <n v="0"/>
    <n v="189258.59939962387"/>
    <n v="189258.59939962387"/>
    <n v="0"/>
    <n v="0.82008211481649229"/>
    <n v="0.82008211481649229"/>
    <n v="0"/>
    <n v="0.82008211481649229"/>
    <n v="79488.61174784202"/>
    <n v="79488.61174784202"/>
    <n v="0"/>
    <n v="79488.61174784202"/>
    <x v="0"/>
  </r>
  <r>
    <x v="20"/>
    <s v=""/>
    <n v="0"/>
    <n v="0"/>
    <x v="1"/>
    <s v="Østdanmark"/>
    <n v="195942.26011419127"/>
    <n v="0"/>
    <n v="0"/>
    <n v="0"/>
    <n v="0"/>
    <n v="0"/>
    <n v="0"/>
    <n v="0"/>
    <n v="195942.26011419127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474779.06798607635"/>
    <n v="0"/>
    <n v="0"/>
    <n v="106960.41463921656"/>
    <n v="0"/>
    <n v="0"/>
    <n v="0"/>
    <n v="0"/>
    <n v="367818.65334685979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526601.9040028804"/>
    <n v="485809.96937735338"/>
    <n v="0"/>
    <n v="256234.83946537593"/>
    <n v="0"/>
    <n v="0"/>
    <n v="0"/>
    <n v="0"/>
    <n v="784557.09516015113"/>
    <n v="784557.09516015113"/>
    <n v="0"/>
    <n v="2.6869982129301957"/>
    <n v="2.6869982129301957"/>
    <n v="0"/>
    <n v="2.6869982129301957"/>
    <n v="243212.69949964684"/>
    <n v="243212.69949964684"/>
    <n v="0"/>
    <n v="243212.69949964684"/>
    <x v="0"/>
  </r>
  <r>
    <x v="23"/>
    <s v=""/>
    <n v="0"/>
    <n v="0"/>
    <x v="1"/>
    <s v="Østdanmark"/>
    <n v="0"/>
    <n v="0"/>
    <n v="0"/>
    <n v="0"/>
    <n v="0"/>
    <n v="486481.53306433168"/>
    <n v="0"/>
    <n v="0"/>
    <n v="-486481.53306433168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Østdanmark"/>
    <n v="544131.82132200396"/>
    <n v="0"/>
    <n v="0"/>
    <n v="0"/>
    <n v="408098.865991503"/>
    <n v="136032.95533050099"/>
    <n v="0"/>
    <n v="0"/>
    <n v="0"/>
    <n v="0"/>
    <n v="408098.865991503"/>
    <n v="0"/>
    <n v="0.20657556497623894"/>
    <n v="0.20657556497623894"/>
    <n v="0"/>
    <n v="0"/>
    <n v="31015.513815354228"/>
    <n v="31015.513815354228"/>
    <n v="0"/>
    <x v="0"/>
  </r>
  <r>
    <x v="25"/>
    <s v=""/>
    <n v="0"/>
    <n v="0"/>
    <x v="1"/>
    <s v="Østdanmark"/>
    <n v="68227.353372786543"/>
    <n v="125246.14782667712"/>
    <n v="0"/>
    <n v="0"/>
    <n v="0"/>
    <n v="0"/>
    <n v="0"/>
    <n v="0"/>
    <n v="-57018.794453890572"/>
    <n v="0"/>
    <n v="0"/>
    <n v="0"/>
    <n v="0"/>
    <n v="0"/>
    <n v="0"/>
    <n v="0"/>
    <n v="0"/>
    <n v="0"/>
    <n v="0"/>
    <x v="1"/>
  </r>
  <r>
    <x v="26"/>
    <s v="Græs og urter"/>
    <n v="1"/>
    <n v="1"/>
    <x v="1"/>
    <s v="Østdanmark"/>
    <n v="1317840.691777108"/>
    <n v="467452.37797013356"/>
    <n v="0"/>
    <n v="0"/>
    <n v="0"/>
    <n v="0"/>
    <n v="0"/>
    <n v="0"/>
    <n v="850388.31380697445"/>
    <n v="850388.31380697445"/>
    <n v="0"/>
    <n v="3.0528940465670384"/>
    <n v="3.0528940465670384"/>
    <n v="0"/>
    <n v="3.0528940465670384"/>
    <n v="255116.49414209233"/>
    <n v="255116.49414209233"/>
    <n v="0"/>
    <n v="255116.49414209233"/>
    <x v="0"/>
  </r>
  <r>
    <x v="27"/>
    <s v=""/>
    <n v="0"/>
    <n v="1"/>
    <x v="1"/>
    <s v="Østdanmark"/>
    <n v="131643.38274019925"/>
    <n v="0"/>
    <n v="0"/>
    <n v="409035.43180711387"/>
    <n v="0"/>
    <n v="0"/>
    <n v="0"/>
    <n v="0"/>
    <n v="-277392.04906691459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1"/>
    <s v="Østdanmark"/>
    <n v="3992.121653443267"/>
    <n v="0"/>
    <n v="0"/>
    <n v="51975.70917962808"/>
    <n v="0"/>
    <n v="0"/>
    <n v="0"/>
    <n v="0"/>
    <n v="-47983.587526184812"/>
    <n v="0"/>
    <n v="0"/>
    <n v="0"/>
    <n v="0"/>
    <n v="0"/>
    <n v="0"/>
    <n v="0"/>
    <n v="0"/>
    <n v="0"/>
    <n v="0"/>
    <x v="1"/>
  </r>
  <r>
    <x v="30"/>
    <s v=""/>
    <n v="0"/>
    <n v="1"/>
    <x v="1"/>
    <s v="Østdanmark"/>
    <n v="432468.49177549983"/>
    <n v="0"/>
    <n v="0"/>
    <n v="0"/>
    <n v="0"/>
    <n v="0"/>
    <n v="0"/>
    <n v="0"/>
    <n v="432468.49177549983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40786.879237447567"/>
    <n v="0"/>
    <n v="0"/>
    <n v="0"/>
    <n v="0"/>
    <n v="0"/>
    <n v="40786.879237447567"/>
    <n v="0"/>
    <n v="0"/>
    <n v="0"/>
    <n v="40786.879237447567"/>
    <n v="0"/>
    <n v="0.75047857796903505"/>
    <n v="0"/>
    <n v="0.75047857796903505"/>
    <n v="0"/>
    <n v="16926.554883540743"/>
    <n v="0"/>
    <n v="16926.554883540743"/>
    <x v="0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Østdanmark"/>
    <n v="204995.62678254952"/>
    <n v="0"/>
    <n v="0"/>
    <n v="0"/>
    <n v="0"/>
    <n v="0"/>
    <n v="0"/>
    <n v="0"/>
    <n v="204995.62678254952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148274.85806676943"/>
    <n v="0"/>
    <n v="0"/>
    <n v="0"/>
    <n v="0"/>
    <n v="0"/>
    <n v="0"/>
    <n v="148274.85806676943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Østdanmark"/>
    <n v="74137.429033384717"/>
    <n v="17691.388493248127"/>
    <n v="0"/>
    <n v="0"/>
    <n v="0"/>
    <n v="0"/>
    <n v="0"/>
    <n v="0"/>
    <n v="56446.040540136586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47447.954581366219"/>
    <n v="0"/>
    <n v="0"/>
    <n v="0"/>
    <n v="0"/>
    <n v="0"/>
    <n v="47447.954581366219"/>
    <n v="0"/>
    <n v="0"/>
    <n v="0"/>
    <n v="47447.954581366219"/>
    <n v="0"/>
    <n v="1.6606784103478176"/>
    <n v="0"/>
    <n v="1.6606784103478176"/>
    <n v="0"/>
    <n v="0"/>
    <n v="0"/>
    <n v="0"/>
    <x v="0"/>
  </r>
  <r>
    <x v="38"/>
    <s v="Græs og urter"/>
    <n v="1"/>
    <n v="1"/>
    <x v="1"/>
    <s v="Østdanmark"/>
    <n v="568748.18023765879"/>
    <n v="69507.170691045991"/>
    <n v="0"/>
    <n v="0"/>
    <n v="0"/>
    <n v="0"/>
    <n v="0"/>
    <n v="0"/>
    <n v="499241.0095466128"/>
    <n v="499241.0095466128"/>
    <n v="0"/>
    <n v="1.3549600695498889"/>
    <n v="1.3549600695498889"/>
    <n v="0"/>
    <n v="1.3549600695498889"/>
    <n v="99848.201909322568"/>
    <n v="99848.201909322568"/>
    <n v="0"/>
    <n v="99848.201909322568"/>
    <x v="0"/>
  </r>
  <r>
    <x v="39"/>
    <s v=""/>
    <n v="0"/>
    <n v="0"/>
    <x v="1"/>
    <s v="Østdanmark"/>
    <n v="11804.917672589359"/>
    <n v="0"/>
    <n v="0"/>
    <n v="0"/>
    <n v="0"/>
    <n v="0"/>
    <n v="0"/>
    <n v="0"/>
    <n v="11804.917672589359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9557.2932196157453"/>
    <n v="3256.9920238615805"/>
    <n v="0"/>
    <n v="0"/>
    <n v="0"/>
    <n v="0"/>
    <n v="0"/>
    <n v="0"/>
    <n v="6300.3011957541648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0524.9539653622"/>
    <n v="0"/>
    <n v="0"/>
    <n v="0"/>
    <n v="2505393.7154740216"/>
    <n v="0"/>
    <n v="0"/>
    <n v="0"/>
    <n v="835131.23849134054"/>
    <n v="835131.23849134054"/>
    <n v="2505393.7154740216"/>
    <n v="0.4167388393195639"/>
    <n v="1.6669553572782556"/>
    <n v="1.2502165179586917"/>
    <n v="0.4167388393195639"/>
    <n v="50107.87430948043"/>
    <n v="200431.49723792172"/>
    <n v="150323.6229284413"/>
    <n v="50107.874309480423"/>
    <x v="0"/>
  </r>
  <r>
    <x v="42"/>
    <s v="Husdyrgødning"/>
    <n v="1"/>
    <n v="0"/>
    <x v="1"/>
    <s v="Østdanmark"/>
    <n v="964437.67916622036"/>
    <n v="0"/>
    <n v="0"/>
    <n v="0"/>
    <n v="723328.25937466533"/>
    <n v="241109.41979155506"/>
    <n v="0"/>
    <n v="0"/>
    <n v="0"/>
    <n v="0"/>
    <n v="723328.25937466533"/>
    <n v="0"/>
    <n v="0.31160981413860589"/>
    <n v="0.31160981413860589"/>
    <n v="0"/>
    <n v="0"/>
    <n v="36166.412968733268"/>
    <n v="36166.412968733268"/>
    <n v="0"/>
    <x v="0"/>
  </r>
  <r>
    <x v="43"/>
    <s v=""/>
    <n v="0"/>
    <n v="1"/>
    <x v="1"/>
    <s v="Østdanmark"/>
    <n v="104298.25769715841"/>
    <n v="0"/>
    <n v="0"/>
    <n v="105526.43984954793"/>
    <n v="0"/>
    <n v="0"/>
    <n v="0"/>
    <n v="0"/>
    <n v="-1228.1821523895196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  <x v="0"/>
  </r>
  <r>
    <x v="47"/>
    <s v="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  <x v="1"/>
  </r>
  <r>
    <x v="1"/>
    <s v=""/>
    <n v="0"/>
    <n v="1"/>
    <x v="2"/>
    <s v="Østdanmark"/>
    <n v="457930.53874458285"/>
    <n v="625.99887183421856"/>
    <n v="0"/>
    <n v="0"/>
    <n v="0"/>
    <n v="0"/>
    <n v="0"/>
    <n v="0"/>
    <n v="457304.53987274866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n v="0"/>
    <x v="2"/>
    <s v="Østdanmark"/>
    <n v="81094605.554408431"/>
    <n v="0"/>
    <n v="0"/>
    <n v="0"/>
    <n v="0"/>
    <n v="0"/>
    <n v="81094605.554408431"/>
    <n v="0"/>
    <n v="0"/>
    <n v="0"/>
    <n v="81094605.554408431"/>
    <n v="0"/>
    <n v="0"/>
    <n v="0"/>
    <n v="0"/>
    <n v="0"/>
    <n v="0"/>
    <n v="0"/>
    <n v="0"/>
    <x v="0"/>
  </r>
  <r>
    <x v="4"/>
    <s v=""/>
    <n v="0"/>
    <n v="0"/>
    <x v="2"/>
    <s v="Østdanmark"/>
    <n v="3428084.2294498845"/>
    <n v="0"/>
    <n v="0"/>
    <n v="0"/>
    <n v="0"/>
    <n v="347663.70899388671"/>
    <n v="0"/>
    <n v="0"/>
    <n v="3080420.5204559979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2"/>
    <s v="Østdanmark"/>
    <n v="55702.787923842719"/>
    <n v="0"/>
    <n v="0"/>
    <n v="0"/>
    <n v="50132.50913145845"/>
    <n v="2108.7483999740452"/>
    <n v="0"/>
    <n v="0"/>
    <n v="3461.5303924102263"/>
    <n v="3461.5303924102263"/>
    <n v="50132.50913145845"/>
    <n v="7.4561364652516275E-3"/>
    <n v="0.11544156113441313"/>
    <n v="0.1079854246691615"/>
    <n v="7.456136465251631E-3"/>
    <n v="1038.4591177230679"/>
    <n v="16078.211857160602"/>
    <n v="15039.752739437534"/>
    <n v="1038.4591177230686"/>
    <x v="0"/>
  </r>
  <r>
    <x v="7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471.55151143904124"/>
    <n v="0"/>
    <n v="0"/>
    <n v="0"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  <x v="0"/>
  </r>
  <r>
    <x v="9"/>
    <s v=""/>
    <n v="0"/>
    <n v="1"/>
    <x v="2"/>
    <s v="Østdanmark"/>
    <n v="503.71416194271836"/>
    <n v="0"/>
    <n v="0"/>
    <n v="31993.002188443785"/>
    <n v="0"/>
    <n v="0"/>
    <n v="0"/>
    <n v="0"/>
    <n v="-31489.288026501068"/>
    <n v="0"/>
    <n v="0"/>
    <n v="0"/>
    <n v="0"/>
    <n v="0"/>
    <n v="0"/>
    <n v="0"/>
    <n v="0"/>
    <n v="0"/>
    <n v="0"/>
    <x v="1"/>
  </r>
  <r>
    <x v="10"/>
    <s v=""/>
    <n v="0"/>
    <n v="0"/>
    <x v="2"/>
    <s v="Østdanmark"/>
    <n v="2414.435527469192"/>
    <n v="0"/>
    <n v="0"/>
    <n v="0"/>
    <n v="0"/>
    <n v="0"/>
    <n v="0"/>
    <n v="0"/>
    <n v="2414.435527469192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561970.05809562234"/>
    <n v="0"/>
    <n v="0"/>
    <n v="233795.01599247381"/>
    <n v="0"/>
    <n v="0"/>
    <n v="0"/>
    <n v="0"/>
    <n v="328175.04210314853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2"/>
    <s v="Østdanmark"/>
    <n v="8580695.4718173929"/>
    <n v="118774.59150176747"/>
    <n v="0"/>
    <n v="0"/>
    <n v="0"/>
    <n v="0"/>
    <n v="0"/>
    <n v="0"/>
    <n v="8461920.880315626"/>
    <n v="8461920.880315626"/>
    <n v="0"/>
    <n v="15.568876679670714"/>
    <n v="15.568876679670714"/>
    <n v="0"/>
    <n v="15.568876679670714"/>
    <n v="2369337.8464883757"/>
    <n v="2369337.8464883757"/>
    <n v="0"/>
    <n v="2369337.8464883757"/>
    <x v="0"/>
  </r>
  <r>
    <x v="14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Østdanmark"/>
    <n v="1120623.182681245"/>
    <n v="0"/>
    <n v="0"/>
    <n v="244869.51675001203"/>
    <n v="0"/>
    <n v="0"/>
    <n v="0"/>
    <n v="0"/>
    <n v="875753.66593123297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347850.99679471884"/>
    <n v="7503.2920332351478"/>
    <n v="6747.0089475501663"/>
    <n v="0"/>
    <n v="0"/>
    <n v="0"/>
    <n v="333600.69581393356"/>
    <n v="0"/>
    <n v="0"/>
    <n v="0"/>
    <n v="333600.69581393356"/>
    <n v="0"/>
    <n v="3.4480321865332897"/>
    <n v="0"/>
    <n v="3.4480321865332897"/>
    <n v="0"/>
    <n v="283560.59144184354"/>
    <n v="0"/>
    <n v="283560.59144184354"/>
    <x v="0"/>
  </r>
  <r>
    <x v="17"/>
    <s v="Bionedbrydeligt affald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x v="0"/>
  </r>
  <r>
    <x v="18"/>
    <s v=""/>
    <n v="0"/>
    <n v="1"/>
    <x v="2"/>
    <s v="Østdanmark"/>
    <n v="0"/>
    <n v="46862.971099811642"/>
    <n v="0"/>
    <n v="0"/>
    <n v="0"/>
    <n v="0"/>
    <n v="0"/>
    <n v="0"/>
    <n v="-46862.971099811642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Østdanmark"/>
    <n v="168100.3533838705"/>
    <n v="0"/>
    <n v="0"/>
    <n v="0"/>
    <n v="0"/>
    <n v="0"/>
    <n v="0"/>
    <n v="0"/>
    <n v="168100.3533838705"/>
    <n v="168100.3533838705"/>
    <n v="0"/>
    <n v="0.72840068425825089"/>
    <n v="0.72840068425825089"/>
    <n v="0"/>
    <n v="0.72840068425825089"/>
    <n v="70602.148421225604"/>
    <n v="70602.148421225604"/>
    <n v="0"/>
    <n v="70602.148421225604"/>
    <x v="0"/>
  </r>
  <r>
    <x v="20"/>
    <s v=""/>
    <n v="0"/>
    <n v="0"/>
    <x v="2"/>
    <s v="Østdanmark"/>
    <n v="180250.24074269188"/>
    <n v="0"/>
    <n v="0"/>
    <n v="0"/>
    <n v="0"/>
    <n v="0"/>
    <n v="0"/>
    <n v="0"/>
    <n v="180250.24074269188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215.4481017361189"/>
    <n v="0"/>
    <n v="0"/>
    <n v="111975.50765955324"/>
    <n v="0"/>
    <n v="0"/>
    <n v="0"/>
    <n v="0"/>
    <n v="-111760.05955781712"/>
    <n v="0"/>
    <n v="0"/>
    <n v="0"/>
    <n v="0"/>
    <n v="0"/>
    <n v="0"/>
    <n v="0"/>
    <n v="0"/>
    <n v="0"/>
    <n v="0"/>
    <x v="1"/>
  </r>
  <r>
    <x v="22"/>
    <s v="Halm og strå"/>
    <n v="1"/>
    <n v="1"/>
    <x v="2"/>
    <s v="Østdanmark"/>
    <n v="3503.8972601034743"/>
    <n v="57061.536053444106"/>
    <n v="0"/>
    <n v="268249.01834925939"/>
    <n v="0"/>
    <n v="0"/>
    <n v="0"/>
    <n v="0"/>
    <n v="-321806.65714259999"/>
    <n v="0"/>
    <n v="0"/>
    <n v="0"/>
    <n v="0"/>
    <n v="0"/>
    <n v="0"/>
    <n v="0"/>
    <n v="0"/>
    <n v="0"/>
    <n v="0"/>
    <x v="1"/>
  </r>
  <r>
    <x v="23"/>
    <s v=""/>
    <n v="0"/>
    <n v="0"/>
    <x v="2"/>
    <s v="Østdanmark"/>
    <n v="0"/>
    <n v="0"/>
    <n v="0"/>
    <n v="0"/>
    <n v="0"/>
    <n v="973432.69438373833"/>
    <n v="0"/>
    <n v="0"/>
    <n v="-973432.69438373833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Østdanmark"/>
    <n v="55781.658851427252"/>
    <n v="0"/>
    <n v="0"/>
    <n v="0"/>
    <n v="50203.492966284524"/>
    <n v="5578.1658851427237"/>
    <n v="0"/>
    <n v="0"/>
    <n v="0"/>
    <n v="0"/>
    <n v="50203.492966284524"/>
    <n v="0"/>
    <n v="2.5412506104603567E-2"/>
    <n v="2.5412506104603567E-2"/>
    <n v="0"/>
    <n v="0"/>
    <n v="3815.4654654376236"/>
    <n v="3815.4654654376236"/>
    <n v="0"/>
    <x v="0"/>
  </r>
  <r>
    <x v="25"/>
    <s v=""/>
    <n v="0"/>
    <n v="0"/>
    <x v="2"/>
    <s v="Østdanmark"/>
    <n v="7091.4272335775522"/>
    <n v="14710.973488104135"/>
    <n v="0"/>
    <n v="0"/>
    <n v="0"/>
    <n v="0"/>
    <n v="0"/>
    <n v="0"/>
    <n v="-7619.5462545265827"/>
    <n v="0"/>
    <n v="0"/>
    <n v="0"/>
    <n v="0"/>
    <n v="0"/>
    <n v="0"/>
    <n v="0"/>
    <n v="0"/>
    <n v="0"/>
    <n v="0"/>
    <x v="1"/>
  </r>
  <r>
    <x v="26"/>
    <s v="Græs og urter"/>
    <n v="1"/>
    <n v="1"/>
    <x v="2"/>
    <s v="Østdanmark"/>
    <n v="705.63788017957472"/>
    <n v="54905.31771712625"/>
    <n v="0"/>
    <n v="0"/>
    <n v="0"/>
    <n v="0"/>
    <n v="0"/>
    <n v="0"/>
    <n v="-54199.679836946678"/>
    <n v="0"/>
    <n v="0"/>
    <n v="0"/>
    <n v="0"/>
    <n v="0"/>
    <n v="0"/>
    <n v="0"/>
    <n v="0"/>
    <n v="0"/>
    <n v="0"/>
    <x v="1"/>
  </r>
  <r>
    <x v="27"/>
    <s v=""/>
    <n v="0"/>
    <n v="1"/>
    <x v="2"/>
    <s v="Østdanmark"/>
    <n v="13682.774185646154"/>
    <n v="0"/>
    <n v="0"/>
    <n v="428214.02929147833"/>
    <n v="0"/>
    <n v="0"/>
    <n v="0"/>
    <n v="0"/>
    <n v="-414531.25510583218"/>
    <n v="0"/>
    <n v="0"/>
    <n v="0"/>
    <n v="0"/>
    <n v="0"/>
    <n v="0"/>
    <n v="0"/>
    <n v="0"/>
    <n v="0"/>
    <n v="0"/>
    <x v="1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2"/>
    <s v="Østdanmark"/>
    <n v="257.33473418730972"/>
    <n v="0"/>
    <n v="0"/>
    <n v="54412.71372203785"/>
    <n v="0"/>
    <n v="0"/>
    <n v="0"/>
    <n v="0"/>
    <n v="-54155.378987850541"/>
    <n v="0"/>
    <n v="0"/>
    <n v="0"/>
    <n v="0"/>
    <n v="0"/>
    <n v="0"/>
    <n v="0"/>
    <n v="0"/>
    <n v="0"/>
    <n v="0"/>
    <x v="1"/>
  </r>
  <r>
    <x v="30"/>
    <s v=""/>
    <n v="0"/>
    <n v="1"/>
    <x v="2"/>
    <s v="Østdanmark"/>
    <n v="693.49185876962724"/>
    <n v="0"/>
    <n v="0"/>
    <n v="0"/>
    <n v="0"/>
    <n v="0"/>
    <n v="0"/>
    <n v="0"/>
    <n v="693.49185876962724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34028.264724407527"/>
    <n v="0"/>
    <n v="0"/>
    <n v="0"/>
    <n v="0"/>
    <n v="0"/>
    <n v="34028.264724407527"/>
    <n v="0"/>
    <n v="0"/>
    <n v="0"/>
    <n v="34028.264724407527"/>
    <n v="0"/>
    <n v="0.62612007092909838"/>
    <n v="0"/>
    <n v="0.62612007092909838"/>
    <n v="0"/>
    <n v="14121.729860629124"/>
    <n v="0"/>
    <n v="14121.729860629124"/>
    <x v="0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Østdanmark"/>
    <n v="21306.873250485853"/>
    <n v="0"/>
    <n v="0"/>
    <n v="0"/>
    <n v="0"/>
    <n v="0"/>
    <n v="0"/>
    <n v="0"/>
    <n v="21306.873250485853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312210.60748691915"/>
    <n v="0"/>
    <n v="0"/>
    <n v="0"/>
    <n v="0"/>
    <n v="0"/>
    <n v="0"/>
    <n v="312210.60748691915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Østdanmark"/>
    <n v="156105.30374345958"/>
    <n v="2077.9684773385866"/>
    <n v="0"/>
    <n v="0"/>
    <n v="0"/>
    <n v="0"/>
    <n v="0"/>
    <n v="0"/>
    <n v="154027.33526612099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99907.394395814132"/>
    <n v="0"/>
    <n v="0"/>
    <n v="0"/>
    <n v="0"/>
    <n v="0"/>
    <n v="99907.394395814132"/>
    <n v="0"/>
    <n v="0"/>
    <n v="0"/>
    <n v="99907.394395814132"/>
    <n v="0"/>
    <n v="3.4967588038534942"/>
    <n v="0"/>
    <n v="3.4967588038534942"/>
    <n v="0"/>
    <n v="0"/>
    <n v="0"/>
    <n v="0"/>
    <x v="0"/>
  </r>
  <r>
    <x v="38"/>
    <s v="Græs og urter"/>
    <n v="1"/>
    <n v="1"/>
    <x v="2"/>
    <s v="Østdanmark"/>
    <n v="1151.564385499476"/>
    <n v="8164.068620171267"/>
    <n v="0"/>
    <n v="0"/>
    <n v="0"/>
    <n v="0"/>
    <n v="0"/>
    <n v="0"/>
    <n v="-7012.504234671791"/>
    <n v="0"/>
    <n v="0"/>
    <n v="0"/>
    <n v="0"/>
    <n v="0"/>
    <n v="0"/>
    <n v="0"/>
    <n v="0"/>
    <n v="0"/>
    <n v="0"/>
    <x v="1"/>
  </r>
  <r>
    <x v="39"/>
    <s v=""/>
    <n v="0"/>
    <n v="0"/>
    <x v="2"/>
    <s v="Østdanmark"/>
    <n v="588.00501905544718"/>
    <n v="0"/>
    <n v="0"/>
    <n v="0"/>
    <n v="0"/>
    <n v="0"/>
    <n v="0"/>
    <n v="0"/>
    <n v="588.00501905544718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440.79056937463145"/>
    <n v="382.55486612091136"/>
    <n v="0"/>
    <n v="0"/>
    <n v="0"/>
    <n v="0"/>
    <n v="0"/>
    <n v="0"/>
    <n v="58.235703253720089"/>
    <n v="0"/>
    <n v="0"/>
    <n v="0"/>
    <n v="0"/>
    <n v="0"/>
    <n v="0"/>
    <n v="0"/>
    <n v="0"/>
    <n v="0"/>
    <n v="0"/>
    <x v="1"/>
  </r>
  <r>
    <x v="41"/>
    <s v="Bionedbrydeligt affald"/>
    <n v="1"/>
    <n v="0"/>
    <x v="2"/>
    <s v="Østdanmark"/>
    <n v="3492320.8870792342"/>
    <n v="0"/>
    <n v="0"/>
    <n v="0"/>
    <n v="3143088.7983713108"/>
    <n v="0"/>
    <n v="0"/>
    <n v="0"/>
    <n v="349232.08870792342"/>
    <n v="349232.08870792342"/>
    <n v="3143088.7983713108"/>
    <n v="0.1742703045861409"/>
    <n v="1.742703045861409"/>
    <n v="1.5684327412752681"/>
    <n v="0.1742703045861409"/>
    <n v="20953.925322475403"/>
    <n v="209539.25322475404"/>
    <n v="188585.32790227863"/>
    <n v="20953.925322475407"/>
    <x v="0"/>
  </r>
  <r>
    <x v="42"/>
    <s v="Husdyrgødning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3"/>
    <s v=""/>
    <n v="0"/>
    <n v="1"/>
    <x v="2"/>
    <s v="Østdanmark"/>
    <n v="4757.7690216638703"/>
    <n v="0"/>
    <n v="0"/>
    <n v="110474.29755686472"/>
    <n v="0"/>
    <n v="0"/>
    <n v="0"/>
    <n v="0"/>
    <n v="-105716.52853520085"/>
    <n v="0"/>
    <n v="0"/>
    <n v="0"/>
    <n v="0"/>
    <n v="0"/>
    <n v="0"/>
    <n v="0"/>
    <n v="0"/>
    <n v="0"/>
    <n v="0"/>
    <x v="1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  <x v="0"/>
  </r>
  <r>
    <x v="47"/>
    <s v="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Vestdanmark"/>
    <n v="137289.06413917695"/>
    <n v="0"/>
    <n v="0"/>
    <n v="32579.784552999867"/>
    <n v="0"/>
    <n v="0"/>
    <n v="0"/>
    <n v="0"/>
    <n v="104709.27958617709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807391.35086832882"/>
    <n v="43580.743031500795"/>
    <n v="0"/>
    <n v="0"/>
    <n v="0"/>
    <n v="0"/>
    <n v="0"/>
    <n v="0"/>
    <n v="763810.60783682799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n v="0"/>
    <x v="1"/>
    <s v="Vestdanmark"/>
    <n v="360155466.15188104"/>
    <n v="0"/>
    <n v="0"/>
    <n v="0"/>
    <n v="0"/>
    <n v="0"/>
    <n v="360155466.15188104"/>
    <n v="0"/>
    <n v="0"/>
    <n v="0"/>
    <n v="360155466.15188104"/>
    <n v="0"/>
    <n v="0"/>
    <n v="0"/>
    <n v="0"/>
    <n v="0"/>
    <n v="0"/>
    <n v="0"/>
    <n v="0"/>
    <n v="0"/>
    <x v="1"/>
  </r>
  <r>
    <x v="4"/>
    <s v=""/>
    <n v="0"/>
    <n v="0"/>
    <x v="1"/>
    <s v="Vestdanmark"/>
    <n v="14753259.052618254"/>
    <n v="0"/>
    <n v="0"/>
    <n v="0"/>
    <n v="0"/>
    <n v="10112257.042498086"/>
    <n v="0"/>
    <n v="0"/>
    <n v="4641002.0101201683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1"/>
    <s v="Vestdanmark"/>
    <n v="2465403.7833838393"/>
    <n v="0"/>
    <n v="0"/>
    <n v="0"/>
    <n v="1849052.8375378796"/>
    <n v="233332.85807025622"/>
    <n v="0"/>
    <n v="0"/>
    <n v="383018.08777570352"/>
    <n v="383018.08777570352"/>
    <n v="1849052.8375378796"/>
    <n v="0.82502096106886535"/>
    <n v="4.8078807731254578"/>
    <n v="3.9828598120565926"/>
    <n v="0.82502096106886524"/>
    <n v="114905.42633271105"/>
    <n v="669621.27759407496"/>
    <n v="554715.85126136383"/>
    <n v="114905.42633271113"/>
    <n v="0"/>
    <x v="0"/>
  </r>
  <r>
    <x v="7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Vestdanmark"/>
    <n v="8084.5006505504907"/>
    <n v="0"/>
    <n v="0"/>
    <n v="0"/>
    <n v="6063.3754879128683"/>
    <n v="2021.1251626376227"/>
    <n v="0"/>
    <n v="0"/>
    <n v="0"/>
    <n v="0"/>
    <n v="6063.3754879128683"/>
    <n v="0"/>
    <n v="2.8515448582105427E-3"/>
    <n v="2.8515448582105427E-3"/>
    <n v="0"/>
    <n v="0"/>
    <n v="381.99265573851068"/>
    <n v="381.99265573851068"/>
    <n v="0"/>
    <n v="0"/>
    <x v="1"/>
  </r>
  <r>
    <x v="9"/>
    <s v=""/>
    <n v="0"/>
    <n v="1"/>
    <x v="1"/>
    <s v="Vestdanmark"/>
    <n v="98611.398262488423"/>
    <n v="0"/>
    <n v="0"/>
    <n v="35294.766599083188"/>
    <n v="0"/>
    <n v="0"/>
    <n v="0"/>
    <n v="0"/>
    <n v="63316.631663405235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1068143.9155687199"/>
    <n v="0"/>
    <n v="0"/>
    <n v="0"/>
    <n v="0"/>
    <n v="0"/>
    <n v="0"/>
    <n v="0"/>
    <n v="1068143.9155687199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30293.444359786194"/>
    <n v="0"/>
    <n v="0"/>
    <n v="257923.29437791562"/>
    <n v="0"/>
    <n v="0"/>
    <n v="0"/>
    <n v="0"/>
    <n v="-227629.85001812942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1"/>
    <s v="Vestdanmark"/>
    <n v="13177775.793539407"/>
    <n v="8268840.7021296145"/>
    <n v="0"/>
    <n v="0"/>
    <n v="0"/>
    <n v="0"/>
    <n v="0"/>
    <n v="0"/>
    <n v="4908935.0914097922"/>
    <n v="4908935.0914097922"/>
    <n v="0"/>
    <n v="9.0318269513075915"/>
    <n v="9.0318269513075915"/>
    <n v="0"/>
    <n v="9.0318269513075915"/>
    <n v="1374501.8255947419"/>
    <n v="1374501.8255947419"/>
    <n v="0"/>
    <n v="1374501.8255947419"/>
    <n v="0"/>
    <x v="0"/>
  </r>
  <r>
    <x v="14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Vestdanmark"/>
    <n v="1183876.8673845837"/>
    <n v="0"/>
    <n v="0"/>
    <n v="270140.71358529059"/>
    <n v="0"/>
    <n v="0"/>
    <n v="0"/>
    <n v="0"/>
    <n v="913736.1537992931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2495959.9516581628"/>
    <n v="522363.62828034989"/>
    <n v="471959.19081652729"/>
    <n v="0"/>
    <n v="0"/>
    <n v="0"/>
    <n v="1501637.1325612864"/>
    <n v="0"/>
    <n v="0"/>
    <n v="0"/>
    <n v="1501637.1325612864"/>
    <n v="0"/>
    <n v="15.520630593806496"/>
    <n v="0"/>
    <n v="15.520630593806496"/>
    <n v="0"/>
    <n v="1276391.5626770935"/>
    <n v="0"/>
    <n v="1276391.5626770935"/>
    <n v="0"/>
    <x v="1"/>
  </r>
  <r>
    <x v="17"/>
    <s v="Bionedbrydeligt affald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n v="0"/>
    <x v="1"/>
  </r>
  <r>
    <x v="18"/>
    <s v=""/>
    <n v="0"/>
    <n v="1"/>
    <x v="1"/>
    <s v="Vestdanmark"/>
    <n v="0"/>
    <n v="3262502.8463859628"/>
    <n v="0"/>
    <n v="0"/>
    <n v="0"/>
    <n v="0"/>
    <n v="0"/>
    <n v="0"/>
    <n v="-3262502.846385962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Vestdanmark"/>
    <n v="402383.95965350419"/>
    <n v="0"/>
    <n v="0"/>
    <n v="0"/>
    <n v="0"/>
    <n v="0"/>
    <n v="0"/>
    <n v="0"/>
    <n v="402383.95965350419"/>
    <n v="402383.95965350419"/>
    <n v="0"/>
    <n v="1.7435820070933887"/>
    <n v="1.7435820070933887"/>
    <n v="0"/>
    <n v="1.7435820070933887"/>
    <n v="169001.26305447175"/>
    <n v="169001.26305447175"/>
    <n v="0"/>
    <n v="169001.26305447175"/>
    <n v="0"/>
    <x v="0"/>
  </r>
  <r>
    <x v="20"/>
    <s v=""/>
    <n v="0"/>
    <n v="0"/>
    <x v="1"/>
    <s v="Vestdanmark"/>
    <n v="675080.94417097606"/>
    <n v="0"/>
    <n v="0"/>
    <n v="0"/>
    <n v="0"/>
    <n v="0"/>
    <n v="0"/>
    <n v="0"/>
    <n v="675080.94417097606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689696.9927296774"/>
    <n v="0"/>
    <n v="0"/>
    <n v="123531.68309679118"/>
    <n v="0"/>
    <n v="0"/>
    <n v="0"/>
    <n v="0"/>
    <n v="1566165.30963288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5182167.6605635537"/>
    <n v="3972505.784940829"/>
    <n v="0"/>
    <n v="295933.04302308214"/>
    <n v="0"/>
    <n v="0"/>
    <n v="0"/>
    <n v="0"/>
    <n v="913728.83259964269"/>
    <n v="913728.83259964269"/>
    <n v="0"/>
    <n v="3.1293933296172129"/>
    <n v="3.1293933296172129"/>
    <n v="0"/>
    <n v="3.1293933296172129"/>
    <n v="283255.93810588925"/>
    <n v="283255.93810588925"/>
    <n v="0"/>
    <n v="283255.93810588925"/>
    <n v="0"/>
    <x v="0"/>
  </r>
  <r>
    <x v="23"/>
    <s v=""/>
    <n v="0"/>
    <n v="0"/>
    <x v="1"/>
    <s v="Vestdanmark"/>
    <n v="0"/>
    <n v="0"/>
    <n v="0"/>
    <n v="0"/>
    <n v="0"/>
    <n v="1499151.6936668851"/>
    <n v="0"/>
    <n v="0"/>
    <n v="-1499151.6936668851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Vestdanmark"/>
    <n v="7655848.0766037833"/>
    <n v="0"/>
    <n v="0"/>
    <n v="0"/>
    <n v="5741886.057452837"/>
    <n v="1913962.0191509458"/>
    <n v="0"/>
    <n v="0"/>
    <n v="0"/>
    <n v="0"/>
    <n v="5741886.057452837"/>
    <n v="0"/>
    <n v="2.9064853034220519"/>
    <n v="2.9064853034220519"/>
    <n v="0"/>
    <n v="0"/>
    <n v="436383.34036641562"/>
    <n v="436383.34036641562"/>
    <n v="0"/>
    <n v="0"/>
    <x v="1"/>
  </r>
  <r>
    <x v="25"/>
    <s v=""/>
    <n v="0"/>
    <n v="0"/>
    <x v="1"/>
    <s v="Vestdanmark"/>
    <n v="959947.99719994201"/>
    <n v="1024147.4612402687"/>
    <n v="0"/>
    <n v="0"/>
    <n v="0"/>
    <n v="0"/>
    <n v="0"/>
    <n v="0"/>
    <n v="-64199.464040326653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1"/>
    <s v="Vestdanmark"/>
    <n v="4675837.2738896068"/>
    <n v="3822394.3367212149"/>
    <n v="0"/>
    <n v="0"/>
    <n v="0"/>
    <n v="0"/>
    <n v="0"/>
    <n v="0"/>
    <n v="853442.93716839189"/>
    <n v="853442.93716839189"/>
    <n v="0"/>
    <n v="3.063860144434527"/>
    <n v="3.063860144434527"/>
    <n v="0"/>
    <n v="3.063860144434527"/>
    <n v="256032.88115051755"/>
    <n v="256032.88115051755"/>
    <n v="0"/>
    <n v="256032.88115051755"/>
    <n v="0"/>
    <x v="0"/>
  </r>
  <r>
    <x v="27"/>
    <s v=""/>
    <n v="0"/>
    <n v="1"/>
    <x v="1"/>
    <s v="Vestdanmark"/>
    <n v="1852201.4318158275"/>
    <n v="0"/>
    <n v="0"/>
    <n v="472406.87601849809"/>
    <n v="0"/>
    <n v="0"/>
    <n v="0"/>
    <n v="0"/>
    <n v="1379794.5557973294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1"/>
    <s v="Vestdanmark"/>
    <n v="56168.51594495419"/>
    <n v="0"/>
    <n v="0"/>
    <n v="60028.253038902265"/>
    <n v="0"/>
    <n v="0"/>
    <n v="0"/>
    <n v="0"/>
    <n v="-3859.7370939480752"/>
    <n v="0"/>
    <n v="0"/>
    <n v="0"/>
    <n v="0"/>
    <n v="0"/>
    <n v="0"/>
    <n v="0"/>
    <n v="0"/>
    <n v="0"/>
    <n v="0"/>
    <n v="1"/>
    <x v="1"/>
  </r>
  <r>
    <x v="30"/>
    <s v=""/>
    <n v="0"/>
    <n v="1"/>
    <x v="1"/>
    <s v="Vestdanmark"/>
    <n v="1479891.647259762"/>
    <n v="0"/>
    <n v="0"/>
    <n v="0"/>
    <n v="0"/>
    <n v="0"/>
    <n v="0"/>
    <n v="0"/>
    <n v="1479891.647259762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51285.23145276494"/>
    <n v="0"/>
    <n v="0"/>
    <n v="0"/>
    <n v="0"/>
    <n v="0"/>
    <n v="151285.23145276494"/>
    <n v="0"/>
    <n v="0"/>
    <n v="0"/>
    <n v="151285.23145276494"/>
    <n v="0"/>
    <n v="2.7836482587308744"/>
    <n v="0"/>
    <n v="2.7836482587308744"/>
    <n v="0"/>
    <n v="62783.371052897455"/>
    <n v="0"/>
    <n v="62783.371052897455"/>
    <n v="0"/>
    <x v="1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Vestdanmark"/>
    <n v="2884255.8246315583"/>
    <n v="0"/>
    <n v="0"/>
    <n v="0"/>
    <n v="0"/>
    <n v="0"/>
    <n v="0"/>
    <n v="0"/>
    <n v="2884255.8246315583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98270.5858787492"/>
    <n v="0"/>
    <n v="0"/>
    <n v="0"/>
    <n v="0"/>
    <n v="0"/>
    <n v="0"/>
    <n v="498270.5858787492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Vestdanmark"/>
    <n v="249135.2929393746"/>
    <n v="144663.85534067627"/>
    <n v="0"/>
    <n v="0"/>
    <n v="0"/>
    <n v="0"/>
    <n v="0"/>
    <n v="0"/>
    <n v="104471.43759869834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59446.58748119973"/>
    <n v="0"/>
    <n v="0"/>
    <n v="0"/>
    <n v="0"/>
    <n v="0"/>
    <n v="159446.58748119973"/>
    <n v="0"/>
    <n v="0"/>
    <n v="0"/>
    <n v="159446.58748119973"/>
    <n v="0"/>
    <n v="5.58063056184199"/>
    <n v="0"/>
    <n v="5.58063056184199"/>
    <n v="0"/>
    <n v="0"/>
    <n v="0"/>
    <n v="0"/>
    <n v="0"/>
    <x v="1"/>
  </r>
  <r>
    <x v="38"/>
    <s v="Græs og urter"/>
    <n v="1"/>
    <n v="1"/>
    <x v="1"/>
    <s v="Vestdanmark"/>
    <n v="1856731.7758593475"/>
    <n v="568365.52370248956"/>
    <n v="0"/>
    <n v="0"/>
    <n v="0"/>
    <n v="0"/>
    <n v="0"/>
    <n v="0"/>
    <n v="1288366.2521568579"/>
    <n v="1288366.2521568579"/>
    <n v="0"/>
    <n v="3.4966775430037984"/>
    <n v="3.4966775430037984"/>
    <n v="0"/>
    <n v="3.4966775430037984"/>
    <n v="257673.25043137159"/>
    <n v="257673.25043137159"/>
    <n v="0"/>
    <n v="257673.25043137159"/>
    <n v="0"/>
    <x v="0"/>
  </r>
  <r>
    <x v="39"/>
    <s v=""/>
    <n v="0"/>
    <n v="0"/>
    <x v="1"/>
    <s v="Vestdanmark"/>
    <n v="100301.72992417146"/>
    <n v="0"/>
    <n v="0"/>
    <n v="0"/>
    <n v="0"/>
    <n v="0"/>
    <n v="0"/>
    <n v="0"/>
    <n v="100301.72992417146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67791.218966454777"/>
    <n v="26632.676297028265"/>
    <n v="0"/>
    <n v="0"/>
    <n v="0"/>
    <n v="0"/>
    <n v="0"/>
    <n v="0"/>
    <n v="41158.54266942651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24256.6047362923"/>
    <n v="0"/>
    <n v="0"/>
    <n v="0"/>
    <n v="2943192.4535522191"/>
    <n v="0"/>
    <n v="0"/>
    <n v="0"/>
    <n v="981064.15118407318"/>
    <n v="981064.15118407318"/>
    <n v="2943192.4535522191"/>
    <n v="0.48956082208236446"/>
    <n v="1.9582432883294574"/>
    <n v="1.468682466247093"/>
    <n v="0.4895608220823644"/>
    <n v="58863.849071044388"/>
    <n v="235455.39628417752"/>
    <n v="176591.54721313313"/>
    <n v="58863.849071044388"/>
    <n v="0"/>
    <x v="0"/>
  </r>
  <r>
    <x v="42"/>
    <s v="Husdyrgødning"/>
    <n v="1"/>
    <n v="0"/>
    <x v="1"/>
    <s v="Vestdanmark"/>
    <n v="6656017.1221692413"/>
    <n v="0"/>
    <n v="0"/>
    <n v="0"/>
    <n v="4992012.841626931"/>
    <n v="1664004.2805423103"/>
    <n v="0"/>
    <n v="0"/>
    <n v="0"/>
    <n v="0"/>
    <n v="4992012.841626931"/>
    <n v="0"/>
    <n v="2.1505591321728823"/>
    <n v="2.1505591321728823"/>
    <n v="0"/>
    <n v="0"/>
    <n v="249600.64208134657"/>
    <n v="249600.64208134657"/>
    <n v="0"/>
    <n v="0"/>
    <x v="1"/>
  </r>
  <r>
    <x v="43"/>
    <s v=""/>
    <n v="0"/>
    <n v="1"/>
    <x v="1"/>
    <s v="Vestdanmark"/>
    <n v="719809.07013594534"/>
    <n v="0"/>
    <n v="0"/>
    <n v="121875.54404868034"/>
    <n v="0"/>
    <n v="0"/>
    <n v="0"/>
    <n v="0"/>
    <n v="597933.526087265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  <n v="0"/>
    <x v="1"/>
  </r>
  <r>
    <x v="47"/>
    <s v="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  <n v="1"/>
    <x v="1"/>
  </r>
  <r>
    <x v="1"/>
    <s v=""/>
    <n v="0"/>
    <n v="1"/>
    <x v="2"/>
    <s v="Vestdanmark"/>
    <n v="1461503.2991938624"/>
    <n v="5548.5022247895331"/>
    <n v="0"/>
    <n v="0"/>
    <n v="0"/>
    <n v="0"/>
    <n v="0"/>
    <n v="0"/>
    <n v="1455954.7969690729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n v="0"/>
    <x v="2"/>
    <s v="Vestdanmark"/>
    <n v="154707932.21283442"/>
    <n v="0"/>
    <n v="0"/>
    <n v="0"/>
    <n v="0"/>
    <n v="0"/>
    <n v="154707932.21283442"/>
    <n v="0"/>
    <n v="0"/>
    <n v="0"/>
    <n v="154707932.21283442"/>
    <n v="0"/>
    <n v="0"/>
    <n v="0"/>
    <n v="0"/>
    <n v="0"/>
    <n v="0"/>
    <n v="0"/>
    <n v="0"/>
    <n v="0"/>
    <x v="1"/>
  </r>
  <r>
    <x v="4"/>
    <s v=""/>
    <n v="0"/>
    <n v="0"/>
    <x v="2"/>
    <s v="Vestdanmark"/>
    <n v="4885897.4700810183"/>
    <n v="0"/>
    <n v="0"/>
    <n v="0"/>
    <n v="0"/>
    <n v="495509.77237359248"/>
    <n v="0"/>
    <n v="0"/>
    <n v="4390387.6977074258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2"/>
    <s v="Vestdanmark"/>
    <n v="396632.81426913757"/>
    <n v="0"/>
    <n v="0"/>
    <n v="0"/>
    <n v="356969.53284222382"/>
    <n v="15015.385111617346"/>
    <n v="0"/>
    <n v="0"/>
    <n v="24647.896315296413"/>
    <n v="24647.896315296413"/>
    <n v="356969.53284222382"/>
    <n v="5.3091568663148472E-2"/>
    <n v="0.82200394240529862"/>
    <n v="0.76891237374215016"/>
    <n v="5.3091568663148458E-2"/>
    <n v="7394.3688945889235"/>
    <n v="114485.22874725607"/>
    <n v="107090.85985266714"/>
    <n v="7394.3688945889298"/>
    <n v="0"/>
    <x v="0"/>
  </r>
  <r>
    <x v="7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Vestdanmark"/>
    <n v="5618.4151705662098"/>
    <n v="0"/>
    <n v="0"/>
    <n v="0"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  <n v="0"/>
    <x v="1"/>
  </r>
  <r>
    <x v="9"/>
    <s v=""/>
    <n v="0"/>
    <n v="1"/>
    <x v="2"/>
    <s v="Vestdanmark"/>
    <n v="6001.6248923716248"/>
    <n v="0"/>
    <n v="0"/>
    <n v="36670.799626981883"/>
    <n v="0"/>
    <n v="0"/>
    <n v="0"/>
    <n v="0"/>
    <n v="-30669.174734610257"/>
    <n v="0"/>
    <n v="0"/>
    <n v="0"/>
    <n v="0"/>
    <n v="0"/>
    <n v="0"/>
    <n v="0"/>
    <n v="0"/>
    <n v="0"/>
    <n v="0"/>
    <n v="1"/>
    <x v="1"/>
  </r>
  <r>
    <x v="10"/>
    <s v=""/>
    <n v="0"/>
    <n v="0"/>
    <x v="2"/>
    <s v="Vestdanmark"/>
    <n v="5541.8750535368863"/>
    <n v="0"/>
    <n v="0"/>
    <n v="0"/>
    <n v="0"/>
    <n v="0"/>
    <n v="0"/>
    <n v="0"/>
    <n v="5541.8750535368863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1792737.3458964743"/>
    <n v="0"/>
    <n v="0"/>
    <n v="267978.92035102146"/>
    <n v="0"/>
    <n v="0"/>
    <n v="0"/>
    <n v="0"/>
    <n v="1524758.4255454529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2"/>
    <s v="Vestdanmark"/>
    <n v="27470991.955365088"/>
    <n v="1052751.2346229136"/>
    <n v="0"/>
    <n v="0"/>
    <n v="0"/>
    <n v="0"/>
    <n v="0"/>
    <n v="0"/>
    <n v="26418240.720742173"/>
    <n v="26418240.720742173"/>
    <n v="0"/>
    <n v="48.606260646075512"/>
    <n v="48.606260646075512"/>
    <n v="0"/>
    <n v="48.606260646075512"/>
    <n v="7397107.4018078092"/>
    <n v="7397107.4018078092"/>
    <n v="0"/>
    <n v="7397107.4018078092"/>
    <n v="0"/>
    <x v="0"/>
  </r>
  <r>
    <x v="14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Vestdanmark"/>
    <n v="3574924.4318902972"/>
    <n v="0"/>
    <n v="0"/>
    <n v="280672.65868343826"/>
    <n v="0"/>
    <n v="0"/>
    <n v="0"/>
    <n v="0"/>
    <n v="3294251.7732068589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1112034.6998953791"/>
    <n v="66504.964166574544"/>
    <n v="50454.584612926636"/>
    <n v="0"/>
    <n v="0"/>
    <n v="0"/>
    <n v="995075.1511158779"/>
    <n v="0"/>
    <n v="0"/>
    <n v="0"/>
    <n v="995075.1511158779"/>
    <n v="0"/>
    <n v="10.284904054818577"/>
    <n v="0"/>
    <n v="10.284904054818577"/>
    <n v="0"/>
    <n v="845813.87844849622"/>
    <n v="0"/>
    <n v="845813.87844849622"/>
    <n v="0"/>
    <x v="1"/>
  </r>
  <r>
    <x v="17"/>
    <s v="Bionedbrydeligt affald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n v="0"/>
    <x v="1"/>
  </r>
  <r>
    <x v="18"/>
    <s v=""/>
    <n v="0"/>
    <n v="1"/>
    <x v="2"/>
    <s v="Vestdanmark"/>
    <n v="0"/>
    <n v="415367.04155021644"/>
    <n v="0"/>
    <n v="0"/>
    <n v="0"/>
    <n v="0"/>
    <n v="0"/>
    <n v="0"/>
    <n v="-415367.04155021644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Vestdanmark"/>
    <n v="214268.06810170741"/>
    <n v="0"/>
    <n v="0"/>
    <n v="0"/>
    <n v="0"/>
    <n v="0"/>
    <n v="0"/>
    <n v="0"/>
    <n v="214268.06810170741"/>
    <n v="214268.06810170741"/>
    <n v="0"/>
    <n v="0.92845139393355158"/>
    <n v="0.92845139393355158"/>
    <n v="0"/>
    <n v="0.92845139393355158"/>
    <n v="89992.588602717107"/>
    <n v="89992.588602717107"/>
    <n v="0"/>
    <n v="89992.588602717107"/>
    <n v="0"/>
    <x v="0"/>
  </r>
  <r>
    <x v="20"/>
    <s v=""/>
    <n v="0"/>
    <n v="0"/>
    <x v="2"/>
    <s v="Vestdanmark"/>
    <n v="576432.67952835571"/>
    <n v="0"/>
    <n v="0"/>
    <n v="0"/>
    <n v="0"/>
    <n v="0"/>
    <n v="0"/>
    <n v="0"/>
    <n v="576432.67952835571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6540.3387577996864"/>
    <n v="0"/>
    <n v="0"/>
    <n v="128347.79869443661"/>
    <n v="0"/>
    <n v="0"/>
    <n v="0"/>
    <n v="0"/>
    <n v="-121807.45993663692"/>
    <n v="0"/>
    <n v="0"/>
    <n v="0"/>
    <n v="0"/>
    <n v="0"/>
    <n v="0"/>
    <n v="0"/>
    <n v="0"/>
    <n v="0"/>
    <n v="0"/>
    <n v="1"/>
    <x v="1"/>
  </r>
  <r>
    <x v="22"/>
    <s v="Halm og strå"/>
    <n v="1"/>
    <n v="1"/>
    <x v="2"/>
    <s v="Vestdanmark"/>
    <n v="17585.624267945121"/>
    <n v="505761.3902957458"/>
    <n v="0"/>
    <n v="307470.55071854044"/>
    <n v="0"/>
    <n v="0"/>
    <n v="0"/>
    <n v="0"/>
    <n v="-795646.31674634118"/>
    <n v="0"/>
    <n v="0"/>
    <n v="0"/>
    <n v="0"/>
    <n v="0"/>
    <n v="0"/>
    <n v="0"/>
    <n v="0"/>
    <n v="0"/>
    <n v="0"/>
    <n v="1"/>
    <x v="1"/>
  </r>
  <r>
    <x v="23"/>
    <s v=""/>
    <n v="0"/>
    <n v="0"/>
    <x v="2"/>
    <s v="Vestdanmark"/>
    <n v="0"/>
    <n v="0"/>
    <n v="0"/>
    <n v="0"/>
    <n v="0"/>
    <n v="3130893.6010473287"/>
    <n v="0"/>
    <n v="0"/>
    <n v="-3130893.6010473287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Vestdanmark"/>
    <n v="784839.05717902537"/>
    <n v="0"/>
    <n v="0"/>
    <n v="0"/>
    <n v="706355.15146112291"/>
    <n v="78483.905717902526"/>
    <n v="0"/>
    <n v="0"/>
    <n v="0"/>
    <n v="0"/>
    <n v="706355.15146112291"/>
    <n v="0"/>
    <n v="0.35754991411810583"/>
    <n v="0.35754991411810583"/>
    <n v="0"/>
    <n v="0"/>
    <n v="53682.991511045337"/>
    <n v="53682.991511045337"/>
    <n v="0"/>
    <n v="0"/>
    <x v="1"/>
  </r>
  <r>
    <x v="25"/>
    <s v=""/>
    <n v="0"/>
    <n v="0"/>
    <x v="2"/>
    <s v="Vestdanmark"/>
    <n v="99775.251913510743"/>
    <n v="130389.80228255401"/>
    <n v="0"/>
    <n v="0"/>
    <n v="0"/>
    <n v="0"/>
    <n v="0"/>
    <n v="0"/>
    <n v="-30614.550369043267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2"/>
    <s v="Vestdanmark"/>
    <n v="24354.977510479563"/>
    <n v="486649.88263258187"/>
    <n v="0"/>
    <n v="0"/>
    <n v="0"/>
    <n v="0"/>
    <n v="0"/>
    <n v="0"/>
    <n v="-462294.9051221023"/>
    <n v="0"/>
    <n v="0"/>
    <n v="0"/>
    <n v="0"/>
    <n v="0"/>
    <n v="0"/>
    <n v="0"/>
    <n v="0"/>
    <n v="0"/>
    <n v="0"/>
    <n v="1"/>
    <x v="1"/>
  </r>
  <r>
    <x v="27"/>
    <s v=""/>
    <n v="0"/>
    <n v="1"/>
    <x v="2"/>
    <s v="Vestdanmark"/>
    <n v="192514.45390067078"/>
    <n v="0"/>
    <n v="0"/>
    <n v="490824.54885344987"/>
    <n v="0"/>
    <n v="0"/>
    <n v="0"/>
    <n v="0"/>
    <n v="-298310.09495277912"/>
    <n v="0"/>
    <n v="0"/>
    <n v="0"/>
    <n v="0"/>
    <n v="0"/>
    <n v="0"/>
    <n v="0"/>
    <n v="0"/>
    <n v="0"/>
    <n v="0"/>
    <n v="1"/>
    <x v="1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2"/>
    <s v="Vestdanmark"/>
    <n v="3620.6587311595463"/>
    <n v="0"/>
    <n v="0"/>
    <n v="62368.567673274578"/>
    <n v="0"/>
    <n v="0"/>
    <n v="0"/>
    <n v="0"/>
    <n v="-58747.908942115035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Vestdanmark"/>
    <n v="4681.8686166152675"/>
    <n v="0"/>
    <n v="0"/>
    <n v="0"/>
    <n v="0"/>
    <n v="0"/>
    <n v="0"/>
    <n v="0"/>
    <n v="4681.8686166152675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09495.6819733945"/>
    <n v="0"/>
    <n v="0"/>
    <n v="0"/>
    <n v="0"/>
    <n v="0"/>
    <n v="109495.6819733945"/>
    <n v="0"/>
    <n v="0"/>
    <n v="0"/>
    <n v="109495.6819733945"/>
    <n v="0"/>
    <n v="2.0147205483104584"/>
    <n v="0"/>
    <n v="2.0147205483104584"/>
    <n v="0"/>
    <n v="45440.708018958721"/>
    <n v="0"/>
    <n v="45440.708018958721"/>
    <n v="0"/>
    <x v="1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Vestdanmark"/>
    <n v="299784.31365557079"/>
    <n v="0"/>
    <n v="0"/>
    <n v="0"/>
    <n v="0"/>
    <n v="0"/>
    <n v="0"/>
    <n v="0"/>
    <n v="299784.31365557079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996229.71876806754"/>
    <n v="0"/>
    <n v="0"/>
    <n v="0"/>
    <n v="0"/>
    <n v="0"/>
    <n v="0"/>
    <n v="996229.71876806754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Vestdanmark"/>
    <n v="498114.85938403377"/>
    <n v="18417.944885065255"/>
    <n v="0"/>
    <n v="0"/>
    <n v="0"/>
    <n v="0"/>
    <n v="0"/>
    <n v="0"/>
    <n v="479696.91449896852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318793.5100057816"/>
    <n v="0"/>
    <n v="0"/>
    <n v="0"/>
    <n v="0"/>
    <n v="0"/>
    <n v="318793.5100057816"/>
    <n v="0"/>
    <n v="0"/>
    <n v="0"/>
    <n v="318793.5100057816"/>
    <n v="0"/>
    <n v="11.157772850202354"/>
    <n v="0"/>
    <n v="11.157772850202354"/>
    <n v="0"/>
    <n v="0"/>
    <n v="0"/>
    <n v="0"/>
    <n v="0"/>
    <x v="1"/>
  </r>
  <r>
    <x v="38"/>
    <s v="Græs og urter"/>
    <n v="1"/>
    <n v="1"/>
    <x v="2"/>
    <s v="Vestdanmark"/>
    <n v="328.27548713856038"/>
    <n v="72361.716514963497"/>
    <n v="0"/>
    <n v="0"/>
    <n v="0"/>
    <n v="0"/>
    <n v="0"/>
    <n v="0"/>
    <n v="-72033.441027824942"/>
    <n v="0"/>
    <n v="0"/>
    <n v="0"/>
    <n v="0"/>
    <n v="0"/>
    <n v="0"/>
    <n v="0"/>
    <n v="0"/>
    <n v="0"/>
    <n v="0"/>
    <n v="1"/>
    <x v="1"/>
  </r>
  <r>
    <x v="39"/>
    <s v=""/>
    <n v="0"/>
    <n v="0"/>
    <x v="2"/>
    <s v="Vestdanmark"/>
    <n v="5271.9252933549069"/>
    <n v="0"/>
    <n v="0"/>
    <n v="0"/>
    <n v="0"/>
    <n v="0"/>
    <n v="0"/>
    <n v="0"/>
    <n v="5271.9252933549069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3160.1886401433912"/>
    <n v="3390.7513595936034"/>
    <n v="0"/>
    <n v="0"/>
    <n v="0"/>
    <n v="0"/>
    <n v="0"/>
    <n v="0"/>
    <n v="-230.56271945021217"/>
    <n v="0"/>
    <n v="0"/>
    <n v="0"/>
    <n v="0"/>
    <n v="0"/>
    <n v="0"/>
    <n v="0"/>
    <n v="0"/>
    <n v="0"/>
    <n v="0"/>
    <n v="1"/>
    <x v="1"/>
  </r>
  <r>
    <x v="41"/>
    <s v="Bionedbrydeligt affald"/>
    <n v="1"/>
    <n v="0"/>
    <x v="2"/>
    <s v="Vestdanmark"/>
    <n v="4009828.1565030687"/>
    <n v="0"/>
    <n v="0"/>
    <n v="0"/>
    <n v="3608845.3408527621"/>
    <n v="0"/>
    <n v="0"/>
    <n v="0"/>
    <n v="400982.81565030664"/>
    <n v="400982.81565030664"/>
    <n v="3608845.3408527621"/>
    <n v="0.20009443483765954"/>
    <n v="2.0009443483765965"/>
    <n v="1.8008499135389371"/>
    <n v="0.20009443483765943"/>
    <n v="24058.968939018399"/>
    <n v="240589.68939018412"/>
    <n v="216530.72045116572"/>
    <n v="24058.968939018407"/>
    <n v="0"/>
    <x v="0"/>
  </r>
  <r>
    <x v="42"/>
    <s v="Husdyrgødning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3"/>
    <s v=""/>
    <n v="0"/>
    <n v="1"/>
    <x v="2"/>
    <s v="Vestdanmark"/>
    <n v="32835.498607746944"/>
    <n v="0"/>
    <n v="0"/>
    <n v="126627.09194270898"/>
    <n v="0"/>
    <n v="0"/>
    <n v="0"/>
    <n v="0"/>
    <n v="-93791.593334962032"/>
    <n v="0"/>
    <n v="0"/>
    <n v="0"/>
    <n v="0"/>
    <n v="0"/>
    <n v="0"/>
    <n v="0"/>
    <n v="0"/>
    <n v="0"/>
    <n v="0"/>
    <n v="1"/>
    <x v="1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  <n v="0"/>
    <x v="1"/>
  </r>
  <r>
    <x v="47"/>
    <s v="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  <n v="0"/>
    <x v="1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Østdanmark"/>
    <n v="11522.620478108267"/>
    <n v="0"/>
    <n v="0"/>
    <n v="28209.340124628539"/>
    <n v="0"/>
    <n v="0"/>
    <n v="0"/>
    <n v="0"/>
    <n v="-16686.719646520272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239056.41929509072"/>
    <n v="5329.6233117734955"/>
    <n v="0"/>
    <n v="0"/>
    <n v="0"/>
    <n v="0"/>
    <n v="0"/>
    <n v="0"/>
    <n v="233726.79598331722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n v="0"/>
    <x v="1"/>
    <s v="Østdanmark"/>
    <n v="93239749.064297408"/>
    <n v="0"/>
    <n v="0"/>
    <n v="0"/>
    <n v="0"/>
    <n v="0"/>
    <n v="93239749.064297408"/>
    <n v="0"/>
    <n v="0"/>
    <n v="0"/>
    <n v="93239749.064297408"/>
    <n v="0"/>
    <n v="0"/>
    <n v="0"/>
    <n v="0"/>
    <n v="0"/>
    <n v="0"/>
    <n v="0"/>
    <n v="0"/>
    <n v="0"/>
    <x v="1"/>
  </r>
  <r>
    <x v="4"/>
    <s v=""/>
    <n v="0"/>
    <n v="0"/>
    <x v="1"/>
    <s v="Østdanmark"/>
    <n v="3926338.169828245"/>
    <n v="0"/>
    <n v="0"/>
    <n v="0"/>
    <n v="0"/>
    <n v="2691211.5260409825"/>
    <n v="0"/>
    <n v="0"/>
    <n v="1235126.6437872625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1"/>
    <s v="Østdanmark"/>
    <n v="342788.14875582355"/>
    <n v="0"/>
    <n v="0"/>
    <n v="0"/>
    <n v="257091.11156686768"/>
    <n v="32442.449792961874"/>
    <n v="0"/>
    <n v="0"/>
    <n v="53254.587395993993"/>
    <n v="53254.587395993993"/>
    <n v="257091.11156686768"/>
    <n v="0.11471038125097106"/>
    <n v="0.66848463556600413"/>
    <n v="0.55377425431503302"/>
    <n v="0.11471038125097111"/>
    <n v="15976.376218798197"/>
    <n v="93103.709688858493"/>
    <n v="77127.333470060301"/>
    <n v="15976.376218798192"/>
    <n v="0"/>
    <x v="0"/>
  </r>
  <r>
    <x v="7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Østdanmark"/>
    <n v="678.5291555114477"/>
    <n v="0"/>
    <n v="0"/>
    <n v="0"/>
    <n v="508.89686663358577"/>
    <n v="169.63228887786195"/>
    <n v="0"/>
    <n v="0"/>
    <n v="0"/>
    <n v="0"/>
    <n v="508.89686663358577"/>
    <n v="0"/>
    <n v="2.3932910740910907E-4"/>
    <n v="2.3932910740910907E-4"/>
    <n v="0"/>
    <n v="0"/>
    <n v="32.060502597915907"/>
    <n v="32.060502597915907"/>
    <n v="0"/>
    <n v="0"/>
    <x v="1"/>
  </r>
  <r>
    <x v="9"/>
    <s v=""/>
    <n v="0"/>
    <n v="1"/>
    <x v="1"/>
    <s v="Østdanmark"/>
    <n v="8276.4182574830029"/>
    <n v="0"/>
    <n v="0"/>
    <n v="30560.118468347584"/>
    <n v="0"/>
    <n v="0"/>
    <n v="0"/>
    <n v="0"/>
    <n v="-22283.700210864583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333442.78659773892"/>
    <n v="0"/>
    <n v="0"/>
    <n v="0"/>
    <n v="0"/>
    <n v="0"/>
    <n v="0"/>
    <n v="0"/>
    <n v="333442.78659773892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9148.1169872791615"/>
    <n v="0"/>
    <n v="0"/>
    <n v="223323.94265330929"/>
    <n v="0"/>
    <n v="0"/>
    <n v="0"/>
    <n v="0"/>
    <n v="-214175.82566603014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1"/>
    <s v="Østdanmark"/>
    <n v="3398874.4701964208"/>
    <n v="1011222.0008630237"/>
    <n v="0"/>
    <n v="0"/>
    <n v="0"/>
    <n v="0"/>
    <n v="0"/>
    <n v="0"/>
    <n v="2387652.4693333972"/>
    <n v="2387652.4693333972"/>
    <n v="0"/>
    <n v="4.3929820870147847"/>
    <n v="4.3929820870147847"/>
    <n v="0"/>
    <n v="4.3929820870147847"/>
    <n v="668542.69141335133"/>
    <n v="668542.69141335133"/>
    <n v="0"/>
    <n v="668542.69141335133"/>
    <n v="0"/>
    <x v="0"/>
  </r>
  <r>
    <x v="14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Østdanmark"/>
    <n v="354031.79838602385"/>
    <n v="0"/>
    <n v="0"/>
    <n v="233902.44520004498"/>
    <n v="0"/>
    <n v="0"/>
    <n v="0"/>
    <n v="0"/>
    <n v="120129.35318597886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739772.0117577652"/>
    <n v="63881.457195285089"/>
    <n v="66924.669018519271"/>
    <n v="0"/>
    <n v="0"/>
    <n v="0"/>
    <n v="608965.88554396096"/>
    <n v="0"/>
    <n v="0"/>
    <n v="0"/>
    <n v="608965.88554396096"/>
    <n v="0"/>
    <n v="6.2941534601218443"/>
    <n v="0"/>
    <n v="6.2941534601218443"/>
    <n v="0"/>
    <n v="517621.00271236681"/>
    <n v="0"/>
    <n v="517621.00271236681"/>
    <n v="0"/>
    <x v="1"/>
  </r>
  <r>
    <x v="17"/>
    <s v="Bionedbrydeligt affald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n v="0"/>
    <x v="1"/>
  </r>
  <r>
    <x v="18"/>
    <s v=""/>
    <n v="0"/>
    <n v="1"/>
    <x v="1"/>
    <s v="Østdanmark"/>
    <n v="0"/>
    <n v="398981.52292304358"/>
    <n v="0"/>
    <n v="0"/>
    <n v="0"/>
    <n v="0"/>
    <n v="0"/>
    <n v="0"/>
    <n v="-398981.5229230435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Østdanmark"/>
    <n v="189258.59939962387"/>
    <n v="0"/>
    <n v="0"/>
    <n v="0"/>
    <n v="0"/>
    <n v="0"/>
    <n v="0"/>
    <n v="0"/>
    <n v="189258.59939962387"/>
    <n v="189258.59939962387"/>
    <n v="0"/>
    <n v="0.82008211481649229"/>
    <n v="0.82008211481649229"/>
    <n v="0"/>
    <n v="0.82008211481649229"/>
    <n v="79488.61174784202"/>
    <n v="79488.61174784202"/>
    <n v="0"/>
    <n v="79488.61174784202"/>
    <n v="0"/>
    <x v="0"/>
  </r>
  <r>
    <x v="20"/>
    <s v=""/>
    <n v="0"/>
    <n v="0"/>
    <x v="1"/>
    <s v="Østdanmark"/>
    <n v="195942.26011419127"/>
    <n v="0"/>
    <n v="0"/>
    <n v="0"/>
    <n v="0"/>
    <n v="0"/>
    <n v="0"/>
    <n v="0"/>
    <n v="195942.26011419127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474779.06798607635"/>
    <n v="0"/>
    <n v="0"/>
    <n v="106960.41463921656"/>
    <n v="0"/>
    <n v="0"/>
    <n v="0"/>
    <n v="0"/>
    <n v="367818.65334685979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526601.9040028804"/>
    <n v="485809.96937735338"/>
    <n v="0"/>
    <n v="256234.83946537593"/>
    <n v="0"/>
    <n v="0"/>
    <n v="0"/>
    <n v="0"/>
    <n v="784557.09516015113"/>
    <n v="784557.09516015113"/>
    <n v="0"/>
    <n v="2.6869982129301957"/>
    <n v="2.6869982129301957"/>
    <n v="0"/>
    <n v="2.6869982129301957"/>
    <n v="243212.69949964684"/>
    <n v="243212.69949964684"/>
    <n v="0"/>
    <n v="243212.69949964684"/>
    <n v="0"/>
    <x v="0"/>
  </r>
  <r>
    <x v="23"/>
    <s v=""/>
    <n v="0"/>
    <n v="0"/>
    <x v="1"/>
    <s v="Østdanmark"/>
    <n v="0"/>
    <n v="0"/>
    <n v="0"/>
    <n v="0"/>
    <n v="0"/>
    <n v="486481.53306433168"/>
    <n v="0"/>
    <n v="0"/>
    <n v="-486481.53306433168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Østdanmark"/>
    <n v="544131.82132200396"/>
    <n v="0"/>
    <n v="0"/>
    <n v="0"/>
    <n v="408098.865991503"/>
    <n v="136032.95533050099"/>
    <n v="0"/>
    <n v="0"/>
    <n v="0"/>
    <n v="0"/>
    <n v="408098.865991503"/>
    <n v="0"/>
    <n v="0.20657556497623894"/>
    <n v="0.20657556497623894"/>
    <n v="0"/>
    <n v="0"/>
    <n v="31015.513815354228"/>
    <n v="31015.513815354228"/>
    <n v="0"/>
    <n v="0"/>
    <x v="1"/>
  </r>
  <r>
    <x v="25"/>
    <s v=""/>
    <n v="0"/>
    <n v="0"/>
    <x v="1"/>
    <s v="Østdanmark"/>
    <n v="68227.353372786543"/>
    <n v="125246.14782667712"/>
    <n v="0"/>
    <n v="0"/>
    <n v="0"/>
    <n v="0"/>
    <n v="0"/>
    <n v="0"/>
    <n v="-57018.794453890572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1"/>
    <s v="Østdanmark"/>
    <n v="1317840.691777108"/>
    <n v="467452.37797013356"/>
    <n v="0"/>
    <n v="0"/>
    <n v="0"/>
    <n v="0"/>
    <n v="0"/>
    <n v="0"/>
    <n v="850388.31380697445"/>
    <n v="850388.31380697445"/>
    <n v="0"/>
    <n v="3.0528940465670384"/>
    <n v="3.0528940465670384"/>
    <n v="0"/>
    <n v="3.0528940465670384"/>
    <n v="255116.49414209233"/>
    <n v="255116.49414209233"/>
    <n v="0"/>
    <n v="255116.49414209233"/>
    <n v="0"/>
    <x v="0"/>
  </r>
  <r>
    <x v="27"/>
    <s v=""/>
    <n v="0"/>
    <n v="1"/>
    <x v="1"/>
    <s v="Østdanmark"/>
    <n v="131643.38274019925"/>
    <n v="0"/>
    <n v="0"/>
    <n v="409035.43180711387"/>
    <n v="0"/>
    <n v="0"/>
    <n v="0"/>
    <n v="0"/>
    <n v="-277392.04906691459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1"/>
    <s v="Østdanmark"/>
    <n v="3992.121653443267"/>
    <n v="0"/>
    <n v="0"/>
    <n v="51975.70917962808"/>
    <n v="0"/>
    <n v="0"/>
    <n v="0"/>
    <n v="0"/>
    <n v="-47983.587526184812"/>
    <n v="0"/>
    <n v="0"/>
    <n v="0"/>
    <n v="0"/>
    <n v="0"/>
    <n v="0"/>
    <n v="0"/>
    <n v="0"/>
    <n v="0"/>
    <n v="0"/>
    <n v="1"/>
    <x v="1"/>
  </r>
  <r>
    <x v="30"/>
    <s v=""/>
    <n v="0"/>
    <n v="1"/>
    <x v="1"/>
    <s v="Østdanmark"/>
    <n v="432468.49177549983"/>
    <n v="0"/>
    <n v="0"/>
    <n v="0"/>
    <n v="0"/>
    <n v="0"/>
    <n v="0"/>
    <n v="0"/>
    <n v="432468.49177549983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40786.879237447567"/>
    <n v="0"/>
    <n v="0"/>
    <n v="0"/>
    <n v="0"/>
    <n v="0"/>
    <n v="40786.879237447567"/>
    <n v="0"/>
    <n v="0"/>
    <n v="0"/>
    <n v="40786.879237447567"/>
    <n v="0"/>
    <n v="0.75047857796903505"/>
    <n v="0"/>
    <n v="0.75047857796903505"/>
    <n v="0"/>
    <n v="16926.554883540743"/>
    <n v="0"/>
    <n v="16926.554883540743"/>
    <n v="0"/>
    <x v="1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Østdanmark"/>
    <n v="204995.62678254952"/>
    <n v="0"/>
    <n v="0"/>
    <n v="0"/>
    <n v="0"/>
    <n v="0"/>
    <n v="0"/>
    <n v="0"/>
    <n v="204995.62678254952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148274.85806676943"/>
    <n v="0"/>
    <n v="0"/>
    <n v="0"/>
    <n v="0"/>
    <n v="0"/>
    <n v="0"/>
    <n v="148274.85806676943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Østdanmark"/>
    <n v="74137.429033384717"/>
    <n v="17691.388493248127"/>
    <n v="0"/>
    <n v="0"/>
    <n v="0"/>
    <n v="0"/>
    <n v="0"/>
    <n v="0"/>
    <n v="56446.040540136586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47447.954581366219"/>
    <n v="0"/>
    <n v="0"/>
    <n v="0"/>
    <n v="0"/>
    <n v="0"/>
    <n v="47447.954581366219"/>
    <n v="0"/>
    <n v="0"/>
    <n v="0"/>
    <n v="47447.954581366219"/>
    <n v="0"/>
    <n v="1.6606784103478176"/>
    <n v="0"/>
    <n v="1.6606784103478176"/>
    <n v="0"/>
    <n v="0"/>
    <n v="0"/>
    <n v="0"/>
    <n v="0"/>
    <x v="1"/>
  </r>
  <r>
    <x v="38"/>
    <s v="Græs og urter"/>
    <n v="1"/>
    <n v="1"/>
    <x v="1"/>
    <s v="Østdanmark"/>
    <n v="568748.18023765879"/>
    <n v="69507.170691045991"/>
    <n v="0"/>
    <n v="0"/>
    <n v="0"/>
    <n v="0"/>
    <n v="0"/>
    <n v="0"/>
    <n v="499241.0095466128"/>
    <n v="499241.0095466128"/>
    <n v="0"/>
    <n v="1.3549600695498889"/>
    <n v="1.3549600695498889"/>
    <n v="0"/>
    <n v="1.3549600695498889"/>
    <n v="99848.201909322568"/>
    <n v="99848.201909322568"/>
    <n v="0"/>
    <n v="99848.201909322568"/>
    <n v="0"/>
    <x v="0"/>
  </r>
  <r>
    <x v="39"/>
    <s v=""/>
    <n v="0"/>
    <n v="0"/>
    <x v="1"/>
    <s v="Østdanmark"/>
    <n v="11804.917672589359"/>
    <n v="0"/>
    <n v="0"/>
    <n v="0"/>
    <n v="0"/>
    <n v="0"/>
    <n v="0"/>
    <n v="0"/>
    <n v="11804.917672589359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9557.2932196157453"/>
    <n v="3256.9920238615805"/>
    <n v="0"/>
    <n v="0"/>
    <n v="0"/>
    <n v="0"/>
    <n v="0"/>
    <n v="0"/>
    <n v="6300.301195754164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0524.9539653622"/>
    <n v="0"/>
    <n v="0"/>
    <n v="0"/>
    <n v="2505393.7154740216"/>
    <n v="0"/>
    <n v="0"/>
    <n v="0"/>
    <n v="835131.23849134054"/>
    <n v="835131.23849134054"/>
    <n v="2505393.7154740216"/>
    <n v="0.4167388393195639"/>
    <n v="1.6669553572782556"/>
    <n v="1.2502165179586917"/>
    <n v="0.4167388393195639"/>
    <n v="50107.87430948043"/>
    <n v="200431.49723792172"/>
    <n v="150323.6229284413"/>
    <n v="50107.874309480423"/>
    <n v="0"/>
    <x v="0"/>
  </r>
  <r>
    <x v="42"/>
    <s v="Husdyrgødning"/>
    <n v="1"/>
    <n v="0"/>
    <x v="1"/>
    <s v="Østdanmark"/>
    <n v="964437.67916622036"/>
    <n v="0"/>
    <n v="0"/>
    <n v="0"/>
    <n v="723328.25937466533"/>
    <n v="241109.41979155506"/>
    <n v="0"/>
    <n v="0"/>
    <n v="0"/>
    <n v="0"/>
    <n v="723328.25937466533"/>
    <n v="0"/>
    <n v="0.31160981413860589"/>
    <n v="0.31160981413860589"/>
    <n v="0"/>
    <n v="0"/>
    <n v="36166.412968733268"/>
    <n v="36166.412968733268"/>
    <n v="0"/>
    <n v="0"/>
    <x v="1"/>
  </r>
  <r>
    <x v="43"/>
    <s v=""/>
    <n v="0"/>
    <n v="1"/>
    <x v="1"/>
    <s v="Østdanmark"/>
    <n v="104298.25769715841"/>
    <n v="0"/>
    <n v="0"/>
    <n v="105526.43984954793"/>
    <n v="0"/>
    <n v="0"/>
    <n v="0"/>
    <n v="0"/>
    <n v="-1228.1821523895196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  <n v="0"/>
    <x v="1"/>
  </r>
  <r>
    <x v="47"/>
    <s v="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  <n v="1"/>
    <x v="1"/>
  </r>
  <r>
    <x v="1"/>
    <s v=""/>
    <n v="0"/>
    <n v="1"/>
    <x v="2"/>
    <s v="Østdanmark"/>
    <n v="457930.53874458285"/>
    <n v="625.99887183421856"/>
    <n v="0"/>
    <n v="0"/>
    <n v="0"/>
    <n v="0"/>
    <n v="0"/>
    <n v="0"/>
    <n v="457304.53987274866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n v="0"/>
    <x v="2"/>
    <s v="Østdanmark"/>
    <n v="81094605.554408431"/>
    <n v="0"/>
    <n v="0"/>
    <n v="0"/>
    <n v="0"/>
    <n v="0"/>
    <n v="81094605.554408431"/>
    <n v="0"/>
    <n v="0"/>
    <n v="0"/>
    <n v="81094605.554408431"/>
    <n v="0"/>
    <n v="0"/>
    <n v="0"/>
    <n v="0"/>
    <n v="0"/>
    <n v="0"/>
    <n v="0"/>
    <n v="0"/>
    <n v="0"/>
    <x v="1"/>
  </r>
  <r>
    <x v="4"/>
    <s v=""/>
    <n v="0"/>
    <n v="0"/>
    <x v="2"/>
    <s v="Østdanmark"/>
    <n v="3428084.2294498845"/>
    <n v="0"/>
    <n v="0"/>
    <n v="0"/>
    <n v="0"/>
    <n v="347663.70899388671"/>
    <n v="0"/>
    <n v="0"/>
    <n v="3080420.5204559979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2"/>
    <s v="Østdanmark"/>
    <n v="55702.787923842719"/>
    <n v="0"/>
    <n v="0"/>
    <n v="0"/>
    <n v="50132.50913145845"/>
    <n v="2108.7483999740452"/>
    <n v="0"/>
    <n v="0"/>
    <n v="3461.5303924102263"/>
    <n v="3461.5303924102263"/>
    <n v="50132.50913145845"/>
    <n v="7.4561364652516275E-3"/>
    <n v="0.11544156113441313"/>
    <n v="0.1079854246691615"/>
    <n v="7.456136465251631E-3"/>
    <n v="1038.4591177230679"/>
    <n v="16078.211857160602"/>
    <n v="15039.752739437534"/>
    <n v="1038.4591177230686"/>
    <n v="0"/>
    <x v="0"/>
  </r>
  <r>
    <x v="7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Østdanmark"/>
    <n v="471.55151143904124"/>
    <n v="0"/>
    <n v="0"/>
    <n v="0"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  <n v="0"/>
    <x v="1"/>
  </r>
  <r>
    <x v="9"/>
    <s v=""/>
    <n v="0"/>
    <n v="1"/>
    <x v="2"/>
    <s v="Østdanmark"/>
    <n v="503.71416194271836"/>
    <n v="0"/>
    <n v="0"/>
    <n v="31993.002188443785"/>
    <n v="0"/>
    <n v="0"/>
    <n v="0"/>
    <n v="0"/>
    <n v="-31489.288026501068"/>
    <n v="0"/>
    <n v="0"/>
    <n v="0"/>
    <n v="0"/>
    <n v="0"/>
    <n v="0"/>
    <n v="0"/>
    <n v="0"/>
    <n v="0"/>
    <n v="0"/>
    <n v="1"/>
    <x v="1"/>
  </r>
  <r>
    <x v="10"/>
    <s v=""/>
    <n v="0"/>
    <n v="0"/>
    <x v="2"/>
    <s v="Østdanmark"/>
    <n v="2414.435527469192"/>
    <n v="0"/>
    <n v="0"/>
    <n v="0"/>
    <n v="0"/>
    <n v="0"/>
    <n v="0"/>
    <n v="0"/>
    <n v="2414.435527469192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561970.05809562234"/>
    <n v="0"/>
    <n v="0"/>
    <n v="233795.01599247381"/>
    <n v="0"/>
    <n v="0"/>
    <n v="0"/>
    <n v="0"/>
    <n v="328175.04210314853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2"/>
    <s v="Østdanmark"/>
    <n v="8580695.4718173929"/>
    <n v="118774.59150176747"/>
    <n v="0"/>
    <n v="0"/>
    <n v="0"/>
    <n v="0"/>
    <n v="0"/>
    <n v="0"/>
    <n v="8461920.880315626"/>
    <n v="8461920.880315626"/>
    <n v="0"/>
    <n v="15.568876679670714"/>
    <n v="15.568876679670714"/>
    <n v="0"/>
    <n v="15.568876679670714"/>
    <n v="2369337.8464883757"/>
    <n v="2369337.8464883757"/>
    <n v="0"/>
    <n v="2369337.8464883757"/>
    <n v="0"/>
    <x v="0"/>
  </r>
  <r>
    <x v="14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Østdanmark"/>
    <n v="1120623.182681245"/>
    <n v="0"/>
    <n v="0"/>
    <n v="244869.51675001203"/>
    <n v="0"/>
    <n v="0"/>
    <n v="0"/>
    <n v="0"/>
    <n v="875753.66593123297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347850.99679471884"/>
    <n v="7503.2920332351478"/>
    <n v="6747.0089475501663"/>
    <n v="0"/>
    <n v="0"/>
    <n v="0"/>
    <n v="333600.69581393356"/>
    <n v="0"/>
    <n v="0"/>
    <n v="0"/>
    <n v="333600.69581393356"/>
    <n v="0"/>
    <n v="3.4480321865332897"/>
    <n v="0"/>
    <n v="3.4480321865332897"/>
    <n v="0"/>
    <n v="283560.59144184354"/>
    <n v="0"/>
    <n v="283560.59144184354"/>
    <n v="0"/>
    <x v="1"/>
  </r>
  <r>
    <x v="17"/>
    <s v="Bionedbrydeligt affald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n v="0"/>
    <x v="1"/>
  </r>
  <r>
    <x v="18"/>
    <s v=""/>
    <n v="0"/>
    <n v="1"/>
    <x v="2"/>
    <s v="Østdanmark"/>
    <n v="0"/>
    <n v="46862.971099811642"/>
    <n v="0"/>
    <n v="0"/>
    <n v="0"/>
    <n v="0"/>
    <n v="0"/>
    <n v="0"/>
    <n v="-46862.971099811642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Østdanmark"/>
    <n v="168100.3533838705"/>
    <n v="0"/>
    <n v="0"/>
    <n v="0"/>
    <n v="0"/>
    <n v="0"/>
    <n v="0"/>
    <n v="0"/>
    <n v="168100.3533838705"/>
    <n v="168100.3533838705"/>
    <n v="0"/>
    <n v="0.72840068425825089"/>
    <n v="0.72840068425825089"/>
    <n v="0"/>
    <n v="0.72840068425825089"/>
    <n v="70602.148421225604"/>
    <n v="70602.148421225604"/>
    <n v="0"/>
    <n v="70602.148421225604"/>
    <n v="0"/>
    <x v="0"/>
  </r>
  <r>
    <x v="20"/>
    <s v=""/>
    <n v="0"/>
    <n v="0"/>
    <x v="2"/>
    <s v="Østdanmark"/>
    <n v="180250.24074269188"/>
    <n v="0"/>
    <n v="0"/>
    <n v="0"/>
    <n v="0"/>
    <n v="0"/>
    <n v="0"/>
    <n v="0"/>
    <n v="180250.24074269188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215.4481017361189"/>
    <n v="0"/>
    <n v="0"/>
    <n v="111975.50765955324"/>
    <n v="0"/>
    <n v="0"/>
    <n v="0"/>
    <n v="0"/>
    <n v="-111760.05955781712"/>
    <n v="0"/>
    <n v="0"/>
    <n v="0"/>
    <n v="0"/>
    <n v="0"/>
    <n v="0"/>
    <n v="0"/>
    <n v="0"/>
    <n v="0"/>
    <n v="0"/>
    <n v="1"/>
    <x v="1"/>
  </r>
  <r>
    <x v="22"/>
    <s v="Halm og strå"/>
    <n v="1"/>
    <n v="1"/>
    <x v="2"/>
    <s v="Østdanmark"/>
    <n v="3503.8972601034743"/>
    <n v="57061.536053444106"/>
    <n v="0"/>
    <n v="268249.01834925939"/>
    <n v="0"/>
    <n v="0"/>
    <n v="0"/>
    <n v="0"/>
    <n v="-321806.65714259999"/>
    <n v="0"/>
    <n v="0"/>
    <n v="0"/>
    <n v="0"/>
    <n v="0"/>
    <n v="0"/>
    <n v="0"/>
    <n v="0"/>
    <n v="0"/>
    <n v="0"/>
    <n v="1"/>
    <x v="1"/>
  </r>
  <r>
    <x v="23"/>
    <s v=""/>
    <n v="0"/>
    <n v="0"/>
    <x v="2"/>
    <s v="Østdanmark"/>
    <n v="0"/>
    <n v="0"/>
    <n v="0"/>
    <n v="0"/>
    <n v="0"/>
    <n v="973432.69438373833"/>
    <n v="0"/>
    <n v="0"/>
    <n v="-973432.6943837383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Østdanmark"/>
    <n v="55781.658851427252"/>
    <n v="0"/>
    <n v="0"/>
    <n v="0"/>
    <n v="50203.492966284524"/>
    <n v="5578.1658851427237"/>
    <n v="0"/>
    <n v="0"/>
    <n v="0"/>
    <n v="0"/>
    <n v="50203.492966284524"/>
    <n v="0"/>
    <n v="2.5412506104603567E-2"/>
    <n v="2.5412506104603567E-2"/>
    <n v="0"/>
    <n v="0"/>
    <n v="3815.4654654376236"/>
    <n v="3815.4654654376236"/>
    <n v="0"/>
    <n v="0"/>
    <x v="1"/>
  </r>
  <r>
    <x v="25"/>
    <s v=""/>
    <n v="0"/>
    <n v="0"/>
    <x v="2"/>
    <s v="Østdanmark"/>
    <n v="7091.4272335775522"/>
    <n v="14710.973488104135"/>
    <n v="0"/>
    <n v="0"/>
    <n v="0"/>
    <n v="0"/>
    <n v="0"/>
    <n v="0"/>
    <n v="-7619.5462545265827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2"/>
    <s v="Østdanmark"/>
    <n v="705.63788017957472"/>
    <n v="54905.31771712625"/>
    <n v="0"/>
    <n v="0"/>
    <n v="0"/>
    <n v="0"/>
    <n v="0"/>
    <n v="0"/>
    <n v="-54199.679836946678"/>
    <n v="0"/>
    <n v="0"/>
    <n v="0"/>
    <n v="0"/>
    <n v="0"/>
    <n v="0"/>
    <n v="0"/>
    <n v="0"/>
    <n v="0"/>
    <n v="0"/>
    <n v="1"/>
    <x v="1"/>
  </r>
  <r>
    <x v="27"/>
    <s v=""/>
    <n v="0"/>
    <n v="1"/>
    <x v="2"/>
    <s v="Østdanmark"/>
    <n v="13682.774185646154"/>
    <n v="0"/>
    <n v="0"/>
    <n v="428214.02929147833"/>
    <n v="0"/>
    <n v="0"/>
    <n v="0"/>
    <n v="0"/>
    <n v="-414531.25510583218"/>
    <n v="0"/>
    <n v="0"/>
    <n v="0"/>
    <n v="0"/>
    <n v="0"/>
    <n v="0"/>
    <n v="0"/>
    <n v="0"/>
    <n v="0"/>
    <n v="0"/>
    <n v="1"/>
    <x v="1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2"/>
    <s v="Østdanmark"/>
    <n v="257.33473418730972"/>
    <n v="0"/>
    <n v="0"/>
    <n v="54412.71372203785"/>
    <n v="0"/>
    <n v="0"/>
    <n v="0"/>
    <n v="0"/>
    <n v="-54155.378987850541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Østdanmark"/>
    <n v="693.49185876962724"/>
    <n v="0"/>
    <n v="0"/>
    <n v="0"/>
    <n v="0"/>
    <n v="0"/>
    <n v="0"/>
    <n v="0"/>
    <n v="693.49185876962724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34028.264724407527"/>
    <n v="0"/>
    <n v="0"/>
    <n v="0"/>
    <n v="0"/>
    <n v="0"/>
    <n v="34028.264724407527"/>
    <n v="0"/>
    <n v="0"/>
    <n v="0"/>
    <n v="34028.264724407527"/>
    <n v="0"/>
    <n v="0.62612007092909838"/>
    <n v="0"/>
    <n v="0.62612007092909838"/>
    <n v="0"/>
    <n v="14121.729860629124"/>
    <n v="0"/>
    <n v="14121.729860629124"/>
    <n v="0"/>
    <x v="1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Østdanmark"/>
    <n v="21306.873250485853"/>
    <n v="0"/>
    <n v="0"/>
    <n v="0"/>
    <n v="0"/>
    <n v="0"/>
    <n v="0"/>
    <n v="0"/>
    <n v="21306.873250485853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312210.60748691915"/>
    <n v="0"/>
    <n v="0"/>
    <n v="0"/>
    <n v="0"/>
    <n v="0"/>
    <n v="0"/>
    <n v="312210.60748691915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Østdanmark"/>
    <n v="156105.30374345958"/>
    <n v="2077.9684773385866"/>
    <n v="0"/>
    <n v="0"/>
    <n v="0"/>
    <n v="0"/>
    <n v="0"/>
    <n v="0"/>
    <n v="154027.33526612099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99907.394395814132"/>
    <n v="0"/>
    <n v="0"/>
    <n v="0"/>
    <n v="0"/>
    <n v="0"/>
    <n v="99907.394395814132"/>
    <n v="0"/>
    <n v="0"/>
    <n v="0"/>
    <n v="99907.394395814132"/>
    <n v="0"/>
    <n v="3.4967588038534942"/>
    <n v="0"/>
    <n v="3.4967588038534942"/>
    <n v="0"/>
    <n v="0"/>
    <n v="0"/>
    <n v="0"/>
    <n v="0"/>
    <x v="1"/>
  </r>
  <r>
    <x v="38"/>
    <s v="Græs og urter"/>
    <n v="1"/>
    <n v="1"/>
    <x v="2"/>
    <s v="Østdanmark"/>
    <n v="1151.564385499476"/>
    <n v="8164.068620171267"/>
    <n v="0"/>
    <n v="0"/>
    <n v="0"/>
    <n v="0"/>
    <n v="0"/>
    <n v="0"/>
    <n v="-7012.504234671791"/>
    <n v="0"/>
    <n v="0"/>
    <n v="0"/>
    <n v="0"/>
    <n v="0"/>
    <n v="0"/>
    <n v="0"/>
    <n v="0"/>
    <n v="0"/>
    <n v="0"/>
    <n v="1"/>
    <x v="1"/>
  </r>
  <r>
    <x v="39"/>
    <s v=""/>
    <n v="0"/>
    <n v="0"/>
    <x v="2"/>
    <s v="Østdanmark"/>
    <n v="588.00501905544718"/>
    <n v="0"/>
    <n v="0"/>
    <n v="0"/>
    <n v="0"/>
    <n v="0"/>
    <n v="0"/>
    <n v="0"/>
    <n v="588.00501905544718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440.79056937463145"/>
    <n v="382.55486612091136"/>
    <n v="0"/>
    <n v="0"/>
    <n v="0"/>
    <n v="0"/>
    <n v="0"/>
    <n v="0"/>
    <n v="58.235703253720089"/>
    <n v="0"/>
    <n v="0"/>
    <n v="0"/>
    <n v="0"/>
    <n v="0"/>
    <n v="0"/>
    <n v="0"/>
    <n v="0"/>
    <n v="0"/>
    <n v="0"/>
    <n v="1"/>
    <x v="1"/>
  </r>
  <r>
    <x v="41"/>
    <s v="Bionedbrydeligt affald"/>
    <n v="1"/>
    <n v="0"/>
    <x v="2"/>
    <s v="Østdanmark"/>
    <n v="3492320.8870792342"/>
    <n v="0"/>
    <n v="0"/>
    <n v="0"/>
    <n v="3143088.7983713108"/>
    <n v="0"/>
    <n v="0"/>
    <n v="0"/>
    <n v="349232.08870792342"/>
    <n v="349232.08870792342"/>
    <n v="3143088.7983713108"/>
    <n v="0.1742703045861409"/>
    <n v="1.742703045861409"/>
    <n v="1.5684327412752681"/>
    <n v="0.1742703045861409"/>
    <n v="20953.925322475403"/>
    <n v="209539.25322475404"/>
    <n v="188585.32790227863"/>
    <n v="20953.925322475407"/>
    <n v="0"/>
    <x v="0"/>
  </r>
  <r>
    <x v="42"/>
    <s v="Husdyrgødning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3"/>
    <s v=""/>
    <n v="0"/>
    <n v="1"/>
    <x v="2"/>
    <s v="Østdanmark"/>
    <n v="4757.7690216638703"/>
    <n v="0"/>
    <n v="0"/>
    <n v="110474.29755686472"/>
    <n v="0"/>
    <n v="0"/>
    <n v="0"/>
    <n v="0"/>
    <n v="-105716.52853520085"/>
    <n v="0"/>
    <n v="0"/>
    <n v="0"/>
    <n v="0"/>
    <n v="0"/>
    <n v="0"/>
    <n v="0"/>
    <n v="0"/>
    <n v="0"/>
    <n v="0"/>
    <n v="1"/>
    <x v="1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  <n v="0"/>
    <x v="1"/>
  </r>
  <r>
    <x v="47"/>
    <s v="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941424.383000549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469132.82551179174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8253526.2508594617"/>
    <s v="CO2 - atmosfære"/>
    <x v="0"/>
  </r>
  <r>
    <s v="Vestdanmark"/>
    <x v="1"/>
    <n v="3333383.2697204407"/>
    <s v="Landbrug"/>
    <x v="1"/>
  </r>
  <r>
    <s v="Vestdanmark"/>
    <x v="1"/>
    <n v="4042268.1505437652"/>
    <s v="Landbrug"/>
    <x v="2"/>
  </r>
  <r>
    <s v="Vestdanmark"/>
    <x v="1"/>
    <n v="972375.23040678946"/>
    <s v="Landbrug"/>
    <x v="2"/>
  </r>
  <r>
    <s v="Vestdanmark"/>
    <x v="1"/>
    <n v="1839084.3419425213"/>
    <s v="Landbrug"/>
    <x v="2"/>
  </r>
  <r>
    <s v="Vestdanmark"/>
    <x v="1"/>
    <n v="-158.24317477886137"/>
    <s v="Hav"/>
    <x v="3"/>
  </r>
  <r>
    <s v="Vestdanmark"/>
    <x v="1"/>
    <n v="-1228033.747647149"/>
    <s v="Skov"/>
    <x v="4"/>
  </r>
  <r>
    <s v="Vestdanmark"/>
    <x v="1"/>
    <n v="-472893.63203247666"/>
    <s v="HWP"/>
    <x v="5"/>
  </r>
  <r>
    <s v="Vestdanmark"/>
    <x v="1"/>
    <n v="-232499.11889965192"/>
    <s v="Biogasanlæg"/>
    <x v="6"/>
  </r>
  <r>
    <s v="Vestdanmark"/>
    <x v="1"/>
    <n v="0"/>
    <s v="Pyrolyseproces"/>
    <x v="7"/>
  </r>
  <r>
    <s v="Vestdanmark"/>
    <x v="2"/>
    <n v="231505.42815902986"/>
    <s v="CO2 - atmosfære"/>
    <x v="0"/>
  </r>
  <r>
    <s v="Vestdanmark"/>
    <x v="2"/>
    <n v="425175.44850829884"/>
    <s v="Landbrug"/>
    <x v="1"/>
  </r>
  <r>
    <s v="Vestdanmark"/>
    <x v="2"/>
    <n v="3720487.3144801827"/>
    <s v="Landbrug"/>
    <x v="2"/>
  </r>
  <r>
    <s v="Vestdanmark"/>
    <x v="2"/>
    <n v="110711.6733009274"/>
    <s v="Landbrug"/>
    <x v="2"/>
  </r>
  <r>
    <s v="Vestdanmark"/>
    <x v="2"/>
    <n v="0"/>
    <s v="Landbrug"/>
    <x v="2"/>
  </r>
  <r>
    <s v="Vestdanmark"/>
    <x v="2"/>
    <n v="-158.24317477886137"/>
    <s v="Hav"/>
    <x v="3"/>
  </r>
  <r>
    <s v="Vestdanmark"/>
    <x v="2"/>
    <n v="-2887651.1003491962"/>
    <s v="Skov"/>
    <x v="4"/>
  </r>
  <r>
    <s v="Vestdanmark"/>
    <x v="2"/>
    <n v="-1116274.2073436431"/>
    <s v="HWP"/>
    <x v="5"/>
  </r>
  <r>
    <s v="Vestdanmark"/>
    <x v="2"/>
    <n v="-20785.457262761494"/>
    <s v="Biogasanlæg"/>
    <x v="6"/>
  </r>
  <r>
    <s v="Vestdanmark"/>
    <x v="2"/>
    <n v="0"/>
    <s v="Pyrolyseproces"/>
    <x v="7"/>
  </r>
  <r>
    <s v="Østdanmark"/>
    <x v="0"/>
    <n v="1968955.6357662694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37317.4348123064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499383.6258892769"/>
    <s v="CO2 - atmosfære"/>
    <x v="0"/>
  </r>
  <r>
    <s v="Østdanmark"/>
    <x v="1"/>
    <n v="298768.99309644138"/>
    <s v="Landbrug"/>
    <x v="1"/>
  </r>
  <r>
    <s v="Østdanmark"/>
    <x v="1"/>
    <n v="1208704.6765779152"/>
    <s v="Landbrug"/>
    <x v="2"/>
  </r>
  <r>
    <s v="Østdanmark"/>
    <x v="1"/>
    <n v="147682.60240479806"/>
    <s v="Landbrug"/>
    <x v="2"/>
  </r>
  <r>
    <s v="Østdanmark"/>
    <x v="1"/>
    <n v="279204.42809339461"/>
    <s v="Landbrug"/>
    <x v="2"/>
  </r>
  <r>
    <s v="Østdanmark"/>
    <x v="1"/>
    <n v="-0.19402522113858015"/>
    <s v="Hav"/>
    <x v="3"/>
  </r>
  <r>
    <s v="Østdanmark"/>
    <x v="1"/>
    <n v="-278201.85046482197"/>
    <s v="Skov"/>
    <x v="4"/>
  </r>
  <r>
    <s v="Østdanmark"/>
    <x v="1"/>
    <n v="-135559.93500491785"/>
    <s v="HWP"/>
    <x v="5"/>
  </r>
  <r>
    <s v="Østdanmark"/>
    <x v="1"/>
    <n v="-21215.094788311842"/>
    <s v="Biogasanlæg"/>
    <x v="6"/>
  </r>
  <r>
    <s v="Østdanmark"/>
    <x v="1"/>
    <n v="0"/>
    <s v="Pyrolyseproces"/>
    <x v="7"/>
  </r>
  <r>
    <s v="Østdanmark"/>
    <x v="2"/>
    <n v="402302.55250166461"/>
    <s v="CO2 - atmosfære"/>
    <x v="0"/>
  </r>
  <r>
    <s v="Østdanmark"/>
    <x v="2"/>
    <n v="36857.152016376669"/>
    <s v="Landbrug"/>
    <x v="1"/>
  </r>
  <r>
    <s v="Østdanmark"/>
    <x v="2"/>
    <n v="1166254.1833775467"/>
    <s v="Landbrug"/>
    <x v="2"/>
  </r>
  <r>
    <s v="Østdanmark"/>
    <x v="2"/>
    <n v="16814.689965756032"/>
    <s v="Landbrug"/>
    <x v="2"/>
  </r>
  <r>
    <s v="Østdanmark"/>
    <x v="2"/>
    <n v="0"/>
    <s v="Landbrug"/>
    <x v="2"/>
  </r>
  <r>
    <s v="Østdanmark"/>
    <x v="2"/>
    <n v="-0.19402522113858015"/>
    <s v="Hav"/>
    <x v="3"/>
  </r>
  <r>
    <s v="Østdanmark"/>
    <x v="2"/>
    <n v="-565732.58937917813"/>
    <s v="Skov"/>
    <x v="4"/>
  </r>
  <r>
    <s v="Østdanmark"/>
    <x v="2"/>
    <n v="-250413.3836601582"/>
    <s v="HWP"/>
    <x v="5"/>
  </r>
  <r>
    <s v="Østdanmark"/>
    <x v="2"/>
    <n v="-1477.3057934574824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n v="1"/>
    <x v="1"/>
    <s v="Vestdanmark"/>
    <n v="137289.06413917695"/>
    <n v="0"/>
    <n v="0"/>
    <n v="32579.784552999867"/>
    <n v="0"/>
    <n v="0"/>
    <n v="0"/>
    <n v="0"/>
    <n v="104709.27958617709"/>
    <n v="0"/>
    <n v="0"/>
    <n v="0"/>
    <n v="0"/>
    <n v="0"/>
    <n v="0"/>
    <n v="0"/>
    <n v="0"/>
    <n v="0"/>
    <n v="0"/>
  </r>
  <r>
    <x v="1"/>
    <x v="10"/>
    <n v="0"/>
    <n v="1"/>
    <x v="1"/>
    <s v="Vestdanmark"/>
    <n v="807391.35086832882"/>
    <n v="43580.743031500795"/>
    <n v="0"/>
    <n v="0"/>
    <n v="0"/>
    <n v="0"/>
    <n v="0"/>
    <n v="0"/>
    <n v="763810.60783682799"/>
    <n v="0"/>
    <n v="0"/>
    <n v="0"/>
    <n v="0"/>
    <n v="0"/>
    <n v="0"/>
    <n v="0"/>
    <n v="0"/>
    <n v="0"/>
    <n v="0"/>
  </r>
  <r>
    <x v="2"/>
    <x v="1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n v="0"/>
    <x v="1"/>
    <s v="Vestdanmark"/>
    <n v="360155466.15188104"/>
    <n v="0"/>
    <n v="0"/>
    <n v="0"/>
    <n v="0"/>
    <n v="0"/>
    <n v="360155466.15188104"/>
    <n v="0"/>
    <n v="0"/>
    <n v="0"/>
    <n v="360155466.15188104"/>
    <n v="0"/>
    <n v="0"/>
    <n v="0"/>
    <n v="0"/>
    <n v="0"/>
    <n v="0"/>
    <n v="0"/>
    <n v="0"/>
  </r>
  <r>
    <x v="4"/>
    <x v="10"/>
    <n v="0"/>
    <n v="0"/>
    <x v="1"/>
    <s v="Vestdanmark"/>
    <n v="14753259.052618254"/>
    <n v="0"/>
    <n v="0"/>
    <n v="0"/>
    <n v="0"/>
    <n v="10112257.042498086"/>
    <n v="0"/>
    <n v="0"/>
    <n v="4641002.0101201683"/>
    <n v="0"/>
    <n v="0"/>
    <n v="0"/>
    <n v="0"/>
    <n v="0"/>
    <n v="0"/>
    <n v="0"/>
    <n v="0"/>
    <n v="0"/>
    <n v="0"/>
  </r>
  <r>
    <x v="5"/>
    <x v="1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1"/>
    <s v="Vestdanmark"/>
    <n v="2465403.7833838393"/>
    <n v="0"/>
    <n v="0"/>
    <n v="0"/>
    <n v="1849052.8375378796"/>
    <n v="233332.85807025622"/>
    <n v="0"/>
    <n v="0"/>
    <n v="383018.08777570352"/>
    <n v="383018.08777570352"/>
    <n v="1849052.8375378796"/>
    <n v="0.82502096106886535"/>
    <n v="4.8078807731254578"/>
    <n v="3.9828598120565926"/>
    <n v="0.82502096106886524"/>
    <n v="114905.42633271105"/>
    <n v="669621.27759407496"/>
    <n v="554715.85126136383"/>
    <n v="114905.42633271113"/>
  </r>
  <r>
    <x v="7"/>
    <x v="10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1"/>
    <s v="Vestdanmark"/>
    <n v="8084.5006505504907"/>
    <n v="0"/>
    <n v="0"/>
    <n v="0"/>
    <n v="6063.3754879128683"/>
    <n v="2021.1251626376227"/>
    <n v="0"/>
    <n v="0"/>
    <n v="0"/>
    <n v="0"/>
    <n v="6063.3754879128683"/>
    <n v="0"/>
    <n v="2.8515448582105427E-3"/>
    <n v="2.8515448582105427E-3"/>
    <n v="0"/>
    <n v="0"/>
    <n v="381.99265573851068"/>
    <n v="381.99265573851068"/>
    <n v="0"/>
  </r>
  <r>
    <x v="9"/>
    <x v="10"/>
    <n v="0"/>
    <n v="1"/>
    <x v="1"/>
    <s v="Vestdanmark"/>
    <n v="98611.398262488423"/>
    <n v="0"/>
    <n v="0"/>
    <n v="35294.766599083188"/>
    <n v="0"/>
    <n v="0"/>
    <n v="0"/>
    <n v="0"/>
    <n v="63316.631663405235"/>
    <n v="0"/>
    <n v="0"/>
    <n v="0"/>
    <n v="0"/>
    <n v="0"/>
    <n v="0"/>
    <n v="0"/>
    <n v="0"/>
    <n v="0"/>
    <n v="0"/>
  </r>
  <r>
    <x v="10"/>
    <x v="10"/>
    <n v="0"/>
    <n v="0"/>
    <x v="1"/>
    <s v="Vestdanmark"/>
    <n v="1068143.9155687199"/>
    <n v="0"/>
    <n v="0"/>
    <n v="0"/>
    <n v="0"/>
    <n v="0"/>
    <n v="0"/>
    <n v="0"/>
    <n v="1068143.9155687199"/>
    <n v="0"/>
    <n v="0"/>
    <n v="0"/>
    <n v="0"/>
    <n v="0"/>
    <n v="0"/>
    <n v="0"/>
    <n v="0"/>
    <n v="0"/>
    <n v="0"/>
  </r>
  <r>
    <x v="11"/>
    <x v="10"/>
    <n v="0"/>
    <n v="1"/>
    <x v="1"/>
    <s v="Vestdanmark"/>
    <n v="30293.444359786194"/>
    <n v="0"/>
    <n v="0"/>
    <n v="257923.29437791562"/>
    <n v="0"/>
    <n v="0"/>
    <n v="0"/>
    <n v="0"/>
    <n v="-227629.85001812942"/>
    <n v="0"/>
    <n v="0"/>
    <n v="0"/>
    <n v="0"/>
    <n v="0"/>
    <n v="0"/>
    <n v="0"/>
    <n v="0"/>
    <n v="0"/>
    <n v="0"/>
  </r>
  <r>
    <x v="12"/>
    <x v="3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1"/>
    <s v="Vestdanmark"/>
    <n v="13177775.793539407"/>
    <n v="8268840.7021296145"/>
    <n v="0"/>
    <n v="0"/>
    <n v="0"/>
    <n v="0"/>
    <n v="0"/>
    <n v="0"/>
    <n v="4908935.0914097922"/>
    <n v="4908935.0914097922"/>
    <n v="0"/>
    <n v="9.0318269513075915"/>
    <n v="9.0318269513075915"/>
    <n v="0"/>
    <n v="9.0318269513075915"/>
    <n v="1374501.8255947419"/>
    <n v="1374501.8255947419"/>
    <n v="0"/>
    <n v="1374501.8255947419"/>
  </r>
  <r>
    <x v="14"/>
    <x v="10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Vestdanmark"/>
    <n v="1183876.8673845837"/>
    <n v="0"/>
    <n v="0"/>
    <n v="270140.71358529059"/>
    <n v="0"/>
    <n v="0"/>
    <n v="0"/>
    <n v="0"/>
    <n v="913736.1537992931"/>
    <n v="0"/>
    <n v="0"/>
    <n v="0"/>
    <n v="0"/>
    <n v="0"/>
    <n v="0"/>
    <n v="0"/>
    <n v="0"/>
    <n v="0"/>
    <n v="0"/>
  </r>
  <r>
    <x v="16"/>
    <x v="5"/>
    <n v="1"/>
    <n v="0"/>
    <x v="1"/>
    <s v="Vestdanmark"/>
    <n v="2495959.9516581628"/>
    <n v="522363.62828034989"/>
    <n v="471959.19081652729"/>
    <n v="0"/>
    <n v="0"/>
    <n v="0"/>
    <n v="1501637.1325612864"/>
    <n v="0"/>
    <n v="0"/>
    <n v="0"/>
    <n v="1501637.1325612864"/>
    <n v="0"/>
    <n v="15.520630593806496"/>
    <n v="0"/>
    <n v="15.520630593806496"/>
    <n v="0"/>
    <n v="1276391.5626770935"/>
    <n v="0"/>
    <n v="1276391.5626770935"/>
  </r>
  <r>
    <x v="17"/>
    <x v="1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</r>
  <r>
    <x v="18"/>
    <x v="10"/>
    <n v="0"/>
    <n v="1"/>
    <x v="1"/>
    <s v="Vestdanmark"/>
    <n v="0"/>
    <n v="3262502.8463859628"/>
    <n v="0"/>
    <n v="0"/>
    <n v="0"/>
    <n v="0"/>
    <n v="0"/>
    <n v="0"/>
    <n v="-3262502.8463859628"/>
    <n v="0"/>
    <n v="0"/>
    <n v="0"/>
    <n v="0"/>
    <n v="0"/>
    <n v="0"/>
    <n v="0"/>
    <n v="0"/>
    <n v="0"/>
    <n v="0"/>
  </r>
  <r>
    <x v="19"/>
    <x v="1"/>
    <n v="1"/>
    <n v="0"/>
    <x v="1"/>
    <s v="Vestdanmark"/>
    <n v="402383.95965350419"/>
    <n v="0"/>
    <n v="0"/>
    <n v="0"/>
    <n v="0"/>
    <n v="0"/>
    <n v="0"/>
    <n v="0"/>
    <n v="402383.95965350419"/>
    <n v="402383.95965350419"/>
    <n v="0"/>
    <n v="1.7435820070933887"/>
    <n v="1.7435820070933887"/>
    <n v="0"/>
    <n v="1.7435820070933887"/>
    <n v="169001.26305447175"/>
    <n v="169001.26305447175"/>
    <n v="0"/>
    <n v="169001.26305447175"/>
  </r>
  <r>
    <x v="20"/>
    <x v="10"/>
    <n v="0"/>
    <n v="0"/>
    <x v="1"/>
    <s v="Vestdanmark"/>
    <n v="675080.94417097606"/>
    <n v="0"/>
    <n v="0"/>
    <n v="0"/>
    <n v="0"/>
    <n v="0"/>
    <n v="0"/>
    <n v="0"/>
    <n v="675080.94417097606"/>
    <n v="0"/>
    <n v="0"/>
    <n v="0"/>
    <n v="0"/>
    <n v="0"/>
    <n v="0"/>
    <n v="0"/>
    <n v="0"/>
    <n v="0"/>
    <n v="0"/>
  </r>
  <r>
    <x v="21"/>
    <x v="10"/>
    <n v="0"/>
    <n v="1"/>
    <x v="1"/>
    <s v="Vestdanmark"/>
    <n v="1689696.9927296774"/>
    <n v="0"/>
    <n v="0"/>
    <n v="123531.68309679118"/>
    <n v="0"/>
    <n v="0"/>
    <n v="0"/>
    <n v="0"/>
    <n v="1566165.3096328862"/>
    <n v="0"/>
    <n v="0"/>
    <n v="0"/>
    <n v="0"/>
    <n v="0"/>
    <n v="0"/>
    <n v="0"/>
    <n v="0"/>
    <n v="0"/>
    <n v="0"/>
  </r>
  <r>
    <x v="22"/>
    <x v="5"/>
    <n v="1"/>
    <n v="1"/>
    <x v="1"/>
    <s v="Vestdanmark"/>
    <n v="5182167.6605635537"/>
    <n v="3972505.784940829"/>
    <n v="0"/>
    <n v="295933.04302308214"/>
    <n v="0"/>
    <n v="0"/>
    <n v="0"/>
    <n v="0"/>
    <n v="913728.83259964269"/>
    <n v="913728.83259964269"/>
    <n v="0"/>
    <n v="3.1293933296172129"/>
    <n v="3.1293933296172129"/>
    <n v="0"/>
    <n v="3.1293933296172129"/>
    <n v="283255.93810588925"/>
    <n v="283255.93810588925"/>
    <n v="0"/>
    <n v="283255.93810588925"/>
  </r>
  <r>
    <x v="23"/>
    <x v="10"/>
    <n v="0"/>
    <n v="0"/>
    <x v="1"/>
    <s v="Vestdanmark"/>
    <n v="0"/>
    <n v="0"/>
    <n v="0"/>
    <n v="0"/>
    <n v="0"/>
    <n v="1499151.6936668851"/>
    <n v="0"/>
    <n v="0"/>
    <n v="-1499151.6936668851"/>
    <n v="0"/>
    <n v="0"/>
    <n v="0"/>
    <n v="0"/>
    <n v="0"/>
    <n v="0"/>
    <n v="0"/>
    <n v="0"/>
    <n v="0"/>
    <n v="0"/>
  </r>
  <r>
    <x v="24"/>
    <x v="2"/>
    <n v="1"/>
    <n v="0"/>
    <x v="1"/>
    <s v="Vestdanmark"/>
    <n v="7655848.0766037833"/>
    <n v="0"/>
    <n v="0"/>
    <n v="0"/>
    <n v="5741886.057452837"/>
    <n v="1913962.0191509458"/>
    <n v="0"/>
    <n v="0"/>
    <n v="0"/>
    <n v="0"/>
    <n v="5741886.057452837"/>
    <n v="0"/>
    <n v="2.9064853034220519"/>
    <n v="2.9064853034220519"/>
    <n v="0"/>
    <n v="0"/>
    <n v="436383.34036641562"/>
    <n v="436383.34036641562"/>
    <n v="0"/>
  </r>
  <r>
    <x v="25"/>
    <x v="10"/>
    <n v="0"/>
    <n v="0"/>
    <x v="1"/>
    <s v="Vestdanmark"/>
    <n v="959947.99719994201"/>
    <n v="1024147.4612402687"/>
    <n v="0"/>
    <n v="0"/>
    <n v="0"/>
    <n v="0"/>
    <n v="0"/>
    <n v="0"/>
    <n v="-64199.464040326653"/>
    <n v="0"/>
    <n v="0"/>
    <n v="0"/>
    <n v="0"/>
    <n v="0"/>
    <n v="0"/>
    <n v="0"/>
    <n v="0"/>
    <n v="0"/>
    <n v="0"/>
  </r>
  <r>
    <x v="26"/>
    <x v="4"/>
    <n v="1"/>
    <n v="1"/>
    <x v="1"/>
    <s v="Vestdanmark"/>
    <n v="4675837.2738896068"/>
    <n v="3822394.3367212149"/>
    <n v="0"/>
    <n v="0"/>
    <n v="0"/>
    <n v="0"/>
    <n v="0"/>
    <n v="0"/>
    <n v="853442.93716839189"/>
    <n v="853442.93716839189"/>
    <n v="0"/>
    <n v="3.063860144434527"/>
    <n v="3.063860144434527"/>
    <n v="0"/>
    <n v="3.063860144434527"/>
    <n v="256032.88115051755"/>
    <n v="256032.88115051755"/>
    <n v="0"/>
    <n v="256032.88115051755"/>
  </r>
  <r>
    <x v="27"/>
    <x v="10"/>
    <n v="0"/>
    <n v="1"/>
    <x v="1"/>
    <s v="Vestdanmark"/>
    <n v="1852201.4318158275"/>
    <n v="0"/>
    <n v="0"/>
    <n v="472406.87601849809"/>
    <n v="0"/>
    <n v="0"/>
    <n v="0"/>
    <n v="0"/>
    <n v="1379794.5557973294"/>
    <n v="0"/>
    <n v="0"/>
    <n v="0"/>
    <n v="0"/>
    <n v="0"/>
    <n v="0"/>
    <n v="0"/>
    <n v="0"/>
    <n v="0"/>
    <n v="0"/>
  </r>
  <r>
    <x v="28"/>
    <x v="6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1"/>
    <s v="Vestdanmark"/>
    <n v="56168.51594495419"/>
    <n v="0"/>
    <n v="0"/>
    <n v="60028.253038902265"/>
    <n v="0"/>
    <n v="0"/>
    <n v="0"/>
    <n v="0"/>
    <n v="-3859.7370939480752"/>
    <n v="0"/>
    <n v="0"/>
    <n v="0"/>
    <n v="0"/>
    <n v="0"/>
    <n v="0"/>
    <n v="0"/>
    <n v="0"/>
    <n v="0"/>
    <n v="0"/>
  </r>
  <r>
    <x v="30"/>
    <x v="10"/>
    <n v="0"/>
    <n v="1"/>
    <x v="1"/>
    <s v="Vestdanmark"/>
    <n v="1479891.647259762"/>
    <n v="0"/>
    <n v="0"/>
    <n v="0"/>
    <n v="0"/>
    <n v="0"/>
    <n v="0"/>
    <n v="0"/>
    <n v="1479891.647259762"/>
    <n v="0"/>
    <n v="0"/>
    <n v="0"/>
    <n v="0"/>
    <n v="0"/>
    <n v="0"/>
    <n v="0"/>
    <n v="0"/>
    <n v="0"/>
    <n v="0"/>
  </r>
  <r>
    <x v="31"/>
    <x v="7"/>
    <n v="1"/>
    <n v="0"/>
    <x v="1"/>
    <s v="Vestdanmark"/>
    <n v="151285.23145276494"/>
    <n v="0"/>
    <n v="0"/>
    <n v="0"/>
    <n v="0"/>
    <n v="0"/>
    <n v="151285.23145276494"/>
    <n v="0"/>
    <n v="0"/>
    <n v="0"/>
    <n v="151285.23145276494"/>
    <n v="0"/>
    <n v="2.7836482587308744"/>
    <n v="0"/>
    <n v="2.7836482587308744"/>
    <n v="0"/>
    <n v="62783.371052897455"/>
    <n v="0"/>
    <n v="62783.371052897455"/>
  </r>
  <r>
    <x v="32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Vestdanmark"/>
    <n v="2884255.8246315583"/>
    <n v="0"/>
    <n v="0"/>
    <n v="0"/>
    <n v="0"/>
    <n v="0"/>
    <n v="0"/>
    <n v="0"/>
    <n v="2884255.8246315583"/>
    <n v="0"/>
    <n v="0"/>
    <n v="0"/>
    <n v="0"/>
    <n v="0"/>
    <n v="0"/>
    <n v="0"/>
    <n v="0"/>
    <n v="0"/>
    <n v="0"/>
  </r>
  <r>
    <x v="35"/>
    <x v="10"/>
    <n v="0"/>
    <n v="0"/>
    <x v="1"/>
    <s v="Vestdanmark"/>
    <n v="498270.5858787492"/>
    <n v="0"/>
    <n v="0"/>
    <n v="0"/>
    <n v="0"/>
    <n v="0"/>
    <n v="0"/>
    <n v="498270.5858787492"/>
    <n v="0"/>
    <n v="0"/>
    <n v="0"/>
    <n v="0"/>
    <n v="0"/>
    <n v="0"/>
    <n v="0"/>
    <n v="0"/>
    <n v="0"/>
    <n v="0"/>
    <n v="0"/>
  </r>
  <r>
    <x v="36"/>
    <x v="10"/>
    <n v="0"/>
    <n v="0"/>
    <x v="1"/>
    <s v="Vestdanmark"/>
    <n v="249135.2929393746"/>
    <n v="144663.85534067627"/>
    <n v="0"/>
    <n v="0"/>
    <n v="0"/>
    <n v="0"/>
    <n v="0"/>
    <n v="0"/>
    <n v="104471.43759869834"/>
    <n v="0"/>
    <n v="0"/>
    <n v="0"/>
    <n v="0"/>
    <n v="0"/>
    <n v="0"/>
    <n v="0"/>
    <n v="0"/>
    <n v="0"/>
    <n v="0"/>
  </r>
  <r>
    <x v="37"/>
    <x v="9"/>
    <n v="1"/>
    <n v="1"/>
    <x v="1"/>
    <s v="Vestdanmark"/>
    <n v="159446.58748119973"/>
    <n v="0"/>
    <n v="0"/>
    <n v="0"/>
    <n v="0"/>
    <n v="0"/>
    <n v="159446.58748119973"/>
    <n v="0"/>
    <n v="0"/>
    <n v="0"/>
    <n v="159446.58748119973"/>
    <n v="0"/>
    <n v="5.58063056184199"/>
    <n v="0"/>
    <n v="5.58063056184199"/>
    <n v="0"/>
    <n v="0"/>
    <n v="0"/>
    <n v="0"/>
  </r>
  <r>
    <x v="38"/>
    <x v="4"/>
    <n v="1"/>
    <n v="1"/>
    <x v="1"/>
    <s v="Vestdanmark"/>
    <n v="1856731.7758593475"/>
    <n v="568365.52370248956"/>
    <n v="0"/>
    <n v="0"/>
    <n v="0"/>
    <n v="0"/>
    <n v="0"/>
    <n v="0"/>
    <n v="1288366.2521568579"/>
    <n v="1288366.2521568579"/>
    <n v="0"/>
    <n v="3.4966775430037984"/>
    <n v="3.4966775430037984"/>
    <n v="0"/>
    <n v="3.4966775430037984"/>
    <n v="257673.25043137159"/>
    <n v="257673.25043137159"/>
    <n v="0"/>
    <n v="257673.25043137159"/>
  </r>
  <r>
    <x v="39"/>
    <x v="10"/>
    <n v="0"/>
    <n v="0"/>
    <x v="1"/>
    <s v="Vestdanmark"/>
    <n v="100301.72992417146"/>
    <n v="0"/>
    <n v="0"/>
    <n v="0"/>
    <n v="0"/>
    <n v="0"/>
    <n v="0"/>
    <n v="0"/>
    <n v="100301.72992417146"/>
    <n v="0"/>
    <n v="0"/>
    <n v="0"/>
    <n v="0"/>
    <n v="0"/>
    <n v="0"/>
    <n v="0"/>
    <n v="0"/>
    <n v="0"/>
    <n v="0"/>
  </r>
  <r>
    <x v="40"/>
    <x v="10"/>
    <n v="0"/>
    <n v="0"/>
    <x v="1"/>
    <s v="Vestdanmark"/>
    <n v="67791.218966454777"/>
    <n v="26632.676297028265"/>
    <n v="0"/>
    <n v="0"/>
    <n v="0"/>
    <n v="0"/>
    <n v="0"/>
    <n v="0"/>
    <n v="41158.542669426512"/>
    <n v="0"/>
    <n v="0"/>
    <n v="0"/>
    <n v="0"/>
    <n v="0"/>
    <n v="0"/>
    <n v="0"/>
    <n v="0"/>
    <n v="0"/>
    <n v="0"/>
  </r>
  <r>
    <x v="41"/>
    <x v="1"/>
    <n v="1"/>
    <n v="0"/>
    <x v="1"/>
    <s v="Vestdanmark"/>
    <n v="3924256.6047362923"/>
    <n v="0"/>
    <n v="0"/>
    <n v="0"/>
    <n v="2943192.4535522191"/>
    <n v="0"/>
    <n v="0"/>
    <n v="0"/>
    <n v="981064.15118407318"/>
    <n v="981064.15118407318"/>
    <n v="2943192.4535522191"/>
    <n v="0.48956082208236446"/>
    <n v="1.9582432883294574"/>
    <n v="1.468682466247093"/>
    <n v="0.4895608220823644"/>
    <n v="58863.849071044388"/>
    <n v="235455.39628417752"/>
    <n v="176591.54721313313"/>
    <n v="58863.849071044388"/>
  </r>
  <r>
    <x v="42"/>
    <x v="2"/>
    <n v="1"/>
    <n v="0"/>
    <x v="1"/>
    <s v="Vestdanmark"/>
    <n v="6656017.1221692413"/>
    <n v="0"/>
    <n v="0"/>
    <n v="0"/>
    <n v="4992012.841626931"/>
    <n v="1664004.2805423103"/>
    <n v="0"/>
    <n v="0"/>
    <n v="0"/>
    <n v="0"/>
    <n v="4992012.841626931"/>
    <n v="0"/>
    <n v="2.1505591321728823"/>
    <n v="2.1505591321728823"/>
    <n v="0"/>
    <n v="0"/>
    <n v="249600.64208134657"/>
    <n v="249600.64208134657"/>
    <n v="0"/>
  </r>
  <r>
    <x v="43"/>
    <x v="10"/>
    <n v="0"/>
    <n v="1"/>
    <x v="1"/>
    <s v="Vestdanmark"/>
    <n v="719809.07013594534"/>
    <n v="0"/>
    <n v="0"/>
    <n v="121875.54404868034"/>
    <n v="0"/>
    <n v="0"/>
    <n v="0"/>
    <n v="0"/>
    <n v="597933.526087265"/>
    <n v="0"/>
    <n v="0"/>
    <n v="0"/>
    <n v="0"/>
    <n v="0"/>
    <n v="0"/>
    <n v="0"/>
    <n v="0"/>
    <n v="0"/>
    <n v="0"/>
  </r>
  <r>
    <x v="44"/>
    <x v="6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</r>
  <r>
    <x v="47"/>
    <x v="10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</r>
  <r>
    <x v="0"/>
    <x v="10"/>
    <n v="0"/>
    <n v="1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</r>
  <r>
    <x v="1"/>
    <x v="10"/>
    <n v="0"/>
    <n v="1"/>
    <x v="2"/>
    <s v="Vestdanmark"/>
    <n v="1461503.2991938624"/>
    <n v="5548.5022247895331"/>
    <n v="0"/>
    <n v="0"/>
    <n v="0"/>
    <n v="0"/>
    <n v="0"/>
    <n v="0"/>
    <n v="1455954.7969690729"/>
    <n v="0"/>
    <n v="0"/>
    <n v="0"/>
    <n v="0"/>
    <n v="0"/>
    <n v="0"/>
    <n v="0"/>
    <n v="0"/>
    <n v="0"/>
    <n v="0"/>
  </r>
  <r>
    <x v="2"/>
    <x v="1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n v="0"/>
    <x v="2"/>
    <s v="Vestdanmark"/>
    <n v="154707932.21283442"/>
    <n v="0"/>
    <n v="0"/>
    <n v="0"/>
    <n v="0"/>
    <n v="0"/>
    <n v="154707932.21283442"/>
    <n v="0"/>
    <n v="0"/>
    <n v="0"/>
    <n v="154707932.21283442"/>
    <n v="0"/>
    <n v="0"/>
    <n v="0"/>
    <n v="0"/>
    <n v="0"/>
    <n v="0"/>
    <n v="0"/>
    <n v="0"/>
  </r>
  <r>
    <x v="4"/>
    <x v="10"/>
    <n v="0"/>
    <n v="0"/>
    <x v="2"/>
    <s v="Vestdanmark"/>
    <n v="4885897.4700810183"/>
    <n v="0"/>
    <n v="0"/>
    <n v="0"/>
    <n v="0"/>
    <n v="495509.77237359248"/>
    <n v="0"/>
    <n v="0"/>
    <n v="4390387.6977074258"/>
    <n v="0"/>
    <n v="0"/>
    <n v="0"/>
    <n v="0"/>
    <n v="0"/>
    <n v="0"/>
    <n v="0"/>
    <n v="0"/>
    <n v="0"/>
    <n v="0"/>
  </r>
  <r>
    <x v="5"/>
    <x v="1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2"/>
    <s v="Vestdanmark"/>
    <n v="396632.81426913757"/>
    <n v="0"/>
    <n v="0"/>
    <n v="0"/>
    <n v="356969.53284222382"/>
    <n v="15015.385111617346"/>
    <n v="0"/>
    <n v="0"/>
    <n v="24647.896315296413"/>
    <n v="24647.896315296413"/>
    <n v="356969.53284222382"/>
    <n v="5.3091568663148472E-2"/>
    <n v="0.82200394240529862"/>
    <n v="0.76891237374215016"/>
    <n v="5.3091568663148458E-2"/>
    <n v="7394.3688945889235"/>
    <n v="114485.22874725607"/>
    <n v="107090.85985266714"/>
    <n v="7394.3688945889298"/>
  </r>
  <r>
    <x v="7"/>
    <x v="10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2"/>
    <s v="Vestdanmark"/>
    <n v="5618.4151705662098"/>
    <n v="0"/>
    <n v="0"/>
    <n v="0"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</r>
  <r>
    <x v="9"/>
    <x v="10"/>
    <n v="0"/>
    <n v="1"/>
    <x v="2"/>
    <s v="Vestdanmark"/>
    <n v="6001.6248923716248"/>
    <n v="0"/>
    <n v="0"/>
    <n v="36670.799626981883"/>
    <n v="0"/>
    <n v="0"/>
    <n v="0"/>
    <n v="0"/>
    <n v="-30669.174734610257"/>
    <n v="0"/>
    <n v="0"/>
    <n v="0"/>
    <n v="0"/>
    <n v="0"/>
    <n v="0"/>
    <n v="0"/>
    <n v="0"/>
    <n v="0"/>
    <n v="0"/>
  </r>
  <r>
    <x v="10"/>
    <x v="10"/>
    <n v="0"/>
    <n v="0"/>
    <x v="2"/>
    <s v="Vestdanmark"/>
    <n v="5541.8750535368863"/>
    <n v="0"/>
    <n v="0"/>
    <n v="0"/>
    <n v="0"/>
    <n v="0"/>
    <n v="0"/>
    <n v="0"/>
    <n v="5541.8750535368863"/>
    <n v="0"/>
    <n v="0"/>
    <n v="0"/>
    <n v="0"/>
    <n v="0"/>
    <n v="0"/>
    <n v="0"/>
    <n v="0"/>
    <n v="0"/>
    <n v="0"/>
  </r>
  <r>
    <x v="11"/>
    <x v="10"/>
    <n v="0"/>
    <n v="1"/>
    <x v="2"/>
    <s v="Vestdanmark"/>
    <n v="1792737.3458964743"/>
    <n v="0"/>
    <n v="0"/>
    <n v="267978.92035102146"/>
    <n v="0"/>
    <n v="0"/>
    <n v="0"/>
    <n v="0"/>
    <n v="1524758.4255454529"/>
    <n v="0"/>
    <n v="0"/>
    <n v="0"/>
    <n v="0"/>
    <n v="0"/>
    <n v="0"/>
    <n v="0"/>
    <n v="0"/>
    <n v="0"/>
    <n v="0"/>
  </r>
  <r>
    <x v="12"/>
    <x v="3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2"/>
    <s v="Vestdanmark"/>
    <n v="27470991.955365088"/>
    <n v="1052751.2346229136"/>
    <n v="0"/>
    <n v="0"/>
    <n v="0"/>
    <n v="0"/>
    <n v="0"/>
    <n v="0"/>
    <n v="26418240.720742173"/>
    <n v="26418240.720742173"/>
    <n v="0"/>
    <n v="48.606260646075512"/>
    <n v="48.606260646075512"/>
    <n v="0"/>
    <n v="48.606260646075512"/>
    <n v="7397107.4018078092"/>
    <n v="7397107.4018078092"/>
    <n v="0"/>
    <n v="7397107.4018078092"/>
  </r>
  <r>
    <x v="14"/>
    <x v="10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Vestdanmark"/>
    <n v="3574924.4318902972"/>
    <n v="0"/>
    <n v="0"/>
    <n v="280672.65868343826"/>
    <n v="0"/>
    <n v="0"/>
    <n v="0"/>
    <n v="0"/>
    <n v="3294251.7732068589"/>
    <n v="0"/>
    <n v="0"/>
    <n v="0"/>
    <n v="0"/>
    <n v="0"/>
    <n v="0"/>
    <n v="0"/>
    <n v="0"/>
    <n v="0"/>
    <n v="0"/>
  </r>
  <r>
    <x v="16"/>
    <x v="5"/>
    <n v="1"/>
    <n v="0"/>
    <x v="2"/>
    <s v="Vestdanmark"/>
    <n v="1112034.6998953791"/>
    <n v="66504.964166574544"/>
    <n v="50454.584612926636"/>
    <n v="0"/>
    <n v="0"/>
    <n v="0"/>
    <n v="995075.1511158779"/>
    <n v="0"/>
    <n v="0"/>
    <n v="0"/>
    <n v="995075.1511158779"/>
    <n v="0"/>
    <n v="10.284904054818577"/>
    <n v="0"/>
    <n v="10.284904054818577"/>
    <n v="0"/>
    <n v="845813.87844849622"/>
    <n v="0"/>
    <n v="845813.87844849622"/>
  </r>
  <r>
    <x v="17"/>
    <x v="1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</r>
  <r>
    <x v="18"/>
    <x v="10"/>
    <n v="0"/>
    <n v="1"/>
    <x v="2"/>
    <s v="Vestdanmark"/>
    <n v="0"/>
    <n v="415367.04155021644"/>
    <n v="0"/>
    <n v="0"/>
    <n v="0"/>
    <n v="0"/>
    <n v="0"/>
    <n v="0"/>
    <n v="-415367.04155021644"/>
    <n v="0"/>
    <n v="0"/>
    <n v="0"/>
    <n v="0"/>
    <n v="0"/>
    <n v="0"/>
    <n v="0"/>
    <n v="0"/>
    <n v="0"/>
    <n v="0"/>
  </r>
  <r>
    <x v="19"/>
    <x v="1"/>
    <n v="1"/>
    <n v="0"/>
    <x v="2"/>
    <s v="Vestdanmark"/>
    <n v="214268.06810170741"/>
    <n v="0"/>
    <n v="0"/>
    <n v="0"/>
    <n v="0"/>
    <n v="0"/>
    <n v="0"/>
    <n v="0"/>
    <n v="214268.06810170741"/>
    <n v="214268.06810170741"/>
    <n v="0"/>
    <n v="0.92845139393355158"/>
    <n v="0.92845139393355158"/>
    <n v="0"/>
    <n v="0.92845139393355158"/>
    <n v="89992.588602717107"/>
    <n v="89992.588602717107"/>
    <n v="0"/>
    <n v="89992.588602717107"/>
  </r>
  <r>
    <x v="20"/>
    <x v="10"/>
    <n v="0"/>
    <n v="0"/>
    <x v="2"/>
    <s v="Vestdanmark"/>
    <n v="576432.67952835571"/>
    <n v="0"/>
    <n v="0"/>
    <n v="0"/>
    <n v="0"/>
    <n v="0"/>
    <n v="0"/>
    <n v="0"/>
    <n v="576432.67952835571"/>
    <n v="0"/>
    <n v="0"/>
    <n v="0"/>
    <n v="0"/>
    <n v="0"/>
    <n v="0"/>
    <n v="0"/>
    <n v="0"/>
    <n v="0"/>
    <n v="0"/>
  </r>
  <r>
    <x v="21"/>
    <x v="10"/>
    <n v="0"/>
    <n v="1"/>
    <x v="2"/>
    <s v="Vestdanmark"/>
    <n v="6540.3387577996864"/>
    <n v="0"/>
    <n v="0"/>
    <n v="128347.79869443661"/>
    <n v="0"/>
    <n v="0"/>
    <n v="0"/>
    <n v="0"/>
    <n v="-121807.45993663692"/>
    <n v="0"/>
    <n v="0"/>
    <n v="0"/>
    <n v="0"/>
    <n v="0"/>
    <n v="0"/>
    <n v="0"/>
    <n v="0"/>
    <n v="0"/>
    <n v="0"/>
  </r>
  <r>
    <x v="22"/>
    <x v="5"/>
    <n v="1"/>
    <n v="1"/>
    <x v="2"/>
    <s v="Vestdanmark"/>
    <n v="17585.624267945121"/>
    <n v="505761.3902957458"/>
    <n v="0"/>
    <n v="307470.55071854044"/>
    <n v="0"/>
    <n v="0"/>
    <n v="0"/>
    <n v="0"/>
    <n v="-795646.31674634118"/>
    <n v="0"/>
    <n v="0"/>
    <n v="0"/>
    <n v="0"/>
    <n v="0"/>
    <n v="0"/>
    <n v="0"/>
    <n v="0"/>
    <n v="0"/>
    <n v="0"/>
  </r>
  <r>
    <x v="23"/>
    <x v="10"/>
    <n v="0"/>
    <n v="0"/>
    <x v="2"/>
    <s v="Vestdanmark"/>
    <n v="0"/>
    <n v="0"/>
    <n v="0"/>
    <n v="0"/>
    <n v="0"/>
    <n v="3130893.6010473287"/>
    <n v="0"/>
    <n v="0"/>
    <n v="-3130893.6010473287"/>
    <n v="0"/>
    <n v="0"/>
    <n v="0"/>
    <n v="0"/>
    <n v="0"/>
    <n v="0"/>
    <n v="0"/>
    <n v="0"/>
    <n v="0"/>
    <n v="0"/>
  </r>
  <r>
    <x v="24"/>
    <x v="2"/>
    <n v="1"/>
    <n v="0"/>
    <x v="2"/>
    <s v="Vestdanmark"/>
    <n v="784839.05717902537"/>
    <n v="0"/>
    <n v="0"/>
    <n v="0"/>
    <n v="706355.15146112291"/>
    <n v="78483.905717902526"/>
    <n v="0"/>
    <n v="0"/>
    <n v="0"/>
    <n v="0"/>
    <n v="706355.15146112291"/>
    <n v="0"/>
    <n v="0.35754991411810583"/>
    <n v="0.35754991411810583"/>
    <n v="0"/>
    <n v="0"/>
    <n v="53682.991511045337"/>
    <n v="53682.991511045337"/>
    <n v="0"/>
  </r>
  <r>
    <x v="25"/>
    <x v="10"/>
    <n v="0"/>
    <n v="0"/>
    <x v="2"/>
    <s v="Vestdanmark"/>
    <n v="99775.251913510743"/>
    <n v="130389.80228255401"/>
    <n v="0"/>
    <n v="0"/>
    <n v="0"/>
    <n v="0"/>
    <n v="0"/>
    <n v="0"/>
    <n v="-30614.550369043267"/>
    <n v="0"/>
    <n v="0"/>
    <n v="0"/>
    <n v="0"/>
    <n v="0"/>
    <n v="0"/>
    <n v="0"/>
    <n v="0"/>
    <n v="0"/>
    <n v="0"/>
  </r>
  <r>
    <x v="26"/>
    <x v="4"/>
    <n v="1"/>
    <n v="1"/>
    <x v="2"/>
    <s v="Vestdanmark"/>
    <n v="24354.977510479563"/>
    <n v="486649.88263258187"/>
    <n v="0"/>
    <n v="0"/>
    <n v="0"/>
    <n v="0"/>
    <n v="0"/>
    <n v="0"/>
    <n v="-462294.9051221023"/>
    <n v="0"/>
    <n v="0"/>
    <n v="0"/>
    <n v="0"/>
    <n v="0"/>
    <n v="0"/>
    <n v="0"/>
    <n v="0"/>
    <n v="0"/>
    <n v="0"/>
  </r>
  <r>
    <x v="27"/>
    <x v="10"/>
    <n v="0"/>
    <n v="1"/>
    <x v="2"/>
    <s v="Vestdanmark"/>
    <n v="192514.45390067078"/>
    <n v="0"/>
    <n v="0"/>
    <n v="490824.54885344987"/>
    <n v="0"/>
    <n v="0"/>
    <n v="0"/>
    <n v="0"/>
    <n v="-298310.09495277912"/>
    <n v="0"/>
    <n v="0"/>
    <n v="0"/>
    <n v="0"/>
    <n v="0"/>
    <n v="0"/>
    <n v="0"/>
    <n v="0"/>
    <n v="0"/>
    <n v="0"/>
  </r>
  <r>
    <x v="28"/>
    <x v="6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2"/>
    <s v="Vestdanmark"/>
    <n v="3620.6587311595463"/>
    <n v="0"/>
    <n v="0"/>
    <n v="62368.567673274578"/>
    <n v="0"/>
    <n v="0"/>
    <n v="0"/>
    <n v="0"/>
    <n v="-58747.908942115035"/>
    <n v="0"/>
    <n v="0"/>
    <n v="0"/>
    <n v="0"/>
    <n v="0"/>
    <n v="0"/>
    <n v="0"/>
    <n v="0"/>
    <n v="0"/>
    <n v="0"/>
  </r>
  <r>
    <x v="30"/>
    <x v="10"/>
    <n v="0"/>
    <n v="1"/>
    <x v="2"/>
    <s v="Vestdanmark"/>
    <n v="4681.8686166152675"/>
    <n v="0"/>
    <n v="0"/>
    <n v="0"/>
    <n v="0"/>
    <n v="0"/>
    <n v="0"/>
    <n v="0"/>
    <n v="4681.8686166152675"/>
    <n v="0"/>
    <n v="0"/>
    <n v="0"/>
    <n v="0"/>
    <n v="0"/>
    <n v="0"/>
    <n v="0"/>
    <n v="0"/>
    <n v="0"/>
    <n v="0"/>
  </r>
  <r>
    <x v="31"/>
    <x v="7"/>
    <n v="1"/>
    <n v="0"/>
    <x v="2"/>
    <s v="Vestdanmark"/>
    <n v="109495.6819733945"/>
    <n v="0"/>
    <n v="0"/>
    <n v="0"/>
    <n v="0"/>
    <n v="0"/>
    <n v="109495.6819733945"/>
    <n v="0"/>
    <n v="0"/>
    <n v="0"/>
    <n v="109495.6819733945"/>
    <n v="0"/>
    <n v="2.0147205483104584"/>
    <n v="0"/>
    <n v="2.0147205483104584"/>
    <n v="0"/>
    <n v="45440.708018958721"/>
    <n v="0"/>
    <n v="45440.708018958721"/>
  </r>
  <r>
    <x v="32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Vestdanmark"/>
    <n v="299784.31365557079"/>
    <n v="0"/>
    <n v="0"/>
    <n v="0"/>
    <n v="0"/>
    <n v="0"/>
    <n v="0"/>
    <n v="0"/>
    <n v="299784.31365557079"/>
    <n v="0"/>
    <n v="0"/>
    <n v="0"/>
    <n v="0"/>
    <n v="0"/>
    <n v="0"/>
    <n v="0"/>
    <n v="0"/>
    <n v="0"/>
    <n v="0"/>
  </r>
  <r>
    <x v="35"/>
    <x v="10"/>
    <n v="0"/>
    <n v="0"/>
    <x v="2"/>
    <s v="Vestdanmark"/>
    <n v="996229.71876806754"/>
    <n v="0"/>
    <n v="0"/>
    <n v="0"/>
    <n v="0"/>
    <n v="0"/>
    <n v="0"/>
    <n v="996229.71876806754"/>
    <n v="0"/>
    <n v="0"/>
    <n v="0"/>
    <n v="0"/>
    <n v="0"/>
    <n v="0"/>
    <n v="0"/>
    <n v="0"/>
    <n v="0"/>
    <n v="0"/>
    <n v="0"/>
  </r>
  <r>
    <x v="36"/>
    <x v="10"/>
    <n v="0"/>
    <n v="0"/>
    <x v="2"/>
    <s v="Vestdanmark"/>
    <n v="498114.85938403377"/>
    <n v="18417.944885065255"/>
    <n v="0"/>
    <n v="0"/>
    <n v="0"/>
    <n v="0"/>
    <n v="0"/>
    <n v="0"/>
    <n v="479696.91449896852"/>
    <n v="0"/>
    <n v="0"/>
    <n v="0"/>
    <n v="0"/>
    <n v="0"/>
    <n v="0"/>
    <n v="0"/>
    <n v="0"/>
    <n v="0"/>
    <n v="0"/>
  </r>
  <r>
    <x v="37"/>
    <x v="9"/>
    <n v="1"/>
    <n v="1"/>
    <x v="2"/>
    <s v="Vestdanmark"/>
    <n v="318793.5100057816"/>
    <n v="0"/>
    <n v="0"/>
    <n v="0"/>
    <n v="0"/>
    <n v="0"/>
    <n v="318793.5100057816"/>
    <n v="0"/>
    <n v="0"/>
    <n v="0"/>
    <n v="318793.5100057816"/>
    <n v="0"/>
    <n v="11.157772850202354"/>
    <n v="0"/>
    <n v="11.157772850202354"/>
    <n v="0"/>
    <n v="0"/>
    <n v="0"/>
    <n v="0"/>
  </r>
  <r>
    <x v="38"/>
    <x v="4"/>
    <n v="1"/>
    <n v="1"/>
    <x v="2"/>
    <s v="Vestdanmark"/>
    <n v="328.27548713856038"/>
    <n v="72361.716514963497"/>
    <n v="0"/>
    <n v="0"/>
    <n v="0"/>
    <n v="0"/>
    <n v="0"/>
    <n v="0"/>
    <n v="-72033.441027824942"/>
    <n v="0"/>
    <n v="0"/>
    <n v="0"/>
    <n v="0"/>
    <n v="0"/>
    <n v="0"/>
    <n v="0"/>
    <n v="0"/>
    <n v="0"/>
    <n v="0"/>
  </r>
  <r>
    <x v="39"/>
    <x v="10"/>
    <n v="0"/>
    <n v="0"/>
    <x v="2"/>
    <s v="Vestdanmark"/>
    <n v="5271.9252933549069"/>
    <n v="0"/>
    <n v="0"/>
    <n v="0"/>
    <n v="0"/>
    <n v="0"/>
    <n v="0"/>
    <n v="0"/>
    <n v="5271.9252933549069"/>
    <n v="0"/>
    <n v="0"/>
    <n v="0"/>
    <n v="0"/>
    <n v="0"/>
    <n v="0"/>
    <n v="0"/>
    <n v="0"/>
    <n v="0"/>
    <n v="0"/>
  </r>
  <r>
    <x v="40"/>
    <x v="10"/>
    <n v="0"/>
    <n v="0"/>
    <x v="2"/>
    <s v="Vestdanmark"/>
    <n v="3160.1886401433912"/>
    <n v="3390.7513595936034"/>
    <n v="0"/>
    <n v="0"/>
    <n v="0"/>
    <n v="0"/>
    <n v="0"/>
    <n v="0"/>
    <n v="-230.56271945021217"/>
    <n v="0"/>
    <n v="0"/>
    <n v="0"/>
    <n v="0"/>
    <n v="0"/>
    <n v="0"/>
    <n v="0"/>
    <n v="0"/>
    <n v="0"/>
    <n v="0"/>
  </r>
  <r>
    <x v="41"/>
    <x v="1"/>
    <n v="1"/>
    <n v="0"/>
    <x v="2"/>
    <s v="Vestdanmark"/>
    <n v="4009828.1565030687"/>
    <n v="0"/>
    <n v="0"/>
    <n v="0"/>
    <n v="3608845.3408527621"/>
    <n v="0"/>
    <n v="0"/>
    <n v="0"/>
    <n v="400982.81565030664"/>
    <n v="400982.81565030664"/>
    <n v="3608845.3408527621"/>
    <n v="0.20009443483765954"/>
    <n v="2.0009443483765965"/>
    <n v="1.8008499135389371"/>
    <n v="0.20009443483765943"/>
    <n v="24058.968939018399"/>
    <n v="240589.68939018412"/>
    <n v="216530.72045116572"/>
    <n v="24058.968939018407"/>
  </r>
  <r>
    <x v="42"/>
    <x v="2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3"/>
    <x v="10"/>
    <n v="0"/>
    <n v="1"/>
    <x v="2"/>
    <s v="Vestdanmark"/>
    <n v="32835.498607746944"/>
    <n v="0"/>
    <n v="0"/>
    <n v="126627.09194270898"/>
    <n v="0"/>
    <n v="0"/>
    <n v="0"/>
    <n v="0"/>
    <n v="-93791.593334962032"/>
    <n v="0"/>
    <n v="0"/>
    <n v="0"/>
    <n v="0"/>
    <n v="0"/>
    <n v="0"/>
    <n v="0"/>
    <n v="0"/>
    <n v="0"/>
    <n v="0"/>
  </r>
  <r>
    <x v="44"/>
    <x v="6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</r>
  <r>
    <x v="47"/>
    <x v="10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</r>
  <r>
    <x v="0"/>
    <x v="0"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n v="1"/>
    <x v="1"/>
    <s v="Østdanmark"/>
    <n v="11522.620478108267"/>
    <n v="0"/>
    <n v="0"/>
    <n v="28209.340124628539"/>
    <n v="0"/>
    <n v="0"/>
    <n v="0"/>
    <n v="0"/>
    <n v="-16686.719646520272"/>
    <n v="0"/>
    <n v="0"/>
    <n v="0"/>
    <n v="0"/>
    <n v="0"/>
    <n v="0"/>
    <n v="0"/>
    <n v="0"/>
    <n v="0"/>
    <n v="0"/>
  </r>
  <r>
    <x v="1"/>
    <x v="10"/>
    <n v="0"/>
    <n v="1"/>
    <x v="1"/>
    <s v="Østdanmark"/>
    <n v="239056.41929509072"/>
    <n v="5329.6233117734955"/>
    <n v="0"/>
    <n v="0"/>
    <n v="0"/>
    <n v="0"/>
    <n v="0"/>
    <n v="0"/>
    <n v="233726.79598331722"/>
    <n v="0"/>
    <n v="0"/>
    <n v="0"/>
    <n v="0"/>
    <n v="0"/>
    <n v="0"/>
    <n v="0"/>
    <n v="0"/>
    <n v="0"/>
    <n v="0"/>
  </r>
  <r>
    <x v="2"/>
    <x v="1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n v="0"/>
    <x v="1"/>
    <s v="Østdanmark"/>
    <n v="93239749.064297408"/>
    <n v="0"/>
    <n v="0"/>
    <n v="0"/>
    <n v="0"/>
    <n v="0"/>
    <n v="93239749.064297408"/>
    <n v="0"/>
    <n v="0"/>
    <n v="0"/>
    <n v="93239749.064297408"/>
    <n v="0"/>
    <n v="0"/>
    <n v="0"/>
    <n v="0"/>
    <n v="0"/>
    <n v="0"/>
    <n v="0"/>
    <n v="0"/>
  </r>
  <r>
    <x v="4"/>
    <x v="10"/>
    <n v="0"/>
    <n v="0"/>
    <x v="1"/>
    <s v="Østdanmark"/>
    <n v="3926338.169828245"/>
    <n v="0"/>
    <n v="0"/>
    <n v="0"/>
    <n v="0"/>
    <n v="2691211.5260409825"/>
    <n v="0"/>
    <n v="0"/>
    <n v="1235126.6437872625"/>
    <n v="0"/>
    <n v="0"/>
    <n v="0"/>
    <n v="0"/>
    <n v="0"/>
    <n v="0"/>
    <n v="0"/>
    <n v="0"/>
    <n v="0"/>
    <n v="0"/>
  </r>
  <r>
    <x v="5"/>
    <x v="1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1"/>
    <s v="Østdanmark"/>
    <n v="342788.14875582355"/>
    <n v="0"/>
    <n v="0"/>
    <n v="0"/>
    <n v="257091.11156686768"/>
    <n v="32442.449792961874"/>
    <n v="0"/>
    <n v="0"/>
    <n v="53254.587395993993"/>
    <n v="53254.587395993993"/>
    <n v="257091.11156686768"/>
    <n v="0.11471038125097106"/>
    <n v="0.66848463556600413"/>
    <n v="0.55377425431503302"/>
    <n v="0.11471038125097111"/>
    <n v="15976.376218798197"/>
    <n v="93103.709688858493"/>
    <n v="77127.333470060301"/>
    <n v="15976.376218798192"/>
  </r>
  <r>
    <x v="7"/>
    <x v="10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1"/>
    <s v="Østdanmark"/>
    <n v="678.5291555114477"/>
    <n v="0"/>
    <n v="0"/>
    <n v="0"/>
    <n v="508.89686663358577"/>
    <n v="169.63228887786195"/>
    <n v="0"/>
    <n v="0"/>
    <n v="0"/>
    <n v="0"/>
    <n v="508.89686663358577"/>
    <n v="0"/>
    <n v="2.3932910740910907E-4"/>
    <n v="2.3932910740910907E-4"/>
    <n v="0"/>
    <n v="0"/>
    <n v="32.060502597915907"/>
    <n v="32.060502597915907"/>
    <n v="0"/>
  </r>
  <r>
    <x v="9"/>
    <x v="10"/>
    <n v="0"/>
    <n v="1"/>
    <x v="1"/>
    <s v="Østdanmark"/>
    <n v="8276.4182574830029"/>
    <n v="0"/>
    <n v="0"/>
    <n v="30560.118468347584"/>
    <n v="0"/>
    <n v="0"/>
    <n v="0"/>
    <n v="0"/>
    <n v="-22283.700210864583"/>
    <n v="0"/>
    <n v="0"/>
    <n v="0"/>
    <n v="0"/>
    <n v="0"/>
    <n v="0"/>
    <n v="0"/>
    <n v="0"/>
    <n v="0"/>
    <n v="0"/>
  </r>
  <r>
    <x v="10"/>
    <x v="10"/>
    <n v="0"/>
    <n v="0"/>
    <x v="1"/>
    <s v="Østdanmark"/>
    <n v="333442.78659773892"/>
    <n v="0"/>
    <n v="0"/>
    <n v="0"/>
    <n v="0"/>
    <n v="0"/>
    <n v="0"/>
    <n v="0"/>
    <n v="333442.78659773892"/>
    <n v="0"/>
    <n v="0"/>
    <n v="0"/>
    <n v="0"/>
    <n v="0"/>
    <n v="0"/>
    <n v="0"/>
    <n v="0"/>
    <n v="0"/>
    <n v="0"/>
  </r>
  <r>
    <x v="11"/>
    <x v="10"/>
    <n v="0"/>
    <n v="1"/>
    <x v="1"/>
    <s v="Østdanmark"/>
    <n v="9148.1169872791615"/>
    <n v="0"/>
    <n v="0"/>
    <n v="223323.94265330929"/>
    <n v="0"/>
    <n v="0"/>
    <n v="0"/>
    <n v="0"/>
    <n v="-214175.82566603014"/>
    <n v="0"/>
    <n v="0"/>
    <n v="0"/>
    <n v="0"/>
    <n v="0"/>
    <n v="0"/>
    <n v="0"/>
    <n v="0"/>
    <n v="0"/>
    <n v="0"/>
  </r>
  <r>
    <x v="12"/>
    <x v="3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1"/>
    <s v="Østdanmark"/>
    <n v="3398874.4701964208"/>
    <n v="1011222.0008630237"/>
    <n v="0"/>
    <n v="0"/>
    <n v="0"/>
    <n v="0"/>
    <n v="0"/>
    <n v="0"/>
    <n v="2387652.4693333972"/>
    <n v="2387652.4693333972"/>
    <n v="0"/>
    <n v="4.3929820870147847"/>
    <n v="4.3929820870147847"/>
    <n v="0"/>
    <n v="4.3929820870147847"/>
    <n v="668542.69141335133"/>
    <n v="668542.69141335133"/>
    <n v="0"/>
    <n v="668542.69141335133"/>
  </r>
  <r>
    <x v="14"/>
    <x v="10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Østdanmark"/>
    <n v="354031.79838602385"/>
    <n v="0"/>
    <n v="0"/>
    <n v="233902.44520004498"/>
    <n v="0"/>
    <n v="0"/>
    <n v="0"/>
    <n v="0"/>
    <n v="120129.35318597886"/>
    <n v="0"/>
    <n v="0"/>
    <n v="0"/>
    <n v="0"/>
    <n v="0"/>
    <n v="0"/>
    <n v="0"/>
    <n v="0"/>
    <n v="0"/>
    <n v="0"/>
  </r>
  <r>
    <x v="16"/>
    <x v="5"/>
    <n v="1"/>
    <n v="0"/>
    <x v="1"/>
    <s v="Østdanmark"/>
    <n v="739772.0117577652"/>
    <n v="63881.457195285089"/>
    <n v="66924.669018519271"/>
    <n v="0"/>
    <n v="0"/>
    <n v="0"/>
    <n v="608965.88554396096"/>
    <n v="0"/>
    <n v="0"/>
    <n v="0"/>
    <n v="608965.88554396096"/>
    <n v="0"/>
    <n v="6.2941534601218443"/>
    <n v="0"/>
    <n v="6.2941534601218443"/>
    <n v="0"/>
    <n v="517621.00271236681"/>
    <n v="0"/>
    <n v="517621.00271236681"/>
  </r>
  <r>
    <x v="17"/>
    <x v="1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</r>
  <r>
    <x v="18"/>
    <x v="10"/>
    <n v="0"/>
    <n v="1"/>
    <x v="1"/>
    <s v="Østdanmark"/>
    <n v="0"/>
    <n v="398981.52292304358"/>
    <n v="0"/>
    <n v="0"/>
    <n v="0"/>
    <n v="0"/>
    <n v="0"/>
    <n v="0"/>
    <n v="-398981.52292304358"/>
    <n v="0"/>
    <n v="0"/>
    <n v="0"/>
    <n v="0"/>
    <n v="0"/>
    <n v="0"/>
    <n v="0"/>
    <n v="0"/>
    <n v="0"/>
    <n v="0"/>
  </r>
  <r>
    <x v="19"/>
    <x v="1"/>
    <n v="1"/>
    <n v="0"/>
    <x v="1"/>
    <s v="Østdanmark"/>
    <n v="189258.59939962387"/>
    <n v="0"/>
    <n v="0"/>
    <n v="0"/>
    <n v="0"/>
    <n v="0"/>
    <n v="0"/>
    <n v="0"/>
    <n v="189258.59939962387"/>
    <n v="189258.59939962387"/>
    <n v="0"/>
    <n v="0.82008211481649229"/>
    <n v="0.82008211481649229"/>
    <n v="0"/>
    <n v="0.82008211481649229"/>
    <n v="79488.61174784202"/>
    <n v="79488.61174784202"/>
    <n v="0"/>
    <n v="79488.61174784202"/>
  </r>
  <r>
    <x v="20"/>
    <x v="10"/>
    <n v="0"/>
    <n v="0"/>
    <x v="1"/>
    <s v="Østdanmark"/>
    <n v="195942.26011419127"/>
    <n v="0"/>
    <n v="0"/>
    <n v="0"/>
    <n v="0"/>
    <n v="0"/>
    <n v="0"/>
    <n v="0"/>
    <n v="195942.26011419127"/>
    <n v="0"/>
    <n v="0"/>
    <n v="0"/>
    <n v="0"/>
    <n v="0"/>
    <n v="0"/>
    <n v="0"/>
    <n v="0"/>
    <n v="0"/>
    <n v="0"/>
  </r>
  <r>
    <x v="21"/>
    <x v="10"/>
    <n v="0"/>
    <n v="1"/>
    <x v="1"/>
    <s v="Østdanmark"/>
    <n v="474779.06798607635"/>
    <n v="0"/>
    <n v="0"/>
    <n v="106960.41463921656"/>
    <n v="0"/>
    <n v="0"/>
    <n v="0"/>
    <n v="0"/>
    <n v="367818.65334685979"/>
    <n v="0"/>
    <n v="0"/>
    <n v="0"/>
    <n v="0"/>
    <n v="0"/>
    <n v="0"/>
    <n v="0"/>
    <n v="0"/>
    <n v="0"/>
    <n v="0"/>
  </r>
  <r>
    <x v="22"/>
    <x v="5"/>
    <n v="1"/>
    <n v="1"/>
    <x v="1"/>
    <s v="Østdanmark"/>
    <n v="1526601.9040028804"/>
    <n v="485809.96937735338"/>
    <n v="0"/>
    <n v="256234.83946537593"/>
    <n v="0"/>
    <n v="0"/>
    <n v="0"/>
    <n v="0"/>
    <n v="784557.09516015113"/>
    <n v="784557.09516015113"/>
    <n v="0"/>
    <n v="2.6869982129301957"/>
    <n v="2.6869982129301957"/>
    <n v="0"/>
    <n v="2.6869982129301957"/>
    <n v="243212.69949964684"/>
    <n v="243212.69949964684"/>
    <n v="0"/>
    <n v="243212.69949964684"/>
  </r>
  <r>
    <x v="23"/>
    <x v="10"/>
    <n v="0"/>
    <n v="0"/>
    <x v="1"/>
    <s v="Østdanmark"/>
    <n v="0"/>
    <n v="0"/>
    <n v="0"/>
    <n v="0"/>
    <n v="0"/>
    <n v="486481.53306433168"/>
    <n v="0"/>
    <n v="0"/>
    <n v="-486481.53306433168"/>
    <n v="0"/>
    <n v="0"/>
    <n v="0"/>
    <n v="0"/>
    <n v="0"/>
    <n v="0"/>
    <n v="0"/>
    <n v="0"/>
    <n v="0"/>
    <n v="0"/>
  </r>
  <r>
    <x v="24"/>
    <x v="2"/>
    <n v="1"/>
    <n v="0"/>
    <x v="1"/>
    <s v="Østdanmark"/>
    <n v="544131.82132200396"/>
    <n v="0"/>
    <n v="0"/>
    <n v="0"/>
    <n v="408098.865991503"/>
    <n v="136032.95533050099"/>
    <n v="0"/>
    <n v="0"/>
    <n v="0"/>
    <n v="0"/>
    <n v="408098.865991503"/>
    <n v="0"/>
    <n v="0.20657556497623894"/>
    <n v="0.20657556497623894"/>
    <n v="0"/>
    <n v="0"/>
    <n v="31015.513815354228"/>
    <n v="31015.513815354228"/>
    <n v="0"/>
  </r>
  <r>
    <x v="25"/>
    <x v="10"/>
    <n v="0"/>
    <n v="0"/>
    <x v="1"/>
    <s v="Østdanmark"/>
    <n v="68227.353372786543"/>
    <n v="125246.14782667712"/>
    <n v="0"/>
    <n v="0"/>
    <n v="0"/>
    <n v="0"/>
    <n v="0"/>
    <n v="0"/>
    <n v="-57018.794453890572"/>
    <n v="0"/>
    <n v="0"/>
    <n v="0"/>
    <n v="0"/>
    <n v="0"/>
    <n v="0"/>
    <n v="0"/>
    <n v="0"/>
    <n v="0"/>
    <n v="0"/>
  </r>
  <r>
    <x v="26"/>
    <x v="4"/>
    <n v="1"/>
    <n v="1"/>
    <x v="1"/>
    <s v="Østdanmark"/>
    <n v="1317840.691777108"/>
    <n v="467452.37797013356"/>
    <n v="0"/>
    <n v="0"/>
    <n v="0"/>
    <n v="0"/>
    <n v="0"/>
    <n v="0"/>
    <n v="850388.31380697445"/>
    <n v="850388.31380697445"/>
    <n v="0"/>
    <n v="3.0528940465670384"/>
    <n v="3.0528940465670384"/>
    <n v="0"/>
    <n v="3.0528940465670384"/>
    <n v="255116.49414209233"/>
    <n v="255116.49414209233"/>
    <n v="0"/>
    <n v="255116.49414209233"/>
  </r>
  <r>
    <x v="27"/>
    <x v="10"/>
    <n v="0"/>
    <n v="1"/>
    <x v="1"/>
    <s v="Østdanmark"/>
    <n v="131643.38274019925"/>
    <n v="0"/>
    <n v="0"/>
    <n v="409035.43180711387"/>
    <n v="0"/>
    <n v="0"/>
    <n v="0"/>
    <n v="0"/>
    <n v="-277392.04906691459"/>
    <n v="0"/>
    <n v="0"/>
    <n v="0"/>
    <n v="0"/>
    <n v="0"/>
    <n v="0"/>
    <n v="0"/>
    <n v="0"/>
    <n v="0"/>
    <n v="0"/>
  </r>
  <r>
    <x v="28"/>
    <x v="6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1"/>
    <s v="Østdanmark"/>
    <n v="3992.121653443267"/>
    <n v="0"/>
    <n v="0"/>
    <n v="51975.70917962808"/>
    <n v="0"/>
    <n v="0"/>
    <n v="0"/>
    <n v="0"/>
    <n v="-47983.587526184812"/>
    <n v="0"/>
    <n v="0"/>
    <n v="0"/>
    <n v="0"/>
    <n v="0"/>
    <n v="0"/>
    <n v="0"/>
    <n v="0"/>
    <n v="0"/>
    <n v="0"/>
  </r>
  <r>
    <x v="30"/>
    <x v="10"/>
    <n v="0"/>
    <n v="1"/>
    <x v="1"/>
    <s v="Østdanmark"/>
    <n v="432468.49177549983"/>
    <n v="0"/>
    <n v="0"/>
    <n v="0"/>
    <n v="0"/>
    <n v="0"/>
    <n v="0"/>
    <n v="0"/>
    <n v="432468.49177549983"/>
    <n v="0"/>
    <n v="0"/>
    <n v="0"/>
    <n v="0"/>
    <n v="0"/>
    <n v="0"/>
    <n v="0"/>
    <n v="0"/>
    <n v="0"/>
    <n v="0"/>
  </r>
  <r>
    <x v="31"/>
    <x v="7"/>
    <n v="1"/>
    <n v="0"/>
    <x v="1"/>
    <s v="Østdanmark"/>
    <n v="40786.879237447567"/>
    <n v="0"/>
    <n v="0"/>
    <n v="0"/>
    <n v="0"/>
    <n v="0"/>
    <n v="40786.879237447567"/>
    <n v="0"/>
    <n v="0"/>
    <n v="0"/>
    <n v="40786.879237447567"/>
    <n v="0"/>
    <n v="0.75047857796903505"/>
    <n v="0"/>
    <n v="0.75047857796903505"/>
    <n v="0"/>
    <n v="16926.554883540743"/>
    <n v="0"/>
    <n v="16926.554883540743"/>
  </r>
  <r>
    <x v="32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Østdanmark"/>
    <n v="204995.62678254952"/>
    <n v="0"/>
    <n v="0"/>
    <n v="0"/>
    <n v="0"/>
    <n v="0"/>
    <n v="0"/>
    <n v="0"/>
    <n v="204995.62678254952"/>
    <n v="0"/>
    <n v="0"/>
    <n v="0"/>
    <n v="0"/>
    <n v="0"/>
    <n v="0"/>
    <n v="0"/>
    <n v="0"/>
    <n v="0"/>
    <n v="0"/>
  </r>
  <r>
    <x v="35"/>
    <x v="10"/>
    <n v="0"/>
    <n v="0"/>
    <x v="1"/>
    <s v="Østdanmark"/>
    <n v="148274.85806676943"/>
    <n v="0"/>
    <n v="0"/>
    <n v="0"/>
    <n v="0"/>
    <n v="0"/>
    <n v="0"/>
    <n v="148274.85806676943"/>
    <n v="0"/>
    <n v="0"/>
    <n v="0"/>
    <n v="0"/>
    <n v="0"/>
    <n v="0"/>
    <n v="0"/>
    <n v="0"/>
    <n v="0"/>
    <n v="0"/>
    <n v="0"/>
  </r>
  <r>
    <x v="36"/>
    <x v="10"/>
    <n v="0"/>
    <n v="0"/>
    <x v="1"/>
    <s v="Østdanmark"/>
    <n v="74137.429033384717"/>
    <n v="17691.388493248127"/>
    <n v="0"/>
    <n v="0"/>
    <n v="0"/>
    <n v="0"/>
    <n v="0"/>
    <n v="0"/>
    <n v="56446.040540136586"/>
    <n v="0"/>
    <n v="0"/>
    <n v="0"/>
    <n v="0"/>
    <n v="0"/>
    <n v="0"/>
    <n v="0"/>
    <n v="0"/>
    <n v="0"/>
    <n v="0"/>
  </r>
  <r>
    <x v="37"/>
    <x v="9"/>
    <n v="1"/>
    <n v="1"/>
    <x v="1"/>
    <s v="Østdanmark"/>
    <n v="47447.954581366219"/>
    <n v="0"/>
    <n v="0"/>
    <n v="0"/>
    <n v="0"/>
    <n v="0"/>
    <n v="47447.954581366219"/>
    <n v="0"/>
    <n v="0"/>
    <n v="0"/>
    <n v="47447.954581366219"/>
    <n v="0"/>
    <n v="1.6606784103478176"/>
    <n v="0"/>
    <n v="1.6606784103478176"/>
    <n v="0"/>
    <n v="0"/>
    <n v="0"/>
    <n v="0"/>
  </r>
  <r>
    <x v="38"/>
    <x v="4"/>
    <n v="1"/>
    <n v="1"/>
    <x v="1"/>
    <s v="Østdanmark"/>
    <n v="568748.18023765879"/>
    <n v="69507.170691045991"/>
    <n v="0"/>
    <n v="0"/>
    <n v="0"/>
    <n v="0"/>
    <n v="0"/>
    <n v="0"/>
    <n v="499241.0095466128"/>
    <n v="499241.0095466128"/>
    <n v="0"/>
    <n v="1.3549600695498889"/>
    <n v="1.3549600695498889"/>
    <n v="0"/>
    <n v="1.3549600695498889"/>
    <n v="99848.201909322568"/>
    <n v="99848.201909322568"/>
    <n v="0"/>
    <n v="99848.201909322568"/>
  </r>
  <r>
    <x v="39"/>
    <x v="10"/>
    <n v="0"/>
    <n v="0"/>
    <x v="1"/>
    <s v="Østdanmark"/>
    <n v="11804.917672589359"/>
    <n v="0"/>
    <n v="0"/>
    <n v="0"/>
    <n v="0"/>
    <n v="0"/>
    <n v="0"/>
    <n v="0"/>
    <n v="11804.917672589359"/>
    <n v="0"/>
    <n v="0"/>
    <n v="0"/>
    <n v="0"/>
    <n v="0"/>
    <n v="0"/>
    <n v="0"/>
    <n v="0"/>
    <n v="0"/>
    <n v="0"/>
  </r>
  <r>
    <x v="40"/>
    <x v="10"/>
    <n v="0"/>
    <n v="0"/>
    <x v="1"/>
    <s v="Østdanmark"/>
    <n v="9557.2932196157453"/>
    <n v="3256.9920238615805"/>
    <n v="0"/>
    <n v="0"/>
    <n v="0"/>
    <n v="0"/>
    <n v="0"/>
    <n v="0"/>
    <n v="6300.3011957541648"/>
    <n v="0"/>
    <n v="0"/>
    <n v="0"/>
    <n v="0"/>
    <n v="0"/>
    <n v="0"/>
    <n v="0"/>
    <n v="0"/>
    <n v="0"/>
    <n v="0"/>
  </r>
  <r>
    <x v="41"/>
    <x v="1"/>
    <n v="1"/>
    <n v="0"/>
    <x v="1"/>
    <s v="Østdanmark"/>
    <n v="3340524.9539653622"/>
    <n v="0"/>
    <n v="0"/>
    <n v="0"/>
    <n v="2505393.7154740216"/>
    <n v="0"/>
    <n v="0"/>
    <n v="0"/>
    <n v="835131.23849134054"/>
    <n v="835131.23849134054"/>
    <n v="2505393.7154740216"/>
    <n v="0.4167388393195639"/>
    <n v="1.6669553572782556"/>
    <n v="1.2502165179586917"/>
    <n v="0.4167388393195639"/>
    <n v="50107.87430948043"/>
    <n v="200431.49723792172"/>
    <n v="150323.6229284413"/>
    <n v="50107.874309480423"/>
  </r>
  <r>
    <x v="42"/>
    <x v="2"/>
    <n v="1"/>
    <n v="0"/>
    <x v="1"/>
    <s v="Østdanmark"/>
    <n v="964437.67916622036"/>
    <n v="0"/>
    <n v="0"/>
    <n v="0"/>
    <n v="723328.25937466533"/>
    <n v="241109.41979155506"/>
    <n v="0"/>
    <n v="0"/>
    <n v="0"/>
    <n v="0"/>
    <n v="723328.25937466533"/>
    <n v="0"/>
    <n v="0.31160981413860589"/>
    <n v="0.31160981413860589"/>
    <n v="0"/>
    <n v="0"/>
    <n v="36166.412968733268"/>
    <n v="36166.412968733268"/>
    <n v="0"/>
  </r>
  <r>
    <x v="43"/>
    <x v="10"/>
    <n v="0"/>
    <n v="1"/>
    <x v="1"/>
    <s v="Østdanmark"/>
    <n v="104298.25769715841"/>
    <n v="0"/>
    <n v="0"/>
    <n v="105526.43984954793"/>
    <n v="0"/>
    <n v="0"/>
    <n v="0"/>
    <n v="0"/>
    <n v="-1228.1821523895196"/>
    <n v="0"/>
    <n v="0"/>
    <n v="0"/>
    <n v="0"/>
    <n v="0"/>
    <n v="0"/>
    <n v="0"/>
    <n v="0"/>
    <n v="0"/>
    <n v="0"/>
  </r>
  <r>
    <x v="44"/>
    <x v="6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</r>
  <r>
    <x v="47"/>
    <x v="10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</r>
  <r>
    <x v="0"/>
    <x v="10"/>
    <n v="0"/>
    <n v="1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</r>
  <r>
    <x v="1"/>
    <x v="10"/>
    <n v="0"/>
    <n v="1"/>
    <x v="2"/>
    <s v="Østdanmark"/>
    <n v="457930.53874458285"/>
    <n v="625.99887183421856"/>
    <n v="0"/>
    <n v="0"/>
    <n v="0"/>
    <n v="0"/>
    <n v="0"/>
    <n v="0"/>
    <n v="457304.53987274866"/>
    <n v="0"/>
    <n v="0"/>
    <n v="0"/>
    <n v="0"/>
    <n v="0"/>
    <n v="0"/>
    <n v="0"/>
    <n v="0"/>
    <n v="0"/>
    <n v="0"/>
  </r>
  <r>
    <x v="2"/>
    <x v="1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n v="0"/>
    <x v="2"/>
    <s v="Østdanmark"/>
    <n v="81094605.554408431"/>
    <n v="0"/>
    <n v="0"/>
    <n v="0"/>
    <n v="0"/>
    <n v="0"/>
    <n v="81094605.554408431"/>
    <n v="0"/>
    <n v="0"/>
    <n v="0"/>
    <n v="81094605.554408431"/>
    <n v="0"/>
    <n v="0"/>
    <n v="0"/>
    <n v="0"/>
    <n v="0"/>
    <n v="0"/>
    <n v="0"/>
    <n v="0"/>
  </r>
  <r>
    <x v="4"/>
    <x v="10"/>
    <n v="0"/>
    <n v="0"/>
    <x v="2"/>
    <s v="Østdanmark"/>
    <n v="3428084.2294498845"/>
    <n v="0"/>
    <n v="0"/>
    <n v="0"/>
    <n v="0"/>
    <n v="347663.70899388671"/>
    <n v="0"/>
    <n v="0"/>
    <n v="3080420.5204559979"/>
    <n v="0"/>
    <n v="0"/>
    <n v="0"/>
    <n v="0"/>
    <n v="0"/>
    <n v="0"/>
    <n v="0"/>
    <n v="0"/>
    <n v="0"/>
    <n v="0"/>
  </r>
  <r>
    <x v="5"/>
    <x v="1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2"/>
    <s v="Østdanmark"/>
    <n v="55702.787923842719"/>
    <n v="0"/>
    <n v="0"/>
    <n v="0"/>
    <n v="50132.50913145845"/>
    <n v="2108.7483999740452"/>
    <n v="0"/>
    <n v="0"/>
    <n v="3461.5303924102263"/>
    <n v="3461.5303924102263"/>
    <n v="50132.50913145845"/>
    <n v="7.4561364652516275E-3"/>
    <n v="0.11544156113441313"/>
    <n v="0.1079854246691615"/>
    <n v="7.456136465251631E-3"/>
    <n v="1038.4591177230679"/>
    <n v="16078.211857160602"/>
    <n v="15039.752739437534"/>
    <n v="1038.4591177230686"/>
  </r>
  <r>
    <x v="7"/>
    <x v="10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2"/>
    <s v="Østdanmark"/>
    <n v="471.55151143904124"/>
    <n v="0"/>
    <n v="0"/>
    <n v="0"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</r>
  <r>
    <x v="9"/>
    <x v="10"/>
    <n v="0"/>
    <n v="1"/>
    <x v="2"/>
    <s v="Østdanmark"/>
    <n v="503.71416194271836"/>
    <n v="0"/>
    <n v="0"/>
    <n v="31993.002188443785"/>
    <n v="0"/>
    <n v="0"/>
    <n v="0"/>
    <n v="0"/>
    <n v="-31489.288026501068"/>
    <n v="0"/>
    <n v="0"/>
    <n v="0"/>
    <n v="0"/>
    <n v="0"/>
    <n v="0"/>
    <n v="0"/>
    <n v="0"/>
    <n v="0"/>
    <n v="0"/>
  </r>
  <r>
    <x v="10"/>
    <x v="10"/>
    <n v="0"/>
    <n v="0"/>
    <x v="2"/>
    <s v="Østdanmark"/>
    <n v="2414.435527469192"/>
    <n v="0"/>
    <n v="0"/>
    <n v="0"/>
    <n v="0"/>
    <n v="0"/>
    <n v="0"/>
    <n v="0"/>
    <n v="2414.435527469192"/>
    <n v="0"/>
    <n v="0"/>
    <n v="0"/>
    <n v="0"/>
    <n v="0"/>
    <n v="0"/>
    <n v="0"/>
    <n v="0"/>
    <n v="0"/>
    <n v="0"/>
  </r>
  <r>
    <x v="11"/>
    <x v="10"/>
    <n v="0"/>
    <n v="1"/>
    <x v="2"/>
    <s v="Østdanmark"/>
    <n v="561970.05809562234"/>
    <n v="0"/>
    <n v="0"/>
    <n v="233795.01599247381"/>
    <n v="0"/>
    <n v="0"/>
    <n v="0"/>
    <n v="0"/>
    <n v="328175.04210314853"/>
    <n v="0"/>
    <n v="0"/>
    <n v="0"/>
    <n v="0"/>
    <n v="0"/>
    <n v="0"/>
    <n v="0"/>
    <n v="0"/>
    <n v="0"/>
    <n v="0"/>
  </r>
  <r>
    <x v="12"/>
    <x v="3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2"/>
    <s v="Østdanmark"/>
    <n v="8580695.4718173929"/>
    <n v="118774.59150176747"/>
    <n v="0"/>
    <n v="0"/>
    <n v="0"/>
    <n v="0"/>
    <n v="0"/>
    <n v="0"/>
    <n v="8461920.880315626"/>
    <n v="8461920.880315626"/>
    <n v="0"/>
    <n v="15.568876679670714"/>
    <n v="15.568876679670714"/>
    <n v="0"/>
    <n v="15.568876679670714"/>
    <n v="2369337.8464883757"/>
    <n v="2369337.8464883757"/>
    <n v="0"/>
    <n v="2369337.8464883757"/>
  </r>
  <r>
    <x v="14"/>
    <x v="10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Østdanmark"/>
    <n v="1120623.182681245"/>
    <n v="0"/>
    <n v="0"/>
    <n v="244869.51675001203"/>
    <n v="0"/>
    <n v="0"/>
    <n v="0"/>
    <n v="0"/>
    <n v="875753.66593123297"/>
    <n v="0"/>
    <n v="0"/>
    <n v="0"/>
    <n v="0"/>
    <n v="0"/>
    <n v="0"/>
    <n v="0"/>
    <n v="0"/>
    <n v="0"/>
    <n v="0"/>
  </r>
  <r>
    <x v="16"/>
    <x v="5"/>
    <n v="1"/>
    <n v="0"/>
    <x v="2"/>
    <s v="Østdanmark"/>
    <n v="347850.99679471884"/>
    <n v="7503.2920332351478"/>
    <n v="6747.0089475501663"/>
    <n v="0"/>
    <n v="0"/>
    <n v="0"/>
    <n v="333600.69581393356"/>
    <n v="0"/>
    <n v="0"/>
    <n v="0"/>
    <n v="333600.69581393356"/>
    <n v="0"/>
    <n v="3.4480321865332897"/>
    <n v="0"/>
    <n v="3.4480321865332897"/>
    <n v="0"/>
    <n v="283560.59144184354"/>
    <n v="0"/>
    <n v="283560.59144184354"/>
  </r>
  <r>
    <x v="17"/>
    <x v="1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</r>
  <r>
    <x v="18"/>
    <x v="10"/>
    <n v="0"/>
    <n v="1"/>
    <x v="2"/>
    <s v="Østdanmark"/>
    <n v="0"/>
    <n v="46862.971099811642"/>
    <n v="0"/>
    <n v="0"/>
    <n v="0"/>
    <n v="0"/>
    <n v="0"/>
    <n v="0"/>
    <n v="-46862.971099811642"/>
    <n v="0"/>
    <n v="0"/>
    <n v="0"/>
    <n v="0"/>
    <n v="0"/>
    <n v="0"/>
    <n v="0"/>
    <n v="0"/>
    <n v="0"/>
    <n v="0"/>
  </r>
  <r>
    <x v="19"/>
    <x v="1"/>
    <n v="1"/>
    <n v="0"/>
    <x v="2"/>
    <s v="Østdanmark"/>
    <n v="168100.3533838705"/>
    <n v="0"/>
    <n v="0"/>
    <n v="0"/>
    <n v="0"/>
    <n v="0"/>
    <n v="0"/>
    <n v="0"/>
    <n v="168100.3533838705"/>
    <n v="168100.3533838705"/>
    <n v="0"/>
    <n v="0.72840068425825089"/>
    <n v="0.72840068425825089"/>
    <n v="0"/>
    <n v="0.72840068425825089"/>
    <n v="70602.148421225604"/>
    <n v="70602.148421225604"/>
    <n v="0"/>
    <n v="70602.148421225604"/>
  </r>
  <r>
    <x v="20"/>
    <x v="10"/>
    <n v="0"/>
    <n v="0"/>
    <x v="2"/>
    <s v="Østdanmark"/>
    <n v="180250.24074269188"/>
    <n v="0"/>
    <n v="0"/>
    <n v="0"/>
    <n v="0"/>
    <n v="0"/>
    <n v="0"/>
    <n v="0"/>
    <n v="180250.24074269188"/>
    <n v="0"/>
    <n v="0"/>
    <n v="0"/>
    <n v="0"/>
    <n v="0"/>
    <n v="0"/>
    <n v="0"/>
    <n v="0"/>
    <n v="0"/>
    <n v="0"/>
  </r>
  <r>
    <x v="21"/>
    <x v="10"/>
    <n v="0"/>
    <n v="1"/>
    <x v="2"/>
    <s v="Østdanmark"/>
    <n v="215.4481017361189"/>
    <n v="0"/>
    <n v="0"/>
    <n v="111975.50765955324"/>
    <n v="0"/>
    <n v="0"/>
    <n v="0"/>
    <n v="0"/>
    <n v="-111760.05955781712"/>
    <n v="0"/>
    <n v="0"/>
    <n v="0"/>
    <n v="0"/>
    <n v="0"/>
    <n v="0"/>
    <n v="0"/>
    <n v="0"/>
    <n v="0"/>
    <n v="0"/>
  </r>
  <r>
    <x v="22"/>
    <x v="5"/>
    <n v="1"/>
    <n v="1"/>
    <x v="2"/>
    <s v="Østdanmark"/>
    <n v="3503.8972601034743"/>
    <n v="57061.536053444106"/>
    <n v="0"/>
    <n v="268249.01834925939"/>
    <n v="0"/>
    <n v="0"/>
    <n v="0"/>
    <n v="0"/>
    <n v="-321806.65714259999"/>
    <n v="0"/>
    <n v="0"/>
    <n v="0"/>
    <n v="0"/>
    <n v="0"/>
    <n v="0"/>
    <n v="0"/>
    <n v="0"/>
    <n v="0"/>
    <n v="0"/>
  </r>
  <r>
    <x v="23"/>
    <x v="10"/>
    <n v="0"/>
    <n v="0"/>
    <x v="2"/>
    <s v="Østdanmark"/>
    <n v="0"/>
    <n v="0"/>
    <n v="0"/>
    <n v="0"/>
    <n v="0"/>
    <n v="973432.69438373833"/>
    <n v="0"/>
    <n v="0"/>
    <n v="-973432.69438373833"/>
    <n v="0"/>
    <n v="0"/>
    <n v="0"/>
    <n v="0"/>
    <n v="0"/>
    <n v="0"/>
    <n v="0"/>
    <n v="0"/>
    <n v="0"/>
    <n v="0"/>
  </r>
  <r>
    <x v="24"/>
    <x v="2"/>
    <n v="1"/>
    <n v="0"/>
    <x v="2"/>
    <s v="Østdanmark"/>
    <n v="55781.658851427252"/>
    <n v="0"/>
    <n v="0"/>
    <n v="0"/>
    <n v="50203.492966284524"/>
    <n v="5578.1658851427237"/>
    <n v="0"/>
    <n v="0"/>
    <n v="0"/>
    <n v="0"/>
    <n v="50203.492966284524"/>
    <n v="0"/>
    <n v="2.5412506104603567E-2"/>
    <n v="2.5412506104603567E-2"/>
    <n v="0"/>
    <n v="0"/>
    <n v="3815.4654654376236"/>
    <n v="3815.4654654376236"/>
    <n v="0"/>
  </r>
  <r>
    <x v="25"/>
    <x v="10"/>
    <n v="0"/>
    <n v="0"/>
    <x v="2"/>
    <s v="Østdanmark"/>
    <n v="7091.4272335775522"/>
    <n v="14710.973488104135"/>
    <n v="0"/>
    <n v="0"/>
    <n v="0"/>
    <n v="0"/>
    <n v="0"/>
    <n v="0"/>
    <n v="-7619.5462545265827"/>
    <n v="0"/>
    <n v="0"/>
    <n v="0"/>
    <n v="0"/>
    <n v="0"/>
    <n v="0"/>
    <n v="0"/>
    <n v="0"/>
    <n v="0"/>
    <n v="0"/>
  </r>
  <r>
    <x v="26"/>
    <x v="4"/>
    <n v="1"/>
    <n v="1"/>
    <x v="2"/>
    <s v="Østdanmark"/>
    <n v="705.63788017957472"/>
    <n v="54905.31771712625"/>
    <n v="0"/>
    <n v="0"/>
    <n v="0"/>
    <n v="0"/>
    <n v="0"/>
    <n v="0"/>
    <n v="-54199.679836946678"/>
    <n v="0"/>
    <n v="0"/>
    <n v="0"/>
    <n v="0"/>
    <n v="0"/>
    <n v="0"/>
    <n v="0"/>
    <n v="0"/>
    <n v="0"/>
    <n v="0"/>
  </r>
  <r>
    <x v="27"/>
    <x v="10"/>
    <n v="0"/>
    <n v="1"/>
    <x v="2"/>
    <s v="Østdanmark"/>
    <n v="13682.774185646154"/>
    <n v="0"/>
    <n v="0"/>
    <n v="428214.02929147833"/>
    <n v="0"/>
    <n v="0"/>
    <n v="0"/>
    <n v="0"/>
    <n v="-414531.25510583218"/>
    <n v="0"/>
    <n v="0"/>
    <n v="0"/>
    <n v="0"/>
    <n v="0"/>
    <n v="0"/>
    <n v="0"/>
    <n v="0"/>
    <n v="0"/>
    <n v="0"/>
  </r>
  <r>
    <x v="28"/>
    <x v="6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2"/>
    <s v="Østdanmark"/>
    <n v="257.33473418730972"/>
    <n v="0"/>
    <n v="0"/>
    <n v="54412.71372203785"/>
    <n v="0"/>
    <n v="0"/>
    <n v="0"/>
    <n v="0"/>
    <n v="-54155.378987850541"/>
    <n v="0"/>
    <n v="0"/>
    <n v="0"/>
    <n v="0"/>
    <n v="0"/>
    <n v="0"/>
    <n v="0"/>
    <n v="0"/>
    <n v="0"/>
    <n v="0"/>
  </r>
  <r>
    <x v="30"/>
    <x v="10"/>
    <n v="0"/>
    <n v="1"/>
    <x v="2"/>
    <s v="Østdanmark"/>
    <n v="693.49185876962724"/>
    <n v="0"/>
    <n v="0"/>
    <n v="0"/>
    <n v="0"/>
    <n v="0"/>
    <n v="0"/>
    <n v="0"/>
    <n v="693.49185876962724"/>
    <n v="0"/>
    <n v="0"/>
    <n v="0"/>
    <n v="0"/>
    <n v="0"/>
    <n v="0"/>
    <n v="0"/>
    <n v="0"/>
    <n v="0"/>
    <n v="0"/>
  </r>
  <r>
    <x v="31"/>
    <x v="7"/>
    <n v="1"/>
    <n v="0"/>
    <x v="2"/>
    <s v="Østdanmark"/>
    <n v="34028.264724407527"/>
    <n v="0"/>
    <n v="0"/>
    <n v="0"/>
    <n v="0"/>
    <n v="0"/>
    <n v="34028.264724407527"/>
    <n v="0"/>
    <n v="0"/>
    <n v="0"/>
    <n v="34028.264724407527"/>
    <n v="0"/>
    <n v="0.62612007092909838"/>
    <n v="0"/>
    <n v="0.62612007092909838"/>
    <n v="0"/>
    <n v="14121.729860629124"/>
    <n v="0"/>
    <n v="14121.729860629124"/>
  </r>
  <r>
    <x v="32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Østdanmark"/>
    <n v="21306.873250485853"/>
    <n v="0"/>
    <n v="0"/>
    <n v="0"/>
    <n v="0"/>
    <n v="0"/>
    <n v="0"/>
    <n v="0"/>
    <n v="21306.873250485853"/>
    <n v="0"/>
    <n v="0"/>
    <n v="0"/>
    <n v="0"/>
    <n v="0"/>
    <n v="0"/>
    <n v="0"/>
    <n v="0"/>
    <n v="0"/>
    <n v="0"/>
  </r>
  <r>
    <x v="35"/>
    <x v="10"/>
    <n v="0"/>
    <n v="0"/>
    <x v="2"/>
    <s v="Østdanmark"/>
    <n v="312210.60748691915"/>
    <n v="0"/>
    <n v="0"/>
    <n v="0"/>
    <n v="0"/>
    <n v="0"/>
    <n v="0"/>
    <n v="312210.60748691915"/>
    <n v="0"/>
    <n v="0"/>
    <n v="0"/>
    <n v="0"/>
    <n v="0"/>
    <n v="0"/>
    <n v="0"/>
    <n v="0"/>
    <n v="0"/>
    <n v="0"/>
    <n v="0"/>
  </r>
  <r>
    <x v="36"/>
    <x v="10"/>
    <n v="0"/>
    <n v="0"/>
    <x v="2"/>
    <s v="Østdanmark"/>
    <n v="156105.30374345958"/>
    <n v="2077.9684773385866"/>
    <n v="0"/>
    <n v="0"/>
    <n v="0"/>
    <n v="0"/>
    <n v="0"/>
    <n v="0"/>
    <n v="154027.33526612099"/>
    <n v="0"/>
    <n v="0"/>
    <n v="0"/>
    <n v="0"/>
    <n v="0"/>
    <n v="0"/>
    <n v="0"/>
    <n v="0"/>
    <n v="0"/>
    <n v="0"/>
  </r>
  <r>
    <x v="37"/>
    <x v="9"/>
    <n v="1"/>
    <n v="1"/>
    <x v="2"/>
    <s v="Østdanmark"/>
    <n v="99907.394395814132"/>
    <n v="0"/>
    <n v="0"/>
    <n v="0"/>
    <n v="0"/>
    <n v="0"/>
    <n v="99907.394395814132"/>
    <n v="0"/>
    <n v="0"/>
    <n v="0"/>
    <n v="99907.394395814132"/>
    <n v="0"/>
    <n v="3.4967588038534942"/>
    <n v="0"/>
    <n v="3.4967588038534942"/>
    <n v="0"/>
    <n v="0"/>
    <n v="0"/>
    <n v="0"/>
  </r>
  <r>
    <x v="38"/>
    <x v="4"/>
    <n v="1"/>
    <n v="1"/>
    <x v="2"/>
    <s v="Østdanmark"/>
    <n v="1151.564385499476"/>
    <n v="8164.068620171267"/>
    <n v="0"/>
    <n v="0"/>
    <n v="0"/>
    <n v="0"/>
    <n v="0"/>
    <n v="0"/>
    <n v="-7012.504234671791"/>
    <n v="0"/>
    <n v="0"/>
    <n v="0"/>
    <n v="0"/>
    <n v="0"/>
    <n v="0"/>
    <n v="0"/>
    <n v="0"/>
    <n v="0"/>
    <n v="0"/>
  </r>
  <r>
    <x v="39"/>
    <x v="10"/>
    <n v="0"/>
    <n v="0"/>
    <x v="2"/>
    <s v="Østdanmark"/>
    <n v="588.00501905544718"/>
    <n v="0"/>
    <n v="0"/>
    <n v="0"/>
    <n v="0"/>
    <n v="0"/>
    <n v="0"/>
    <n v="0"/>
    <n v="588.00501905544718"/>
    <n v="0"/>
    <n v="0"/>
    <n v="0"/>
    <n v="0"/>
    <n v="0"/>
    <n v="0"/>
    <n v="0"/>
    <n v="0"/>
    <n v="0"/>
    <n v="0"/>
  </r>
  <r>
    <x v="40"/>
    <x v="10"/>
    <n v="0"/>
    <n v="0"/>
    <x v="2"/>
    <s v="Østdanmark"/>
    <n v="440.79056937463145"/>
    <n v="382.55486612091136"/>
    <n v="0"/>
    <n v="0"/>
    <n v="0"/>
    <n v="0"/>
    <n v="0"/>
    <n v="0"/>
    <n v="58.235703253720089"/>
    <n v="0"/>
    <n v="0"/>
    <n v="0"/>
    <n v="0"/>
    <n v="0"/>
    <n v="0"/>
    <n v="0"/>
    <n v="0"/>
    <n v="0"/>
    <n v="0"/>
  </r>
  <r>
    <x v="41"/>
    <x v="1"/>
    <n v="1"/>
    <n v="0"/>
    <x v="2"/>
    <s v="Østdanmark"/>
    <n v="3492320.8870792342"/>
    <n v="0"/>
    <n v="0"/>
    <n v="0"/>
    <n v="3143088.7983713108"/>
    <n v="0"/>
    <n v="0"/>
    <n v="0"/>
    <n v="349232.08870792342"/>
    <n v="349232.08870792342"/>
    <n v="3143088.7983713108"/>
    <n v="0.1742703045861409"/>
    <n v="1.742703045861409"/>
    <n v="1.5684327412752681"/>
    <n v="0.1742703045861409"/>
    <n v="20953.925322475403"/>
    <n v="209539.25322475404"/>
    <n v="188585.32790227863"/>
    <n v="20953.925322475407"/>
  </r>
  <r>
    <x v="42"/>
    <x v="2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3"/>
    <x v="10"/>
    <n v="0"/>
    <n v="1"/>
    <x v="2"/>
    <s v="Østdanmark"/>
    <n v="4757.7690216638703"/>
    <n v="0"/>
    <n v="0"/>
    <n v="110474.29755686472"/>
    <n v="0"/>
    <n v="0"/>
    <n v="0"/>
    <n v="0"/>
    <n v="-105716.52853520085"/>
    <n v="0"/>
    <n v="0"/>
    <n v="0"/>
    <n v="0"/>
    <n v="0"/>
    <n v="0"/>
    <n v="0"/>
    <n v="0"/>
    <n v="0"/>
    <n v="0"/>
  </r>
  <r>
    <x v="44"/>
    <x v="6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</r>
  <r>
    <x v="47"/>
    <x v="10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6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8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7">
  <location ref="A4:T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19">
    <i>
      <x/>
    </i>
    <i>
      <x v="2"/>
    </i>
    <i>
      <x v="5"/>
    </i>
    <i>
      <x v="8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22"/>
    </i>
    <i>
      <x v="24"/>
    </i>
    <i>
      <x v="25"/>
    </i>
    <i>
      <x v="32"/>
    </i>
    <i>
      <x v="37"/>
    </i>
    <i>
      <x v="39"/>
    </i>
    <i t="grand">
      <x/>
    </i>
  </colItems>
  <pageFields count="1">
    <pageField fld="25" item="1" hier="-1"/>
  </pageFields>
  <dataFields count="1">
    <dataField name="Sum of Import" fld="26" baseField="0" baseItem="0" numFmtId="3"/>
  </dataFields>
  <formats count="1">
    <format dxfId="10">
      <pivotArea outline="0" collapsedLevelsAreSubtotals="1" fieldPosition="0"/>
    </format>
  </formats>
  <chartFormats count="135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6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6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6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6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4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4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4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6" format="5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5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6" format="5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6" format="5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6" format="5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6" format="5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86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AC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7"/>
    </i>
    <i>
      <x v="40"/>
    </i>
    <i>
      <x v="41"/>
    </i>
    <i>
      <x v="44"/>
    </i>
    <i t="grand">
      <x/>
    </i>
  </colItems>
  <pageFields count="1">
    <pageField fld="26" item="1" hier="-1"/>
  </pageFields>
  <dataFields count="1">
    <dataField name="Sum of Produktion minus forbrug [ton]" fld="14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95" dataOnRows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3:K14" firstHeaderRow="1" firstDataRow="2" firstDataCol="1"/>
  <pivotFields count="25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4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20" baseField="0" baseItem="0"/>
    <dataField name="Sum of Biogasproduktion [PJ]" fld="19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9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I6" firstHeaderRow="1" firstDataRow="2" firstDataCol="1"/>
  <pivotFields count="25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2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9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7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9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6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9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6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6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76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ic-curis.ku.dk/portal/files/209323723/IFRO_Udredning_2016_30.pdf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E25"/>
  <sheetViews>
    <sheetView zoomScale="80" zoomScaleNormal="80" workbookViewId="0">
      <selection activeCell="B2" sqref="B2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5" ht="21" x14ac:dyDescent="0.35">
      <c r="A1" s="407" t="s">
        <v>269</v>
      </c>
      <c r="B1" s="407"/>
      <c r="D1" s="73" t="s">
        <v>282</v>
      </c>
    </row>
    <row r="2" spans="1:5" x14ac:dyDescent="0.25">
      <c r="A2" s="6" t="s">
        <v>0</v>
      </c>
      <c r="B2" s="201" t="s">
        <v>336</v>
      </c>
    </row>
    <row r="4" spans="1:5" ht="30" customHeight="1" thickBot="1" x14ac:dyDescent="0.3">
      <c r="A4" s="406" t="s">
        <v>268</v>
      </c>
      <c r="B4" s="406"/>
      <c r="D4" s="73"/>
    </row>
    <row r="5" spans="1:5" ht="15.75" thickTop="1" x14ac:dyDescent="0.25">
      <c r="A5" s="233" t="s">
        <v>85</v>
      </c>
      <c r="B5" s="232" t="s">
        <v>302</v>
      </c>
      <c r="D5" s="189" t="s">
        <v>43</v>
      </c>
      <c r="E5" s="190"/>
    </row>
    <row r="6" spans="1:5" x14ac:dyDescent="0.25">
      <c r="A6" s="184" t="s">
        <v>83</v>
      </c>
      <c r="B6" s="185" t="s">
        <v>256</v>
      </c>
      <c r="D6" s="191" t="str" cm="1">
        <f t="array" ref="D6">[1]!Jordbund1</f>
        <v>JB1-10</v>
      </c>
      <c r="E6" s="192" t="s">
        <v>44</v>
      </c>
    </row>
    <row r="7" spans="1:5" x14ac:dyDescent="0.25">
      <c r="A7" s="184"/>
      <c r="B7" s="185" t="s">
        <v>2</v>
      </c>
      <c r="D7" s="191" t="str" cm="1">
        <f t="array" ref="D7">[1]!Organ6</f>
        <v>OC6</v>
      </c>
      <c r="E7" s="192" t="s">
        <v>45</v>
      </c>
    </row>
    <row r="8" spans="1:5" x14ac:dyDescent="0.25">
      <c r="A8" s="199" t="s">
        <v>91</v>
      </c>
      <c r="B8" s="185" t="s">
        <v>257</v>
      </c>
      <c r="D8" s="191" t="str" cm="1">
        <f t="array" ref="D8">[1]!Organ12</f>
        <v>OC12</v>
      </c>
      <c r="E8" s="192" t="s">
        <v>46</v>
      </c>
    </row>
    <row r="9" spans="1:5" x14ac:dyDescent="0.25">
      <c r="A9" s="184" t="s">
        <v>92</v>
      </c>
      <c r="B9" s="185" t="s">
        <v>258</v>
      </c>
      <c r="D9" s="191"/>
      <c r="E9" s="192"/>
    </row>
    <row r="10" spans="1:5" x14ac:dyDescent="0.25">
      <c r="A10" s="184"/>
      <c r="B10" s="185"/>
      <c r="D10" s="193" t="s">
        <v>47</v>
      </c>
      <c r="E10" s="192"/>
    </row>
    <row r="11" spans="1:5" x14ac:dyDescent="0.25">
      <c r="A11" s="199" t="s">
        <v>68</v>
      </c>
      <c r="B11" s="200" t="s">
        <v>259</v>
      </c>
      <c r="D11" s="191" t="str" cm="1">
        <f t="array" ref="D11">[1]!Bebyg</f>
        <v>Bebyggelse &amp; infrastruktur</v>
      </c>
      <c r="E11" s="192"/>
    </row>
    <row r="12" spans="1:5" x14ac:dyDescent="0.25">
      <c r="A12" s="184" t="s">
        <v>253</v>
      </c>
      <c r="B12" s="185" t="s">
        <v>260</v>
      </c>
      <c r="D12" s="191" t="str" cm="1">
        <f t="array" ref="D12">[1]!Afgrøder</f>
        <v>Landbrugsafgrøder</v>
      </c>
      <c r="E12" s="192"/>
    </row>
    <row r="13" spans="1:5" x14ac:dyDescent="0.25">
      <c r="A13" s="184"/>
      <c r="B13" s="185"/>
      <c r="D13" s="191" t="str" cm="1">
        <f t="array" ref="D13">[1]!SkovAreal</f>
        <v>Skov</v>
      </c>
      <c r="E13" s="192"/>
    </row>
    <row r="14" spans="1:5" x14ac:dyDescent="0.25">
      <c r="A14" s="199" t="s">
        <v>69</v>
      </c>
      <c r="B14" s="200" t="s">
        <v>261</v>
      </c>
      <c r="D14" s="191" t="str" cm="1">
        <f t="array" ref="D14">[1]!NaturAreal</f>
        <v>Natur</v>
      </c>
      <c r="E14" s="192"/>
    </row>
    <row r="15" spans="1:5" x14ac:dyDescent="0.25">
      <c r="A15" s="184" t="s">
        <v>70</v>
      </c>
      <c r="B15" s="185" t="s">
        <v>262</v>
      </c>
      <c r="D15" s="191" t="str" cm="1">
        <f t="array" ref="D15">[1]!IKareal</f>
        <v>Ikke klassificeret</v>
      </c>
      <c r="E15" s="192"/>
    </row>
    <row r="16" spans="1:5" x14ac:dyDescent="0.25">
      <c r="A16" s="184" t="s">
        <v>71</v>
      </c>
      <c r="B16" s="185"/>
      <c r="D16" s="194"/>
      <c r="E16" s="192"/>
    </row>
    <row r="17" spans="1:5" x14ac:dyDescent="0.25">
      <c r="A17" s="184" t="s">
        <v>72</v>
      </c>
      <c r="B17" s="200" t="s">
        <v>266</v>
      </c>
      <c r="D17" s="195" t="s">
        <v>93</v>
      </c>
      <c r="E17" s="192"/>
    </row>
    <row r="18" spans="1:5" x14ac:dyDescent="0.25">
      <c r="A18" s="184" t="s">
        <v>73</v>
      </c>
      <c r="B18" s="408" t="s">
        <v>270</v>
      </c>
      <c r="D18" s="191" cm="1">
        <f t="array" ref="D18">[1]!År1</f>
        <v>2019</v>
      </c>
      <c r="E18" s="192"/>
    </row>
    <row r="19" spans="1:5" x14ac:dyDescent="0.25">
      <c r="A19" s="184" t="s">
        <v>254</v>
      </c>
      <c r="B19" s="408"/>
      <c r="D19" s="191" cm="1">
        <f t="array" ref="D19">[1]!År2</f>
        <v>2030</v>
      </c>
      <c r="E19" s="192"/>
    </row>
    <row r="20" spans="1:5" ht="15.75" thickBot="1" x14ac:dyDescent="0.3">
      <c r="A20" s="184" t="s">
        <v>255</v>
      </c>
      <c r="B20" s="185"/>
      <c r="D20" s="196" cm="1">
        <f t="array" ref="D20">[1]!År3</f>
        <v>2050</v>
      </c>
      <c r="E20" s="197"/>
    </row>
    <row r="21" spans="1:5" ht="15.75" thickTop="1" x14ac:dyDescent="0.25">
      <c r="A21" s="184" t="s">
        <v>74</v>
      </c>
      <c r="B21" s="185"/>
    </row>
    <row r="22" spans="1:5" x14ac:dyDescent="0.25">
      <c r="A22" s="184"/>
      <c r="B22" s="185"/>
    </row>
    <row r="23" spans="1:5" x14ac:dyDescent="0.25">
      <c r="A23" s="234" t="s">
        <v>303</v>
      </c>
      <c r="B23" s="185"/>
    </row>
    <row r="24" spans="1:5" ht="15.75" thickBot="1" x14ac:dyDescent="0.3">
      <c r="A24" s="186" t="s">
        <v>1</v>
      </c>
      <c r="B24" s="187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zoomScale="55" zoomScaleNormal="55" workbookViewId="0">
      <selection activeCell="B12" sqref="B1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31" t="s">
        <v>296</v>
      </c>
      <c r="B1" s="230"/>
      <c r="C1" s="409" t="s">
        <v>295</v>
      </c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/>
      <c r="Q1" s="409"/>
      <c r="R1" s="409"/>
    </row>
    <row r="2" spans="1:18" ht="15" customHeight="1" x14ac:dyDescent="0.25">
      <c r="A2" s="230"/>
      <c r="B2" s="230"/>
      <c r="C2" s="409"/>
      <c r="D2" s="409"/>
      <c r="E2" s="409"/>
      <c r="F2" s="409"/>
      <c r="G2" s="409"/>
      <c r="H2" s="409"/>
      <c r="I2" s="409"/>
      <c r="J2" s="409"/>
      <c r="K2" s="409"/>
      <c r="L2" s="409"/>
      <c r="M2" s="409"/>
      <c r="N2" s="409"/>
      <c r="O2" s="409"/>
      <c r="P2" s="409"/>
      <c r="Q2" s="409"/>
      <c r="R2" s="409"/>
    </row>
    <row r="3" spans="1:18" x14ac:dyDescent="0.25">
      <c r="A3" s="73"/>
    </row>
    <row r="34" spans="16:20" ht="15.75" x14ac:dyDescent="0.25">
      <c r="P34" s="318" t="s">
        <v>93</v>
      </c>
      <c r="Q34" s="318" t="s">
        <v>333</v>
      </c>
      <c r="R34" s="318" t="s">
        <v>334</v>
      </c>
    </row>
    <row r="35" spans="16:20" ht="15.75" x14ac:dyDescent="0.25">
      <c r="P35" s="318">
        <v>1990</v>
      </c>
      <c r="Q35" s="389">
        <v>20000000</v>
      </c>
      <c r="R35" s="319"/>
    </row>
    <row r="36" spans="16:20" ht="15.75" x14ac:dyDescent="0.25">
      <c r="P36" s="318">
        <f>År1</f>
        <v>2019</v>
      </c>
      <c r="Q36" s="390">
        <f>GETPIVOTDATA("Total",'CO2-pivot'!$A$1,"År",P36,"Sted2","CO2 - atmosfære")</f>
        <v>13910380.018766819</v>
      </c>
      <c r="R36" s="319">
        <f>1-Q36/$Q$35</f>
        <v>0.30448099906165904</v>
      </c>
    </row>
    <row r="37" spans="16:20" ht="15.75" x14ac:dyDescent="0.25">
      <c r="P37" s="318">
        <f>År2</f>
        <v>2030</v>
      </c>
      <c r="Q37" s="390">
        <f>GETPIVOTDATA("Total",'CO2-pivot'!$A$1,"År",P37,"Sted2","CO2 - atmosfære")</f>
        <v>9752909.8767487388</v>
      </c>
      <c r="R37" s="319">
        <f t="shared" ref="R37:R38" si="0">1-Q37/$Q$35</f>
        <v>0.51235450616256306</v>
      </c>
      <c r="T37" s="387"/>
    </row>
    <row r="38" spans="16:20" ht="15.75" x14ac:dyDescent="0.25">
      <c r="P38" s="318">
        <f>År3</f>
        <v>2050</v>
      </c>
      <c r="Q38" s="390">
        <f>GETPIVOTDATA("Total",'CO2-pivot'!$A$1,"År",P38,"Sted2","CO2 - atmosfære")</f>
        <v>633807.98066069442</v>
      </c>
      <c r="R38" s="319">
        <f t="shared" si="0"/>
        <v>0.96830960096696528</v>
      </c>
    </row>
    <row r="123" spans="3:3" x14ac:dyDescent="0.25">
      <c r="C123" s="163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335</v>
      </c>
    </row>
    <row r="2" spans="1:1" x14ac:dyDescent="0.25">
      <c r="A2" s="101">
        <v>2019</v>
      </c>
    </row>
    <row r="3" spans="1:1" x14ac:dyDescent="0.25">
      <c r="A3" s="348">
        <v>2030</v>
      </c>
    </row>
    <row r="4" spans="1:1" x14ac:dyDescent="0.25">
      <c r="A4" s="341">
        <v>2050</v>
      </c>
    </row>
    <row r="5" spans="1:1" x14ac:dyDescent="0.25">
      <c r="A5" s="331" t="s">
        <v>15</v>
      </c>
    </row>
    <row r="6" spans="1:1" x14ac:dyDescent="0.25">
      <c r="A6" s="349" t="s">
        <v>49</v>
      </c>
    </row>
    <row r="7" spans="1:1" x14ac:dyDescent="0.25">
      <c r="A7" s="347" t="s">
        <v>182</v>
      </c>
    </row>
    <row r="8" spans="1:1" x14ac:dyDescent="0.25">
      <c r="A8" s="342" t="s">
        <v>32</v>
      </c>
    </row>
    <row r="9" spans="1:1" x14ac:dyDescent="0.25">
      <c r="A9" s="329" t="s">
        <v>102</v>
      </c>
    </row>
    <row r="10" spans="1:1" x14ac:dyDescent="0.25">
      <c r="A10" s="350" t="s">
        <v>109</v>
      </c>
    </row>
    <row r="11" spans="1:1" x14ac:dyDescent="0.25">
      <c r="A11" s="343" t="s">
        <v>261</v>
      </c>
    </row>
    <row r="12" spans="1:1" x14ac:dyDescent="0.25">
      <c r="A12" s="351" t="s">
        <v>110</v>
      </c>
    </row>
    <row r="13" spans="1:1" x14ac:dyDescent="0.25">
      <c r="A13" s="329" t="s">
        <v>230</v>
      </c>
    </row>
    <row r="14" spans="1:1" x14ac:dyDescent="0.25">
      <c r="A14" s="352" t="s">
        <v>208</v>
      </c>
    </row>
    <row r="15" spans="1:1" x14ac:dyDescent="0.25">
      <c r="A15" s="334" t="s">
        <v>111</v>
      </c>
    </row>
    <row r="16" spans="1:1" x14ac:dyDescent="0.25">
      <c r="A16" s="353" t="s">
        <v>101</v>
      </c>
    </row>
    <row r="17" spans="1:1" x14ac:dyDescent="0.25">
      <c r="A17" s="354" t="s">
        <v>204</v>
      </c>
    </row>
    <row r="18" spans="1:1" x14ac:dyDescent="0.25">
      <c r="A18" s="355" t="s">
        <v>19</v>
      </c>
    </row>
    <row r="19" spans="1:1" x14ac:dyDescent="0.25">
      <c r="A19" s="97" t="s">
        <v>137</v>
      </c>
    </row>
    <row r="20" spans="1:1" x14ac:dyDescent="0.25">
      <c r="A20" s="371" t="s">
        <v>96</v>
      </c>
    </row>
    <row r="21" spans="1:1" x14ac:dyDescent="0.25">
      <c r="A21" s="385" t="s">
        <v>113</v>
      </c>
    </row>
    <row r="22" spans="1:1" x14ac:dyDescent="0.25">
      <c r="A22" s="386" t="s">
        <v>54</v>
      </c>
    </row>
    <row r="23" spans="1:1" x14ac:dyDescent="0.25">
      <c r="A23" s="328" t="s">
        <v>158</v>
      </c>
    </row>
    <row r="24" spans="1:1" x14ac:dyDescent="0.25">
      <c r="A24" s="344" t="s">
        <v>51</v>
      </c>
    </row>
    <row r="25" spans="1:1" x14ac:dyDescent="0.25">
      <c r="A25" s="344" t="s">
        <v>224</v>
      </c>
    </row>
    <row r="26" spans="1:1" x14ac:dyDescent="0.25">
      <c r="A26" s="332" t="s">
        <v>203</v>
      </c>
    </row>
    <row r="27" spans="1:1" x14ac:dyDescent="0.25">
      <c r="A27" s="383" t="s">
        <v>6</v>
      </c>
    </row>
    <row r="28" spans="1:1" x14ac:dyDescent="0.25">
      <c r="A28" s="327" t="s">
        <v>67</v>
      </c>
    </row>
    <row r="29" spans="1:1" x14ac:dyDescent="0.25">
      <c r="A29" s="327" t="s">
        <v>227</v>
      </c>
    </row>
    <row r="30" spans="1:1" x14ac:dyDescent="0.25">
      <c r="A30" s="333" t="s">
        <v>200</v>
      </c>
    </row>
    <row r="31" spans="1:1" x14ac:dyDescent="0.25">
      <c r="A31" s="326" t="s">
        <v>226</v>
      </c>
    </row>
    <row r="32" spans="1:1" x14ac:dyDescent="0.25">
      <c r="A32" s="384" t="s">
        <v>162</v>
      </c>
    </row>
    <row r="33" spans="1:1" x14ac:dyDescent="0.25">
      <c r="A33" s="335" t="s">
        <v>193</v>
      </c>
    </row>
    <row r="34" spans="1:1" x14ac:dyDescent="0.25">
      <c r="A34" s="330" t="s">
        <v>222</v>
      </c>
    </row>
    <row r="35" spans="1:1" x14ac:dyDescent="0.25">
      <c r="A35" s="339" t="s">
        <v>11</v>
      </c>
    </row>
    <row r="36" spans="1:1" x14ac:dyDescent="0.25">
      <c r="A36" s="370" t="s">
        <v>159</v>
      </c>
    </row>
    <row r="37" spans="1:1" x14ac:dyDescent="0.25">
      <c r="A37" s="324" t="s">
        <v>103</v>
      </c>
    </row>
    <row r="38" spans="1:1" x14ac:dyDescent="0.25">
      <c r="A38" s="379" t="s">
        <v>56</v>
      </c>
    </row>
    <row r="39" spans="1:1" x14ac:dyDescent="0.25">
      <c r="A39" s="380" t="s">
        <v>12</v>
      </c>
    </row>
    <row r="40" spans="1:1" x14ac:dyDescent="0.25">
      <c r="A40" s="381" t="s">
        <v>48</v>
      </c>
    </row>
    <row r="41" spans="1:1" x14ac:dyDescent="0.25">
      <c r="A41" s="358" t="s">
        <v>115</v>
      </c>
    </row>
    <row r="42" spans="1:1" x14ac:dyDescent="0.25">
      <c r="A42" s="356" t="s">
        <v>136</v>
      </c>
    </row>
    <row r="43" spans="1:1" x14ac:dyDescent="0.25">
      <c r="A43" s="341" t="s">
        <v>9</v>
      </c>
    </row>
    <row r="44" spans="1:1" x14ac:dyDescent="0.25">
      <c r="A44" s="382" t="s">
        <v>108</v>
      </c>
    </row>
    <row r="45" spans="1:1" x14ac:dyDescent="0.25">
      <c r="A45" s="378" t="s">
        <v>53</v>
      </c>
    </row>
    <row r="46" spans="1:1" x14ac:dyDescent="0.25">
      <c r="A46" s="341" t="s">
        <v>194</v>
      </c>
    </row>
    <row r="47" spans="1:1" x14ac:dyDescent="0.25">
      <c r="A47" s="377" t="s">
        <v>116</v>
      </c>
    </row>
    <row r="48" spans="1:1" x14ac:dyDescent="0.25">
      <c r="A48" s="376" t="s">
        <v>106</v>
      </c>
    </row>
    <row r="49" spans="1:1" x14ac:dyDescent="0.25">
      <c r="A49" s="340" t="s">
        <v>33</v>
      </c>
    </row>
    <row r="50" spans="1:1" x14ac:dyDescent="0.25">
      <c r="A50" s="372" t="s">
        <v>14</v>
      </c>
    </row>
    <row r="51" spans="1:1" x14ac:dyDescent="0.25">
      <c r="A51" s="373" t="s">
        <v>55</v>
      </c>
    </row>
    <row r="52" spans="1:1" x14ac:dyDescent="0.25">
      <c r="A52" s="374" t="s">
        <v>38</v>
      </c>
    </row>
    <row r="53" spans="1:1" x14ac:dyDescent="0.25">
      <c r="A53" s="375" t="s">
        <v>95</v>
      </c>
    </row>
    <row r="54" spans="1:1" x14ac:dyDescent="0.25">
      <c r="A54" s="323" t="s">
        <v>306</v>
      </c>
    </row>
    <row r="55" spans="1:1" x14ac:dyDescent="0.25">
      <c r="A55" s="358" t="s">
        <v>307</v>
      </c>
    </row>
    <row r="56" spans="1:1" x14ac:dyDescent="0.25">
      <c r="A56" s="338" t="s">
        <v>310</v>
      </c>
    </row>
    <row r="57" spans="1:1" x14ac:dyDescent="0.25">
      <c r="A57" s="323" t="s">
        <v>312</v>
      </c>
    </row>
    <row r="58" spans="1:1" x14ac:dyDescent="0.25">
      <c r="A58" s="359" t="s">
        <v>117</v>
      </c>
    </row>
    <row r="59" spans="1:1" x14ac:dyDescent="0.25">
      <c r="A59" s="361" t="s">
        <v>50</v>
      </c>
    </row>
    <row r="60" spans="1:1" x14ac:dyDescent="0.25">
      <c r="A60" s="362" t="s">
        <v>238</v>
      </c>
    </row>
    <row r="61" spans="1:1" x14ac:dyDescent="0.25">
      <c r="A61" s="363" t="s">
        <v>231</v>
      </c>
    </row>
    <row r="62" spans="1:1" x14ac:dyDescent="0.25">
      <c r="A62" s="364" t="s">
        <v>52</v>
      </c>
    </row>
    <row r="63" spans="1:1" x14ac:dyDescent="0.25">
      <c r="A63" s="336" t="s">
        <v>10</v>
      </c>
    </row>
    <row r="64" spans="1:1" x14ac:dyDescent="0.25">
      <c r="A64" s="100" t="s">
        <v>176</v>
      </c>
    </row>
    <row r="65" spans="1:8" x14ac:dyDescent="0.25">
      <c r="A65" s="346" t="s">
        <v>177</v>
      </c>
    </row>
    <row r="66" spans="1:8" x14ac:dyDescent="0.25">
      <c r="A66" s="341" t="s">
        <v>178</v>
      </c>
    </row>
    <row r="67" spans="1:8" x14ac:dyDescent="0.25">
      <c r="A67" s="336" t="s">
        <v>179</v>
      </c>
    </row>
    <row r="68" spans="1:8" x14ac:dyDescent="0.25">
      <c r="A68" s="340" t="s">
        <v>180</v>
      </c>
    </row>
    <row r="69" spans="1:8" x14ac:dyDescent="0.25">
      <c r="A69" s="365" t="s">
        <v>121</v>
      </c>
    </row>
    <row r="70" spans="1:8" x14ac:dyDescent="0.25">
      <c r="A70" s="366" t="s">
        <v>107</v>
      </c>
    </row>
    <row r="71" spans="1:8" x14ac:dyDescent="0.25">
      <c r="A71" s="367" t="s">
        <v>140</v>
      </c>
    </row>
    <row r="72" spans="1:8" x14ac:dyDescent="0.25">
      <c r="A72" s="357" t="s">
        <v>135</v>
      </c>
    </row>
    <row r="73" spans="1:8" x14ac:dyDescent="0.25">
      <c r="A73" s="368" t="s">
        <v>13</v>
      </c>
    </row>
    <row r="74" spans="1:8" x14ac:dyDescent="0.25">
      <c r="A74" s="360" t="s">
        <v>99</v>
      </c>
      <c r="H74" s="345" t="s">
        <v>104</v>
      </c>
    </row>
    <row r="75" spans="1:8" x14ac:dyDescent="0.25">
      <c r="A75" s="369" t="s">
        <v>119</v>
      </c>
    </row>
    <row r="76" spans="1:8" x14ac:dyDescent="0.25">
      <c r="A76" s="325" t="s">
        <v>118</v>
      </c>
    </row>
    <row r="77" spans="1:8" x14ac:dyDescent="0.25">
      <c r="A77" s="337" t="s">
        <v>332</v>
      </c>
    </row>
    <row r="78" spans="1:8" x14ac:dyDescent="0.25">
      <c r="A78" s="325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C3" sqref="C3:E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07" t="s">
        <v>271</v>
      </c>
      <c r="B1" s="73" t="s">
        <v>297</v>
      </c>
    </row>
    <row r="2" spans="1:22" ht="42.95" customHeight="1" x14ac:dyDescent="0.25">
      <c r="A2" s="202" t="s">
        <v>281</v>
      </c>
      <c r="B2" s="24" t="s">
        <v>65</v>
      </c>
      <c r="C2" s="24">
        <f>År2</f>
        <v>2030</v>
      </c>
      <c r="D2" s="24">
        <f>År3</f>
        <v>2050</v>
      </c>
      <c r="E2" s="24" t="s">
        <v>39</v>
      </c>
      <c r="F2" s="24" t="s">
        <v>34</v>
      </c>
      <c r="G2" s="24" t="s">
        <v>35</v>
      </c>
      <c r="J2" s="6" t="s">
        <v>304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/>
      <c r="C3" s="9">
        <f>D3/($D$2-2023)*($C$2-2023)</f>
        <v>20282.370370370369</v>
      </c>
      <c r="D3" s="21">
        <f>L6</f>
        <v>78232</v>
      </c>
      <c r="E3" s="9" t="s">
        <v>40</v>
      </c>
      <c r="F3" s="104" t="s">
        <v>9</v>
      </c>
      <c r="G3" s="104" t="s">
        <v>33</v>
      </c>
      <c r="I3" s="2" t="s">
        <v>175</v>
      </c>
      <c r="J3" s="24">
        <f>År1</f>
        <v>2019</v>
      </c>
      <c r="K3" s="24">
        <f>År1</f>
        <v>2019</v>
      </c>
      <c r="L3" s="24">
        <f>År1</f>
        <v>2019</v>
      </c>
      <c r="M3" s="24">
        <f>År2</f>
        <v>2030</v>
      </c>
      <c r="N3" s="24">
        <f>År2</f>
        <v>2030</v>
      </c>
      <c r="O3" s="24">
        <f>År2</f>
        <v>2030</v>
      </c>
      <c r="P3" s="24">
        <f>År3</f>
        <v>2050</v>
      </c>
      <c r="Q3" s="24">
        <f>År3</f>
        <v>2050</v>
      </c>
      <c r="R3" s="24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/>
      <c r="C4" s="9">
        <f t="shared" ref="C4:C5" si="0">D4/($D$2-2023)*($C$2-2023)</f>
        <v>23791.703703703704</v>
      </c>
      <c r="D4" s="21">
        <f>170000-D3</f>
        <v>91768</v>
      </c>
      <c r="E4" s="9" t="s">
        <v>41</v>
      </c>
      <c r="F4" s="104" t="s">
        <v>9</v>
      </c>
      <c r="G4" s="104" t="s">
        <v>33</v>
      </c>
      <c r="I4" s="2"/>
      <c r="J4" s="24" t="str">
        <f>Jordbund1</f>
        <v>JB1-10</v>
      </c>
      <c r="K4" s="24" t="str">
        <f>Organ6</f>
        <v>OC6</v>
      </c>
      <c r="L4" s="24" t="str">
        <f>Organ12</f>
        <v>OC12</v>
      </c>
      <c r="M4" s="24" t="str">
        <f>Jordbund1</f>
        <v>JB1-10</v>
      </c>
      <c r="N4" s="24" t="str">
        <f>Organ6</f>
        <v>OC6</v>
      </c>
      <c r="O4" s="24" t="str">
        <f>Organ12</f>
        <v>OC12</v>
      </c>
      <c r="P4" s="24" t="str">
        <f>Jordbund1</f>
        <v>JB1-10</v>
      </c>
      <c r="Q4" s="24" t="str">
        <f>Organ6</f>
        <v>OC6</v>
      </c>
      <c r="R4" s="24" t="str">
        <f>Organ12</f>
        <v>OC12</v>
      </c>
    </row>
    <row r="5" spans="1:22" x14ac:dyDescent="0.25">
      <c r="A5" s="2" t="s">
        <v>36</v>
      </c>
      <c r="B5" s="198"/>
      <c r="C5" s="9">
        <f t="shared" si="0"/>
        <v>64814.814814814818</v>
      </c>
      <c r="D5" s="9">
        <v>250000</v>
      </c>
      <c r="E5" s="9" t="s">
        <v>267</v>
      </c>
      <c r="F5" s="104" t="s">
        <v>9</v>
      </c>
      <c r="G5" s="104" t="s">
        <v>10</v>
      </c>
      <c r="I5" s="25" t="str">
        <f>Bebyg</f>
        <v>Bebyggelse &amp; infrastruktur</v>
      </c>
      <c r="J5" s="16">
        <f t="shared" ref="J5:R5" si="1">SUM(J25,J35)</f>
        <v>592120</v>
      </c>
      <c r="K5" s="16">
        <f t="shared" si="1"/>
        <v>0</v>
      </c>
      <c r="L5" s="16">
        <f t="shared" si="1"/>
        <v>0</v>
      </c>
      <c r="M5" s="17">
        <f t="shared" si="1"/>
        <v>592120</v>
      </c>
      <c r="N5" s="17">
        <f t="shared" si="1"/>
        <v>0</v>
      </c>
      <c r="O5" s="17">
        <f t="shared" si="1"/>
        <v>0</v>
      </c>
      <c r="P5" s="17">
        <f t="shared" si="1"/>
        <v>592120</v>
      </c>
      <c r="Q5" s="17">
        <f t="shared" si="1"/>
        <v>0</v>
      </c>
      <c r="R5" s="17">
        <f t="shared" si="1"/>
        <v>0</v>
      </c>
      <c r="T5" s="14">
        <f>SUMIFS($J5:$R5,$J$3:$R$3,T$3)/4293300</f>
        <v>0.13791721985419142</v>
      </c>
      <c r="U5" s="14">
        <f t="shared" ref="U5:V9" si="2">SUMIFS($J5:$R5,$J$3:$R$3,U$3)/4293300</f>
        <v>0.13791721985419142</v>
      </c>
      <c r="V5" s="14">
        <f t="shared" si="2"/>
        <v>0.13791721985419142</v>
      </c>
    </row>
    <row r="6" spans="1:22" x14ac:dyDescent="0.25">
      <c r="A6" s="2"/>
      <c r="B6" s="2"/>
      <c r="C6" s="9"/>
      <c r="D6" s="9"/>
      <c r="E6" s="9"/>
      <c r="F6" s="104"/>
      <c r="G6" s="104"/>
      <c r="I6" s="25" t="str">
        <f>Afgrøder</f>
        <v>Landbrugsafgrøder</v>
      </c>
      <c r="J6" s="16">
        <f t="shared" ref="J6:R6" si="3">SUM(J26,J36)</f>
        <v>2399936</v>
      </c>
      <c r="K6" s="16">
        <f t="shared" si="3"/>
        <v>100502</v>
      </c>
      <c r="L6" s="16">
        <f t="shared" si="3"/>
        <v>78232</v>
      </c>
      <c r="M6" s="17">
        <f t="shared" si="3"/>
        <v>2335121.1851851852</v>
      </c>
      <c r="N6" s="17">
        <f t="shared" si="3"/>
        <v>76710.296296296292</v>
      </c>
      <c r="O6" s="17">
        <f t="shared" si="3"/>
        <v>57949.62962962962</v>
      </c>
      <c r="P6" s="17">
        <f t="shared" si="3"/>
        <v>2149935.9999999995</v>
      </c>
      <c r="Q6" s="17">
        <f t="shared" si="3"/>
        <v>8733.9999999999964</v>
      </c>
      <c r="R6" s="17">
        <f t="shared" si="3"/>
        <v>0</v>
      </c>
      <c r="T6" s="14">
        <f t="shared" ref="T6:T9" si="4">SUMIFS($J6:$R6,$J$3:$R$3,T$3)/4293300</f>
        <v>0.60062655765960915</v>
      </c>
      <c r="U6" s="14">
        <f t="shared" si="2"/>
        <v>0.57526404190508718</v>
      </c>
      <c r="V6" s="14">
        <f t="shared" si="2"/>
        <v>0.50279971117788169</v>
      </c>
    </row>
    <row r="7" spans="1:22" x14ac:dyDescent="0.25">
      <c r="A7" s="2"/>
      <c r="B7" s="2"/>
      <c r="C7" s="9"/>
      <c r="D7" s="9"/>
      <c r="E7" s="9"/>
      <c r="F7" s="104"/>
      <c r="G7" s="104"/>
      <c r="I7" s="25" t="str">
        <f>SkovAreal</f>
        <v>Skov</v>
      </c>
      <c r="J7" s="16">
        <f t="shared" ref="J7:R7" si="5">SUM(J27,J37)</f>
        <v>562410</v>
      </c>
      <c r="K7" s="16">
        <f t="shared" si="5"/>
        <v>0</v>
      </c>
      <c r="L7" s="16">
        <f t="shared" si="5"/>
        <v>0</v>
      </c>
      <c r="M7" s="17">
        <f t="shared" si="5"/>
        <v>627224.81481481483</v>
      </c>
      <c r="N7" s="17">
        <f t="shared" si="5"/>
        <v>0</v>
      </c>
      <c r="O7" s="17">
        <f t="shared" si="5"/>
        <v>0</v>
      </c>
      <c r="P7" s="17">
        <f t="shared" si="5"/>
        <v>812410</v>
      </c>
      <c r="Q7" s="17">
        <f t="shared" si="5"/>
        <v>0</v>
      </c>
      <c r="R7" s="17">
        <f t="shared" si="5"/>
        <v>0</v>
      </c>
      <c r="T7" s="14">
        <f t="shared" si="4"/>
        <v>0.13099713507092448</v>
      </c>
      <c r="U7" s="14">
        <f t="shared" si="2"/>
        <v>0.14609387063909227</v>
      </c>
      <c r="V7" s="14">
        <f t="shared" si="2"/>
        <v>0.18922740083385742</v>
      </c>
    </row>
    <row r="8" spans="1:22" x14ac:dyDescent="0.25">
      <c r="A8" s="2"/>
      <c r="B8" s="2"/>
      <c r="C8" s="9"/>
      <c r="D8" s="9"/>
      <c r="E8" s="9"/>
      <c r="F8" s="104"/>
      <c r="G8" s="104"/>
      <c r="I8" s="25" t="str">
        <f>NaturAreal</f>
        <v>Natur</v>
      </c>
      <c r="J8" s="16">
        <f t="shared" ref="J8:R8" si="6">SUM(J28,J38)</f>
        <v>393324.00000000006</v>
      </c>
      <c r="K8" s="16">
        <f t="shared" si="6"/>
        <v>61498</v>
      </c>
      <c r="L8" s="16">
        <f t="shared" si="6"/>
        <v>50768</v>
      </c>
      <c r="M8" s="17">
        <f t="shared" si="6"/>
        <v>393324.00000000006</v>
      </c>
      <c r="N8" s="17">
        <f t="shared" si="6"/>
        <v>85289.703703703708</v>
      </c>
      <c r="O8" s="17">
        <f t="shared" si="6"/>
        <v>71050.370370370365</v>
      </c>
      <c r="P8" s="17">
        <f t="shared" si="6"/>
        <v>393324.00000000006</v>
      </c>
      <c r="Q8" s="17">
        <f t="shared" si="6"/>
        <v>153266</v>
      </c>
      <c r="R8" s="17">
        <f t="shared" si="6"/>
        <v>128999.99999999999</v>
      </c>
      <c r="T8" s="14">
        <f t="shared" si="4"/>
        <v>0.11776256026832507</v>
      </c>
      <c r="U8" s="14">
        <f t="shared" si="2"/>
        <v>0.1280283404546792</v>
      </c>
      <c r="V8" s="14">
        <f t="shared" si="2"/>
        <v>0.15735914098711948</v>
      </c>
    </row>
    <row r="9" spans="1:22" ht="15.75" thickBot="1" x14ac:dyDescent="0.3">
      <c r="A9" s="2"/>
      <c r="B9" s="2"/>
      <c r="C9" s="9"/>
      <c r="D9" s="9"/>
      <c r="E9" s="9"/>
      <c r="F9" s="104"/>
      <c r="G9" s="104"/>
      <c r="I9" s="26" t="str">
        <f>IKareal</f>
        <v>Ikke klassificeret</v>
      </c>
      <c r="J9" s="18">
        <f t="shared" ref="J9:R9" si="7">SUM(J29,J39)</f>
        <v>66640</v>
      </c>
      <c r="K9" s="18">
        <f t="shared" si="7"/>
        <v>0</v>
      </c>
      <c r="L9" s="18">
        <f t="shared" si="7"/>
        <v>0</v>
      </c>
      <c r="M9" s="88">
        <f t="shared" si="7"/>
        <v>66640</v>
      </c>
      <c r="N9" s="88">
        <f t="shared" si="7"/>
        <v>0</v>
      </c>
      <c r="O9" s="88">
        <f t="shared" si="7"/>
        <v>0</v>
      </c>
      <c r="P9" s="88">
        <f t="shared" si="7"/>
        <v>66640</v>
      </c>
      <c r="Q9" s="88">
        <f t="shared" si="7"/>
        <v>0</v>
      </c>
      <c r="R9" s="88">
        <f t="shared" si="7"/>
        <v>0</v>
      </c>
      <c r="T9" s="14">
        <f t="shared" si="4"/>
        <v>1.5521859641767406E-2</v>
      </c>
      <c r="U9" s="14">
        <f t="shared" si="2"/>
        <v>1.5521859641767406E-2</v>
      </c>
      <c r="V9" s="14">
        <f t="shared" si="2"/>
        <v>1.5521859641767406E-2</v>
      </c>
    </row>
    <row r="10" spans="1:22" x14ac:dyDescent="0.25">
      <c r="A10" s="2"/>
      <c r="B10" s="2"/>
      <c r="C10" s="9"/>
      <c r="D10" s="9"/>
      <c r="E10" s="9"/>
      <c r="F10" s="104"/>
      <c r="G10" s="104"/>
      <c r="I10" s="27" t="s">
        <v>30</v>
      </c>
      <c r="J10" s="19">
        <f t="shared" ref="J10:R10" si="8">SUM(J5:J9)</f>
        <v>4014430</v>
      </c>
      <c r="K10" s="19">
        <f t="shared" si="8"/>
        <v>162000</v>
      </c>
      <c r="L10" s="19">
        <f t="shared" si="8"/>
        <v>129000</v>
      </c>
      <c r="M10" s="20">
        <f t="shared" si="8"/>
        <v>4014430</v>
      </c>
      <c r="N10" s="20">
        <f t="shared" si="8"/>
        <v>162000</v>
      </c>
      <c r="O10" s="20">
        <f t="shared" si="8"/>
        <v>128999.99999999999</v>
      </c>
      <c r="P10" s="20">
        <f t="shared" si="8"/>
        <v>4014429.9999999995</v>
      </c>
      <c r="Q10" s="20">
        <f t="shared" si="8"/>
        <v>162000</v>
      </c>
      <c r="R10" s="20">
        <f t="shared" si="8"/>
        <v>128999.99999999999</v>
      </c>
    </row>
    <row r="11" spans="1:22" x14ac:dyDescent="0.25">
      <c r="A11" s="2"/>
      <c r="B11" s="2"/>
      <c r="C11" s="9"/>
      <c r="D11" s="9"/>
      <c r="E11" s="9"/>
      <c r="F11" s="104"/>
      <c r="G11" s="104"/>
    </row>
    <row r="12" spans="1:22" x14ac:dyDescent="0.25">
      <c r="A12" s="2"/>
      <c r="B12" s="2"/>
      <c r="C12" s="9"/>
      <c r="D12" s="9"/>
      <c r="E12" s="9"/>
      <c r="F12" s="104"/>
      <c r="G12" s="104"/>
    </row>
    <row r="13" spans="1:22" x14ac:dyDescent="0.25">
      <c r="A13" s="2"/>
      <c r="B13" s="2"/>
      <c r="C13" s="9"/>
      <c r="D13" s="9"/>
      <c r="E13" s="9"/>
      <c r="F13" s="104"/>
      <c r="G13" s="104"/>
    </row>
    <row r="14" spans="1:22" x14ac:dyDescent="0.25">
      <c r="A14" s="2"/>
      <c r="B14" s="2"/>
      <c r="C14" s="9"/>
      <c r="D14" s="9"/>
      <c r="E14" s="9"/>
      <c r="F14" s="104"/>
      <c r="G14" s="104"/>
      <c r="T14" s="391">
        <f>4293300*0.25</f>
        <v>1073325</v>
      </c>
    </row>
    <row r="15" spans="1:22" x14ac:dyDescent="0.25">
      <c r="A15" s="2"/>
      <c r="B15" s="2"/>
      <c r="C15" s="9"/>
      <c r="D15" s="9"/>
      <c r="E15" s="9"/>
      <c r="F15" s="104"/>
      <c r="G15" s="104"/>
    </row>
    <row r="16" spans="1:22" x14ac:dyDescent="0.25">
      <c r="A16" s="2"/>
      <c r="B16" s="2"/>
      <c r="C16" s="9"/>
      <c r="D16" s="9"/>
      <c r="E16" s="9"/>
      <c r="F16" s="104"/>
      <c r="G16" s="104"/>
    </row>
    <row r="17" spans="1:18" x14ac:dyDescent="0.25">
      <c r="A17" s="2"/>
      <c r="B17" s="2"/>
      <c r="C17" s="9"/>
      <c r="D17" s="9"/>
      <c r="E17" s="9"/>
      <c r="F17" s="104"/>
      <c r="G17" s="104"/>
    </row>
    <row r="18" spans="1:18" x14ac:dyDescent="0.25">
      <c r="D18" s="14"/>
      <c r="E18" s="14"/>
      <c r="F18" s="14"/>
      <c r="G18" s="14"/>
    </row>
    <row r="19" spans="1:18" x14ac:dyDescent="0.25">
      <c r="D19" s="14"/>
      <c r="E19" s="14"/>
      <c r="F19" s="14"/>
      <c r="G19" s="14"/>
    </row>
    <row r="20" spans="1:18" x14ac:dyDescent="0.25">
      <c r="D20" s="14"/>
      <c r="E20" s="14"/>
      <c r="F20" s="14"/>
      <c r="G20" s="14"/>
    </row>
    <row r="21" spans="1:18" hidden="1" x14ac:dyDescent="0.25">
      <c r="D21" s="14"/>
      <c r="E21" s="14"/>
      <c r="F21" s="14"/>
      <c r="G21" s="14"/>
    </row>
    <row r="22" spans="1:18" hidden="1" x14ac:dyDescent="0.25">
      <c r="D22" s="14"/>
      <c r="E22" s="14"/>
      <c r="F22" s="14"/>
      <c r="G22" s="14"/>
      <c r="I22" s="235"/>
      <c r="J22" s="236" t="s">
        <v>298</v>
      </c>
      <c r="K22" s="236"/>
      <c r="L22" s="236"/>
      <c r="M22" s="236"/>
      <c r="N22" s="236"/>
      <c r="O22" s="236"/>
      <c r="P22" s="236"/>
      <c r="Q22" s="235"/>
      <c r="R22" s="235"/>
    </row>
    <row r="23" spans="1:18" hidden="1" x14ac:dyDescent="0.25">
      <c r="D23" s="14"/>
      <c r="E23" s="14"/>
      <c r="F23" s="14"/>
      <c r="G23" s="14"/>
      <c r="I23" s="237" t="s">
        <v>175</v>
      </c>
      <c r="J23" s="238">
        <f>År1</f>
        <v>2019</v>
      </c>
      <c r="K23" s="238">
        <f>År1</f>
        <v>2019</v>
      </c>
      <c r="L23" s="238">
        <f>År1</f>
        <v>2019</v>
      </c>
      <c r="M23" s="238">
        <f>År2</f>
        <v>2030</v>
      </c>
      <c r="N23" s="238">
        <f>År2</f>
        <v>2030</v>
      </c>
      <c r="O23" s="238">
        <f>År2</f>
        <v>2030</v>
      </c>
      <c r="P23" s="238">
        <f>År3</f>
        <v>2050</v>
      </c>
      <c r="Q23" s="238">
        <f>År3</f>
        <v>2050</v>
      </c>
      <c r="R23" s="238">
        <f>År3</f>
        <v>2050</v>
      </c>
    </row>
    <row r="24" spans="1:18" hidden="1" x14ac:dyDescent="0.25">
      <c r="D24" s="14"/>
      <c r="E24" s="14"/>
      <c r="F24" s="14"/>
      <c r="G24" s="14"/>
      <c r="I24" s="237"/>
      <c r="J24" s="238" t="str">
        <f>Jordbund1</f>
        <v>JB1-10</v>
      </c>
      <c r="K24" s="238" t="str">
        <f>Organ6</f>
        <v>OC6</v>
      </c>
      <c r="L24" s="238" t="str">
        <f>Organ12</f>
        <v>OC12</v>
      </c>
      <c r="M24" s="238" t="str">
        <f>Jordbund1</f>
        <v>JB1-10</v>
      </c>
      <c r="N24" s="238" t="str">
        <f>Organ6</f>
        <v>OC6</v>
      </c>
      <c r="O24" s="238" t="str">
        <f>Organ12</f>
        <v>OC12</v>
      </c>
      <c r="P24" s="238" t="str">
        <f>Jordbund1</f>
        <v>JB1-10</v>
      </c>
      <c r="Q24" s="238" t="str">
        <f>Organ6</f>
        <v>OC6</v>
      </c>
      <c r="R24" s="238" t="str">
        <f>Organ12</f>
        <v>OC12</v>
      </c>
    </row>
    <row r="25" spans="1:18" hidden="1" x14ac:dyDescent="0.25">
      <c r="D25" s="14"/>
      <c r="E25" s="14"/>
      <c r="F25" s="14"/>
      <c r="G25" s="14"/>
      <c r="I25" s="239" t="str">
        <f>Bebyg</f>
        <v>Bebyggelse &amp; infrastruktur</v>
      </c>
      <c r="J25" s="245">
        <f>SUMIF([1]Arealanvendelse!$B$15:$B$22,I25,[1]Arealanvendelse!$D$15:$D$22)-SUM(K25:L25)</f>
        <v>413346.96815611009</v>
      </c>
      <c r="K25" s="245"/>
      <c r="L25" s="245"/>
      <c r="M25" s="248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48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48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48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48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48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4"/>
      <c r="E26" s="14"/>
      <c r="F26" s="14"/>
      <c r="G26" s="14"/>
      <c r="I26" s="239" t="str">
        <f>Afgrøder</f>
        <v>Landbrugsafgrøder</v>
      </c>
      <c r="J26" s="245">
        <f>SUMIF([1]Arealanvendelse!$B$15:$B$22,I26,[1]Arealanvendelse!$D$15:$D$22)-SUM(K26:L26)</f>
        <v>1853876.1391137983</v>
      </c>
      <c r="K26" s="245">
        <f>[1]Jordbundstypefordeling!$D$16*[1]Jordbundstypefordeling!$F$4</f>
        <v>87250.625185185185</v>
      </c>
      <c r="L26" s="245">
        <f>[1]Jordbundstypefordeling!$D$15*[1]Jordbundstypefordeling!$F$4</f>
        <v>67916.965925925921</v>
      </c>
      <c r="M26" s="248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1797607.2776597517</v>
      </c>
      <c r="N26" s="248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66595.901673525368</v>
      </c>
      <c r="O26" s="248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50308.863648834013</v>
      </c>
      <c r="P26" s="248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1636839.1020767612</v>
      </c>
      <c r="Q26" s="248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7582.4059259259229</v>
      </c>
      <c r="R26" s="248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4"/>
      <c r="E27" s="14"/>
      <c r="F27" s="14"/>
      <c r="G27" s="14"/>
      <c r="I27" s="239" t="str">
        <f>SkovAreal</f>
        <v>Skov</v>
      </c>
      <c r="J27" s="245">
        <f>SUMIF([1]Arealanvendelse!$B$15:$B$22,I27,[1]Arealanvendelse!$D$15:$D$22)-SUM(K27:L27)</f>
        <v>435064.52162306459</v>
      </c>
      <c r="K27" s="245"/>
      <c r="L27" s="245"/>
      <c r="M27" s="248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491333.38307711121</v>
      </c>
      <c r="N27" s="248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48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48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652101.55866010161</v>
      </c>
      <c r="Q27" s="248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48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4"/>
      <c r="E28" s="14"/>
      <c r="F28" s="14"/>
      <c r="G28" s="14"/>
      <c r="I28" s="239" t="str">
        <f>NaturAreal</f>
        <v>Natur</v>
      </c>
      <c r="J28" s="245">
        <f>SUMIF([1]Arealanvendelse!$B$15:$B$22,I28,[1]Arealanvendelse!$D$15:$D$22)-SUM(K28:L28)</f>
        <v>317835.5825103767</v>
      </c>
      <c r="K28" s="245">
        <f>([1]Jordbundstypefordeling!$E$16-[1]Jordbundstypefordeling!$D$16)*SUM([1]Jordbundstypefordeling!$D$3:$D$5)</f>
        <v>53389.374814814815</v>
      </c>
      <c r="L28" s="245">
        <f>([1]Jordbundstypefordeling!$E$15-[1]Jordbundstypefordeling!$D$15)*SUM([1]Jordbundstypefordeling!D3:D5)</f>
        <v>44074.145185185182</v>
      </c>
      <c r="M28" s="248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48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74044.098326474632</v>
      </c>
      <c r="O28" s="248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61682.247462277082</v>
      </c>
      <c r="P28" s="248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48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133057.59407407406</v>
      </c>
      <c r="R28" s="248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111991.11111111109</v>
      </c>
    </row>
    <row r="29" spans="1:18" ht="15.75" hidden="1" thickBot="1" x14ac:dyDescent="0.3">
      <c r="D29" s="14"/>
      <c r="E29" s="14"/>
      <c r="F29" s="14"/>
      <c r="G29" s="14"/>
      <c r="I29" s="240" t="str">
        <f>IKareal</f>
        <v>Ikke klassificeret</v>
      </c>
      <c r="J29" s="246">
        <f>SUMIF([1]Arealanvendelse!$B$15:$B$22,I29,[1]Arealanvendelse!$D$15:$D$22)-SUM(K29:L29)</f>
        <v>47192.371697540235</v>
      </c>
      <c r="K29" s="246"/>
      <c r="L29" s="246"/>
      <c r="M29" s="249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49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49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49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49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49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41" t="s">
        <v>30</v>
      </c>
      <c r="J30" s="247">
        <f t="shared" ref="J30:R30" si="9">SUM(J25:J29)</f>
        <v>3067315.5831008903</v>
      </c>
      <c r="K30" s="247">
        <f t="shared" si="9"/>
        <v>140640</v>
      </c>
      <c r="L30" s="247">
        <f t="shared" si="9"/>
        <v>111991.11111111109</v>
      </c>
      <c r="M30" s="250">
        <f t="shared" si="9"/>
        <v>3067315.5831008903</v>
      </c>
      <c r="N30" s="250">
        <f t="shared" si="9"/>
        <v>140640</v>
      </c>
      <c r="O30" s="250">
        <f t="shared" si="9"/>
        <v>111991.11111111109</v>
      </c>
      <c r="P30" s="250">
        <f t="shared" si="9"/>
        <v>3067315.5831008903</v>
      </c>
      <c r="Q30" s="250">
        <f t="shared" si="9"/>
        <v>140640</v>
      </c>
      <c r="R30" s="250">
        <f t="shared" si="9"/>
        <v>111991.11111111109</v>
      </c>
    </row>
    <row r="31" spans="1:18" hidden="1" x14ac:dyDescent="0.25">
      <c r="I31" s="242"/>
      <c r="J31" s="243"/>
      <c r="K31" s="243"/>
      <c r="L31" s="243"/>
      <c r="M31" s="244"/>
      <c r="N31" s="243"/>
      <c r="O31" s="243"/>
      <c r="P31" s="243"/>
      <c r="Q31" s="243"/>
      <c r="R31" s="243"/>
    </row>
    <row r="32" spans="1:18" hidden="1" x14ac:dyDescent="0.25">
      <c r="I32" s="242"/>
      <c r="J32" s="236" t="s">
        <v>299</v>
      </c>
      <c r="K32" s="236"/>
      <c r="L32" s="236"/>
      <c r="M32" s="236"/>
      <c r="N32" s="236"/>
      <c r="O32" s="236"/>
      <c r="P32" s="236"/>
      <c r="Q32" s="236"/>
      <c r="R32" s="236"/>
    </row>
    <row r="33" spans="9:18" hidden="1" x14ac:dyDescent="0.25">
      <c r="I33" s="237" t="s">
        <v>175</v>
      </c>
      <c r="J33" s="238">
        <f>År1</f>
        <v>2019</v>
      </c>
      <c r="K33" s="238">
        <f>År1</f>
        <v>2019</v>
      </c>
      <c r="L33" s="238">
        <f>År1</f>
        <v>2019</v>
      </c>
      <c r="M33" s="238">
        <v>2030</v>
      </c>
      <c r="N33" s="238">
        <v>2030</v>
      </c>
      <c r="O33" s="238">
        <v>2030</v>
      </c>
      <c r="P33" s="238">
        <f>År3</f>
        <v>2050</v>
      </c>
      <c r="Q33" s="238">
        <f>År3</f>
        <v>2050</v>
      </c>
      <c r="R33" s="238">
        <f>År3</f>
        <v>2050</v>
      </c>
    </row>
    <row r="34" spans="9:18" hidden="1" x14ac:dyDescent="0.25">
      <c r="I34" s="237"/>
      <c r="J34" s="238" t="str">
        <f>Jordbund1</f>
        <v>JB1-10</v>
      </c>
      <c r="K34" s="238" t="str">
        <f>Organ6</f>
        <v>OC6</v>
      </c>
      <c r="L34" s="238" t="str">
        <f>Organ12</f>
        <v>OC12</v>
      </c>
      <c r="M34" s="238" t="str">
        <f>Jordbund1</f>
        <v>JB1-10</v>
      </c>
      <c r="N34" s="238" t="str">
        <f>Organ6</f>
        <v>OC6</v>
      </c>
      <c r="O34" s="238" t="str">
        <f>Organ12</f>
        <v>OC12</v>
      </c>
      <c r="P34" s="238" t="str">
        <f>Jordbund1</f>
        <v>JB1-10</v>
      </c>
      <c r="Q34" s="238" t="str">
        <f>Organ6</f>
        <v>OC6</v>
      </c>
      <c r="R34" s="238" t="str">
        <f>Organ12</f>
        <v>OC12</v>
      </c>
    </row>
    <row r="35" spans="9:18" hidden="1" x14ac:dyDescent="0.25">
      <c r="I35" s="239" t="str">
        <f>Bebyg</f>
        <v>Bebyggelse &amp; infrastruktur</v>
      </c>
      <c r="J35" s="245">
        <f>SUMIF([1]Arealanvendelse!$B$15:$B$22,I35,[1]Arealanvendelse!$E$15:$E$22)-SUM(K35:L35)</f>
        <v>178773.03184388991</v>
      </c>
      <c r="K35" s="245"/>
      <c r="L35" s="245"/>
      <c r="M35" s="248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48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48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48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48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48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39" t="str">
        <f>Afgrøder</f>
        <v>Landbrugsafgrøder</v>
      </c>
      <c r="J36" s="245">
        <f>SUMIF([1]Arealanvendelse!$B$15:$B$22,I36,[1]Arealanvendelse!$E$15:$E$22)-SUM(K36:L36)</f>
        <v>546059.8608862015</v>
      </c>
      <c r="K36" s="245">
        <f>[1]Jordbundstypefordeling!$D$16*[1]Jordbundstypefordeling!$G$4</f>
        <v>13251.374814814815</v>
      </c>
      <c r="L36" s="245">
        <f>[1]Jordbundstypefordeling!$D$15*[1]Jordbundstypefordeling!$G$4</f>
        <v>10315.034074074074</v>
      </c>
      <c r="M36" s="248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537513.90752543334</v>
      </c>
      <c r="N36" s="248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10114.39462277092</v>
      </c>
      <c r="O36" s="248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7640.7659807956097</v>
      </c>
      <c r="P36" s="248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513096.89792323852</v>
      </c>
      <c r="Q36" s="248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1151.5940740740734</v>
      </c>
      <c r="R36" s="248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39" t="str">
        <f>SkovAreal</f>
        <v>Skov</v>
      </c>
      <c r="J37" s="245">
        <f>SUMIF([1]Arealanvendelse!$B$15:$B$22,I37,[1]Arealanvendelse!$E$15:$E$22)-SUM(K37:L37)</f>
        <v>127345.4783769354</v>
      </c>
      <c r="K37" s="245"/>
      <c r="L37" s="245"/>
      <c r="M37" s="248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135891.43173770356</v>
      </c>
      <c r="N37" s="248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48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48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160308.44133989836</v>
      </c>
      <c r="Q37" s="248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48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39" t="str">
        <f>NaturAreal</f>
        <v>Natur</v>
      </c>
      <c r="J38" s="245">
        <f>SUMIF([1]Arealanvendelse!$B$15:$B$22,I38,[1]Arealanvendelse!$E$15:$E$22)-SUM(K38:L38)</f>
        <v>75488.417489623345</v>
      </c>
      <c r="K38" s="245">
        <f>([1]Jordbundstypefordeling!$E$16-[1]Jordbundstypefordeling!$D$16)*[1]Jordbundstypefordeling!$G$4</f>
        <v>8108.6251851851857</v>
      </c>
      <c r="L38" s="245">
        <f>([1]Jordbundstypefordeling!$E$15-[1]Jordbundstypefordeling!$D$15)*[1]Jordbundstypefordeling!$G$4</f>
        <v>6693.8548148148147</v>
      </c>
      <c r="M38" s="248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48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11245.605377229082</v>
      </c>
      <c r="O38" s="248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9368.122908093279</v>
      </c>
      <c r="P38" s="248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48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20208.405925925927</v>
      </c>
      <c r="R38" s="248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17008.888888888891</v>
      </c>
    </row>
    <row r="39" spans="9:18" ht="15.75" hidden="1" thickBot="1" x14ac:dyDescent="0.3">
      <c r="I39" s="240" t="str">
        <f>IKareal</f>
        <v>Ikke klassificeret</v>
      </c>
      <c r="J39" s="246">
        <f>SUMIF([1]Arealanvendelse!$B$15:$B$22,I39,[1]Arealanvendelse!$E$15:$E$22)-SUM(K39:L39)</f>
        <v>19447.628302459765</v>
      </c>
      <c r="K39" s="246"/>
      <c r="L39" s="246"/>
      <c r="M39" s="249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49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49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49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49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49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41" t="s">
        <v>30</v>
      </c>
      <c r="J40" s="247">
        <f t="shared" ref="J40:R40" si="10">SUM(J35:J39)</f>
        <v>947114.41689910984</v>
      </c>
      <c r="K40" s="247">
        <f t="shared" si="10"/>
        <v>21360</v>
      </c>
      <c r="L40" s="247">
        <f t="shared" si="10"/>
        <v>17008.888888888891</v>
      </c>
      <c r="M40" s="250">
        <f t="shared" si="10"/>
        <v>947114.41689910972</v>
      </c>
      <c r="N40" s="250">
        <f t="shared" si="10"/>
        <v>21360</v>
      </c>
      <c r="O40" s="250">
        <f t="shared" si="10"/>
        <v>17008.888888888891</v>
      </c>
      <c r="P40" s="250">
        <f t="shared" si="10"/>
        <v>947114.41689910984</v>
      </c>
      <c r="Q40" s="250">
        <f t="shared" si="10"/>
        <v>21360</v>
      </c>
      <c r="R40" s="250">
        <f t="shared" si="10"/>
        <v>17008.888888888891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E6:E17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I56"/>
  <sheetViews>
    <sheetView topLeftCell="A29" zoomScale="90" zoomScaleNormal="90" workbookViewId="0">
      <selection activeCell="C21" sqref="C21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06" t="s">
        <v>271</v>
      </c>
    </row>
    <row r="2" spans="1:9" ht="15.75" x14ac:dyDescent="0.25">
      <c r="A2" s="203" t="s">
        <v>66</v>
      </c>
    </row>
    <row r="3" spans="1:9" x14ac:dyDescent="0.25">
      <c r="B3" s="80"/>
      <c r="C3" s="81"/>
      <c r="D3" s="81"/>
      <c r="E3" s="81"/>
      <c r="G3" s="6"/>
    </row>
    <row r="4" spans="1:9" x14ac:dyDescent="0.25">
      <c r="B4" s="85" t="s">
        <v>37</v>
      </c>
      <c r="C4" s="82">
        <f>År1</f>
        <v>2019</v>
      </c>
      <c r="D4" s="82">
        <f>År2</f>
        <v>2030</v>
      </c>
      <c r="E4" s="82">
        <f>År3</f>
        <v>2050</v>
      </c>
    </row>
    <row r="5" spans="1:9" x14ac:dyDescent="0.25">
      <c r="B5" s="2" t="s">
        <v>5</v>
      </c>
      <c r="C5" s="7">
        <f>297696/2625965</f>
        <v>0.11336632437979943</v>
      </c>
      <c r="D5" s="3">
        <f>C5+(E5-C5)/($E$4-$C$4)*($D$4-$C$4)</f>
        <v>0.13523633830954801</v>
      </c>
      <c r="E5" s="8">
        <v>0.17499999999999999</v>
      </c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3">
        <f t="shared" ref="D6:D8" si="0">C6+(E6-C6)/($E$4-$C$4)*($D$4-$C$4)</f>
        <v>0.38059083320838205</v>
      </c>
      <c r="E6" s="8">
        <v>1</v>
      </c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3">
        <f t="shared" si="0"/>
        <v>0.45188681187804958</v>
      </c>
      <c r="E7" s="8">
        <v>1</v>
      </c>
      <c r="I7" s="13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3">
        <f t="shared" si="0"/>
        <v>0.4465294998283928</v>
      </c>
      <c r="E8" s="8">
        <v>1</v>
      </c>
    </row>
    <row r="9" spans="1:9" x14ac:dyDescent="0.25">
      <c r="B9" s="79"/>
      <c r="C9" s="12"/>
      <c r="D9" s="12"/>
      <c r="E9" s="78"/>
    </row>
    <row r="10" spans="1:9" x14ac:dyDescent="0.25">
      <c r="B10" s="85" t="s">
        <v>31</v>
      </c>
      <c r="C10" s="82">
        <f>År1</f>
        <v>2019</v>
      </c>
      <c r="D10" s="82">
        <f>År2</f>
        <v>2030</v>
      </c>
      <c r="E10" s="82">
        <f>År3</f>
        <v>2050</v>
      </c>
    </row>
    <row r="11" spans="1:9" x14ac:dyDescent="0.25">
      <c r="B11" s="2" t="s">
        <v>22</v>
      </c>
      <c r="C11" s="7">
        <v>1</v>
      </c>
      <c r="D11" s="3">
        <f t="shared" ref="D11:D13" si="1">C11+(E11-C11)/($E$4-$C$4)*($D$4-$C$4)</f>
        <v>0.66895310313586476</v>
      </c>
      <c r="E11" s="3">
        <f>100000/SUM('Direkte input'!G175:G178)</f>
        <v>6.7049654291982466E-2</v>
      </c>
    </row>
    <row r="12" spans="1:9" x14ac:dyDescent="0.25">
      <c r="B12" s="2" t="s">
        <v>3</v>
      </c>
      <c r="C12" s="7">
        <v>1</v>
      </c>
      <c r="D12" s="3">
        <f t="shared" si="1"/>
        <v>0.6806451612903226</v>
      </c>
      <c r="E12" s="3">
        <v>0.1</v>
      </c>
    </row>
    <row r="13" spans="1:9" x14ac:dyDescent="0.25">
      <c r="B13" s="2" t="s">
        <v>4</v>
      </c>
      <c r="C13" s="7">
        <v>1</v>
      </c>
      <c r="D13" s="3">
        <f t="shared" si="1"/>
        <v>0.7870967741935484</v>
      </c>
      <c r="E13" s="3">
        <v>0.4</v>
      </c>
      <c r="H13" s="13"/>
    </row>
    <row r="14" spans="1:9" x14ac:dyDescent="0.25">
      <c r="C14" s="289"/>
      <c r="D14" s="12"/>
      <c r="E14" s="12"/>
      <c r="H14" s="13"/>
      <c r="I14" s="13"/>
    </row>
    <row r="15" spans="1:9" x14ac:dyDescent="0.25">
      <c r="B15" s="85" t="s">
        <v>134</v>
      </c>
      <c r="C15" s="82">
        <f>År1</f>
        <v>2019</v>
      </c>
      <c r="D15" s="82">
        <f>År2</f>
        <v>2030</v>
      </c>
      <c r="E15" s="82">
        <f>År3</f>
        <v>2050</v>
      </c>
      <c r="F15" s="6"/>
    </row>
    <row r="16" spans="1:9" x14ac:dyDescent="0.25">
      <c r="B16" s="2" t="s">
        <v>90</v>
      </c>
      <c r="C16" s="84">
        <v>1</v>
      </c>
      <c r="D16" s="3">
        <f t="shared" ref="D16:D18" si="2">C16+(E16-C16)/($E$4-$C$4)*($D$4-$C$4)</f>
        <v>1.0532258064516129</v>
      </c>
      <c r="E16" s="3">
        <v>1.1499999999999999</v>
      </c>
    </row>
    <row r="17" spans="2:8" x14ac:dyDescent="0.25">
      <c r="B17" s="2" t="s">
        <v>84</v>
      </c>
      <c r="C17" s="84">
        <v>0.59345000000000003</v>
      </c>
      <c r="D17" s="3">
        <f t="shared" si="2"/>
        <v>0.59222580645161293</v>
      </c>
      <c r="E17" s="3">
        <v>0.59</v>
      </c>
    </row>
    <row r="18" spans="2:8" x14ac:dyDescent="0.25">
      <c r="B18" s="2" t="s">
        <v>141</v>
      </c>
      <c r="C18" s="84">
        <v>1</v>
      </c>
      <c r="D18" s="3">
        <f t="shared" si="2"/>
        <v>1</v>
      </c>
      <c r="E18" s="3">
        <v>1</v>
      </c>
      <c r="G18" s="163"/>
    </row>
    <row r="20" spans="2:8" x14ac:dyDescent="0.25">
      <c r="B20" s="412" t="s">
        <v>323</v>
      </c>
      <c r="C20" s="24"/>
      <c r="D20" s="24"/>
      <c r="E20" s="24"/>
    </row>
    <row r="21" spans="2:8" ht="29.45" customHeight="1" x14ac:dyDescent="0.25">
      <c r="B21" s="412"/>
      <c r="C21" s="82">
        <f>År1</f>
        <v>2019</v>
      </c>
      <c r="D21" s="82">
        <f>År2</f>
        <v>2030</v>
      </c>
      <c r="E21" s="82">
        <f>År3</f>
        <v>2050</v>
      </c>
    </row>
    <row r="22" spans="2:8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</row>
    <row r="23" spans="2:8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</row>
    <row r="24" spans="2:8" x14ac:dyDescent="0.25">
      <c r="B24" s="305" t="str">
        <f>CONCATENATE("Omlægning til permanent græs, ", Organ6,", hektar")</f>
        <v>Omlægning til permanent græs, OC6, hektar</v>
      </c>
      <c r="C24" s="306"/>
      <c r="D24" s="10">
        <f>D22*Arealanvendelse!N6-C22*Arealanvendelse!N6</f>
        <v>0</v>
      </c>
      <c r="E24" s="10">
        <f>E22*Arealanvendelse!Q6-C22*Arealanvendelse!Q6</f>
        <v>0</v>
      </c>
    </row>
    <row r="25" spans="2:8" x14ac:dyDescent="0.25">
      <c r="B25" s="305" t="str">
        <f>CONCATENATE("Omlægning til permanent græs, ", Organ12, ", hektar")</f>
        <v>Omlægning til permanent græs, OC12, hektar</v>
      </c>
      <c r="C25" s="306"/>
      <c r="D25" s="10">
        <f>D23*Arealanvendelse!O6-C23*Arealanvendelse!O6</f>
        <v>0</v>
      </c>
      <c r="E25" s="10">
        <f>E23*Arealanvendelse!R6-C23*Arealanvendelse!R6</f>
        <v>0</v>
      </c>
      <c r="G25" s="98"/>
    </row>
    <row r="26" spans="2:8" x14ac:dyDescent="0.25">
      <c r="B26" s="305" t="str">
        <f>CONCATENATE("Antal hektar som 1% svarer til, ", Organ6)</f>
        <v>Antal hektar som 1% svarer til, OC6</v>
      </c>
      <c r="C26" s="306"/>
      <c r="D26" s="10">
        <f>1%*Arealanvendelse!N6</f>
        <v>767.10296296296292</v>
      </c>
      <c r="E26" s="10">
        <f>1%*Arealanvendelse!Q6</f>
        <v>87.339999999999961</v>
      </c>
    </row>
    <row r="27" spans="2:8" ht="15.75" thickBot="1" x14ac:dyDescent="0.3">
      <c r="B27" s="307" t="str">
        <f>CONCATENATE("Antal hektar som 1% svarer til, ", Organ12)</f>
        <v>Antal hektar som 1% svarer til, OC12</v>
      </c>
      <c r="C27" s="308"/>
      <c r="D27" s="109">
        <f>1%*Arealanvendelse!O6</f>
        <v>579.49629629629624</v>
      </c>
      <c r="E27" s="109">
        <f>1%*Arealanvendelse!R6</f>
        <v>0</v>
      </c>
      <c r="F27" s="4"/>
    </row>
    <row r="28" spans="2:8" ht="15.75" thickBot="1" x14ac:dyDescent="0.3">
      <c r="B28" s="211" t="s">
        <v>263</v>
      </c>
      <c r="C28" s="212"/>
      <c r="D28" s="210">
        <f>SUM(D24:D25)</f>
        <v>0</v>
      </c>
      <c r="E28" s="210">
        <f>SUM(E24:E25)</f>
        <v>0</v>
      </c>
      <c r="F28" s="304"/>
      <c r="G28" s="98"/>
      <c r="H28" s="98"/>
    </row>
    <row r="29" spans="2:8" x14ac:dyDescent="0.25">
      <c r="C29" s="98"/>
      <c r="D29" s="98"/>
      <c r="E29" s="98"/>
      <c r="F29" s="98"/>
      <c r="G29" s="98"/>
      <c r="H29" s="98"/>
    </row>
    <row r="30" spans="2:8" x14ac:dyDescent="0.25">
      <c r="B30" s="410" t="s">
        <v>322</v>
      </c>
      <c r="C30" s="24"/>
      <c r="D30" s="24"/>
      <c r="E30" s="24"/>
    </row>
    <row r="31" spans="2:8" x14ac:dyDescent="0.25">
      <c r="B31" s="411"/>
      <c r="C31" s="82">
        <f>År1</f>
        <v>2019</v>
      </c>
      <c r="D31" s="82">
        <f>År2</f>
        <v>2030</v>
      </c>
      <c r="E31" s="82">
        <f>År3</f>
        <v>2050</v>
      </c>
    </row>
    <row r="32" spans="2:8" x14ac:dyDescent="0.25">
      <c r="B32" s="2" t="str">
        <f>[1]Afgrødefordeling!$C2</f>
        <v>Korn</v>
      </c>
      <c r="C32" s="301">
        <f>'[1]Afgrødefordeling - jordtype'!$Y4</f>
        <v>0.53753334285647836</v>
      </c>
      <c r="D32" s="87">
        <v>0.41</v>
      </c>
      <c r="E32" s="87">
        <v>0</v>
      </c>
    </row>
    <row r="33" spans="2:5" x14ac:dyDescent="0.25">
      <c r="B33" s="2" t="str">
        <f>[1]Afgrødefordeling!$C3</f>
        <v>Bælgsæd</v>
      </c>
      <c r="C33" s="301">
        <f>'[1]Afgrødefordeling - jordtype'!$Y5</f>
        <v>3.0976273829928767E-2</v>
      </c>
      <c r="D33" s="87">
        <v>0.122</v>
      </c>
      <c r="E33" s="405">
        <v>0.25</v>
      </c>
    </row>
    <row r="34" spans="2:5" x14ac:dyDescent="0.25">
      <c r="B34" s="2" t="str">
        <f>[1]Afgrødefordeling!$C4</f>
        <v>Raps</v>
      </c>
      <c r="C34" s="301">
        <f>'[1]Afgrødefordeling - jordtype'!$Y6</f>
        <v>6.5329688585482673E-2</v>
      </c>
      <c r="D34" s="87">
        <v>6.5329688585482673E-2</v>
      </c>
      <c r="E34" s="405">
        <v>0.15</v>
      </c>
    </row>
    <row r="35" spans="2:5" x14ac:dyDescent="0.25">
      <c r="B35" s="2" t="str">
        <f>[1]Afgrødefordeling!$C5</f>
        <v>Græs</v>
      </c>
      <c r="C35" s="301">
        <f>'[1]Afgrødefordeling - jordtype'!$Y7</f>
        <v>0.10115967422642448</v>
      </c>
      <c r="D35" s="87">
        <v>0.09</v>
      </c>
      <c r="E35" s="405">
        <v>0.35</v>
      </c>
    </row>
    <row r="36" spans="2:5" x14ac:dyDescent="0.25">
      <c r="B36" s="2" t="str">
        <f>[1]Afgrødefordeling!$C6</f>
        <v>Grøntsager</v>
      </c>
      <c r="C36" s="301">
        <f>'[1]Afgrødefordeling - jordtype'!$Y8</f>
        <v>5.2060865589185204E-3</v>
      </c>
      <c r="D36" s="87">
        <v>0.03</v>
      </c>
      <c r="E36" s="405">
        <v>0.1</v>
      </c>
    </row>
    <row r="37" spans="2:5" x14ac:dyDescent="0.25">
      <c r="B37" s="2" t="str">
        <f>[1]Afgrødefordeling!$C7</f>
        <v>Kartofler</v>
      </c>
      <c r="C37" s="301">
        <f>'[1]Afgrødefordeling - jordtype'!$Y9</f>
        <v>2.189728375215861E-2</v>
      </c>
      <c r="D37" s="87">
        <v>2.189728375215861E-2</v>
      </c>
      <c r="E37" s="87">
        <v>0</v>
      </c>
    </row>
    <row r="38" spans="2:5" x14ac:dyDescent="0.25">
      <c r="B38" s="2" t="str">
        <f>[1]Afgrødefordeling!$C8</f>
        <v>Roer</v>
      </c>
      <c r="C38" s="301">
        <f>'[1]Afgrødefordeling - jordtype'!$Y10</f>
        <v>1.3466912404096722E-2</v>
      </c>
      <c r="D38" s="87">
        <v>1.3466912404096722E-2</v>
      </c>
      <c r="E38" s="87">
        <v>0</v>
      </c>
    </row>
    <row r="39" spans="2:5" x14ac:dyDescent="0.25">
      <c r="B39" s="2" t="str">
        <f>[1]Afgrødefordeling!$C9</f>
        <v>Majs</v>
      </c>
      <c r="C39" s="301">
        <f>'[1]Afgrødefordeling - jordtype'!$Y11</f>
        <v>7.2759287296729286E-2</v>
      </c>
      <c r="D39" s="87">
        <v>5.6000000000000001E-2</v>
      </c>
      <c r="E39" s="87">
        <v>0</v>
      </c>
    </row>
    <row r="40" spans="2:5" x14ac:dyDescent="0.25">
      <c r="B40" s="2" t="str">
        <f>[1]Afgrødefordeling!$C10</f>
        <v>Frugt</v>
      </c>
      <c r="C40" s="301">
        <f>'[1]Afgrødefordeling - jordtype'!$Y12</f>
        <v>2.0301913757470973E-3</v>
      </c>
      <c r="D40" s="87">
        <v>2.0301913757470973E-3</v>
      </c>
      <c r="E40" s="405">
        <f>15%-E43-E44</f>
        <v>0.13949555554562554</v>
      </c>
    </row>
    <row r="41" spans="2:5" x14ac:dyDescent="0.25">
      <c r="B41" s="2" t="str">
        <f>[1]Afgrødefordeling!$C11</f>
        <v>Øvrige</v>
      </c>
      <c r="C41" s="301">
        <f>'[1]Afgrødefordeling - jordtype'!$Y13</f>
        <v>2.7968670218625629E-2</v>
      </c>
      <c r="D41" s="87">
        <v>2.7968670218625629E-2</v>
      </c>
      <c r="E41" s="87">
        <v>0</v>
      </c>
    </row>
    <row r="42" spans="2:5" x14ac:dyDescent="0.25">
      <c r="B42" s="2" t="str">
        <f>[1]Afgrødefordeling!$C12</f>
        <v>Frø</v>
      </c>
      <c r="C42" s="301">
        <f>'[1]Afgrødefordeling - jordtype'!$Y14</f>
        <v>4.0395307311065158E-2</v>
      </c>
      <c r="D42" s="87">
        <v>4.0395307311065158E-2</v>
      </c>
      <c r="E42" s="87">
        <v>0</v>
      </c>
    </row>
    <row r="43" spans="2:5" x14ac:dyDescent="0.25">
      <c r="B43" s="2" t="str">
        <f>[1]Afgrødefordeling!$C13</f>
        <v>Juletræer</v>
      </c>
      <c r="C43" s="301">
        <f>'[1]Afgrødefordeling - jordtype'!$Y15</f>
        <v>7.5869349743828522E-3</v>
      </c>
      <c r="D43" s="87">
        <v>7.5869349743828522E-3</v>
      </c>
      <c r="E43" s="405">
        <v>7.5869349743828522E-3</v>
      </c>
    </row>
    <row r="44" spans="2:5" x14ac:dyDescent="0.25">
      <c r="B44" s="2" t="str">
        <f>[1]Afgrødefordeling!$C14</f>
        <v>Pil &amp; poppel</v>
      </c>
      <c r="C44" s="301">
        <f>'[1]Afgrødefordeling - jordtype'!$Y16</f>
        <v>2.9175094799916215E-3</v>
      </c>
      <c r="D44" s="87">
        <v>2.9175094799916215E-3</v>
      </c>
      <c r="E44" s="405">
        <v>2.9175094799916215E-3</v>
      </c>
    </row>
    <row r="45" spans="2:5" x14ac:dyDescent="0.25">
      <c r="B45" s="2" t="str">
        <f>[1]Afgrødefordeling!$C15</f>
        <v>Permanent græs</v>
      </c>
      <c r="C45" s="301">
        <f>'[1]Afgrødefordeling - jordtype'!$Y17</f>
        <v>7.0772837129970206E-2</v>
      </c>
      <c r="D45" s="87">
        <v>0.11</v>
      </c>
      <c r="E45" s="87">
        <v>0</v>
      </c>
    </row>
    <row r="46" spans="2:5" x14ac:dyDescent="0.25">
      <c r="B46" s="24" t="s">
        <v>288</v>
      </c>
      <c r="C46" s="84"/>
      <c r="D46" s="86">
        <f>SUM(D32:D45)</f>
        <v>0.99959249810155038</v>
      </c>
      <c r="E46" s="86">
        <f>SUM(E32:E45)</f>
        <v>1</v>
      </c>
    </row>
    <row r="47" spans="2:5" x14ac:dyDescent="0.25">
      <c r="B47" s="24" t="s">
        <v>242</v>
      </c>
      <c r="C47" s="84"/>
      <c r="D47" s="108" cm="1">
        <f t="array" ref="D47">SUMPRODUCT((D32:D45&gt;$C$32:$C$45)*(D32:D45-$C$32:$C$45))*Arealanvendelse!M6</f>
        <v>362048.40292666189</v>
      </c>
      <c r="E47" s="108" cm="1">
        <f t="array" ref="E47">SUMPRODUCT((E32:E45&gt;$C$32:$C$45)*(E32:E45-$C$32:$C$45))*Arealanvendelse!P6</f>
        <v>1687256.1012905941</v>
      </c>
    </row>
    <row r="48" spans="2:5" x14ac:dyDescent="0.25">
      <c r="B48" s="24" t="s">
        <v>241</v>
      </c>
      <c r="C48" s="103"/>
      <c r="D48" s="108">
        <f>1%*Arealanvendelse!M6</f>
        <v>23351.211851851851</v>
      </c>
      <c r="E48" s="108">
        <f>1%*Arealanvendelse!P6</f>
        <v>21499.359999999997</v>
      </c>
    </row>
    <row r="49" spans="2:8" x14ac:dyDescent="0.25">
      <c r="D49" s="98"/>
      <c r="E49" s="98"/>
      <c r="H49" s="98"/>
    </row>
    <row r="50" spans="2:8" ht="15" customHeight="1" x14ac:dyDescent="0.25">
      <c r="B50" s="2"/>
      <c r="C50" s="82">
        <f>År1</f>
        <v>2019</v>
      </c>
      <c r="D50" s="82">
        <f>År2</f>
        <v>2030</v>
      </c>
      <c r="E50" s="82">
        <f>År3</f>
        <v>2050</v>
      </c>
    </row>
    <row r="51" spans="2:8" ht="27.75" customHeight="1" x14ac:dyDescent="0.25">
      <c r="B51" s="106" t="s">
        <v>151</v>
      </c>
      <c r="C51" s="107">
        <f>786/121381</f>
        <v>6.475478040220463E-3</v>
      </c>
      <c r="D51" s="188">
        <v>7.0000000000000001E-3</v>
      </c>
      <c r="E51" s="188">
        <v>8.0000000000000002E-3</v>
      </c>
    </row>
    <row r="56" spans="2:8" x14ac:dyDescent="0.25">
      <c r="C56" s="394">
        <f>SUM(C32,C35,C38:C39,C45)</f>
        <v>0.79569205391369902</v>
      </c>
      <c r="D56" s="394">
        <f>SUM(D32,D35,D38:D39,D45)</f>
        <v>0.67946691240409673</v>
      </c>
      <c r="E56" s="394">
        <f>SUM(E32,E35,E38:E39,E45)</f>
        <v>0.35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24"/>
  <sheetViews>
    <sheetView zoomScale="85" zoomScaleNormal="85" workbookViewId="0">
      <selection activeCell="C20" sqref="C20:E2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06" t="s">
        <v>271</v>
      </c>
    </row>
    <row r="2" spans="1:9" ht="15.75" thickBot="1" x14ac:dyDescent="0.3">
      <c r="A2" s="291"/>
      <c r="B2" s="291"/>
      <c r="C2" s="291">
        <f>År1</f>
        <v>2019</v>
      </c>
      <c r="D2" s="291">
        <f>År2</f>
        <v>2030</v>
      </c>
      <c r="E2" s="291">
        <f>År3</f>
        <v>2050</v>
      </c>
      <c r="F2" s="291" t="s">
        <v>314</v>
      </c>
    </row>
    <row r="3" spans="1:9" x14ac:dyDescent="0.25">
      <c r="A3" s="292" t="str">
        <f>'[1]Processer - data'!$D440</f>
        <v>Korn</v>
      </c>
      <c r="B3" s="1" t="s">
        <v>133</v>
      </c>
      <c r="C3" s="111">
        <f>VLOOKUP(A3,[1]Foder!$A$2:$E$16,5,FALSE)</f>
        <v>0.39994582515067378</v>
      </c>
      <c r="D3" s="290">
        <f>C3</f>
        <v>0.39994582515067378</v>
      </c>
      <c r="E3" s="290">
        <f>D3</f>
        <v>0.39994582515067378</v>
      </c>
      <c r="I3" s="220"/>
    </row>
    <row r="4" spans="1:9" x14ac:dyDescent="0.25">
      <c r="A4" s="2" t="str">
        <f>'[1]Processer - data'!$D441</f>
        <v>Halm</v>
      </c>
      <c r="B4" s="1" t="s">
        <v>133</v>
      </c>
      <c r="C4" s="111">
        <f>VLOOKUP(A4,[1]Foder!$A$2:$E$16,5,FALSE)</f>
        <v>1.1105844111871065E-2</v>
      </c>
      <c r="D4" s="290">
        <f t="shared" ref="D4:E4" si="0">C4</f>
        <v>1.1105844111871065E-2</v>
      </c>
      <c r="E4" s="290">
        <f t="shared" si="0"/>
        <v>1.1105844111871065E-2</v>
      </c>
      <c r="I4" s="220"/>
    </row>
    <row r="5" spans="1:9" x14ac:dyDescent="0.25">
      <c r="A5" s="2" t="str">
        <f>'[1]Processer - data'!$D442</f>
        <v>Kartofler</v>
      </c>
      <c r="B5" s="1" t="s">
        <v>133</v>
      </c>
      <c r="C5" s="111">
        <f>VLOOKUP(A5,[1]Foder!$A$2:$E$16,5,FALSE)</f>
        <v>0</v>
      </c>
      <c r="D5" s="290">
        <f t="shared" ref="D5:E5" si="1">C5</f>
        <v>0</v>
      </c>
      <c r="E5" s="290">
        <f t="shared" si="1"/>
        <v>0</v>
      </c>
      <c r="I5" s="220"/>
    </row>
    <row r="6" spans="1:9" x14ac:dyDescent="0.25">
      <c r="A6" s="2" t="str">
        <f>'[1]Processer - data'!$D443</f>
        <v>Bælgsæd</v>
      </c>
      <c r="B6" s="1" t="s">
        <v>133</v>
      </c>
      <c r="C6" s="111">
        <f>VLOOKUP(A6,[1]Foder!$A$2:$E$16,5,FALSE)</f>
        <v>5.2820478093045303E-3</v>
      </c>
      <c r="D6" s="290">
        <f t="shared" ref="D6:E6" si="2">C6</f>
        <v>5.2820478093045303E-3</v>
      </c>
      <c r="E6" s="290">
        <f t="shared" si="2"/>
        <v>5.2820478093045303E-3</v>
      </c>
      <c r="I6" s="220"/>
    </row>
    <row r="7" spans="1:9" x14ac:dyDescent="0.25">
      <c r="A7" s="2" t="str">
        <f>'[1]Processer - data'!$D444</f>
        <v>Roer</v>
      </c>
      <c r="B7" s="1" t="s">
        <v>133</v>
      </c>
      <c r="C7" s="111">
        <f>VLOOKUP(A7,[1]Foder!$A$2:$E$16,5,FALSE)</f>
        <v>9.683754317058306E-3</v>
      </c>
      <c r="D7" s="290">
        <f t="shared" ref="D7:E7" si="3">C7</f>
        <v>9.683754317058306E-3</v>
      </c>
      <c r="E7" s="290">
        <f t="shared" si="3"/>
        <v>9.683754317058306E-3</v>
      </c>
      <c r="I7" s="220"/>
    </row>
    <row r="8" spans="1:9" x14ac:dyDescent="0.25">
      <c r="A8" s="2" t="str">
        <f>'[1]Processer - data'!$D445</f>
        <v>Majs</v>
      </c>
      <c r="B8" s="1" t="s">
        <v>133</v>
      </c>
      <c r="C8" s="111">
        <f>VLOOKUP(A8,[1]Foder!$A$2:$E$16,5,FALSE)</f>
        <v>0.1132931536534164</v>
      </c>
      <c r="D8" s="290">
        <f t="shared" ref="D8:E8" si="4">C8</f>
        <v>0.1132931536534164</v>
      </c>
      <c r="E8" s="290">
        <f t="shared" si="4"/>
        <v>0.1132931536534164</v>
      </c>
      <c r="I8" s="220"/>
    </row>
    <row r="9" spans="1:9" x14ac:dyDescent="0.25">
      <c r="A9" s="2" t="str">
        <f>'[1]Processer - data'!$D446</f>
        <v>Rapskage</v>
      </c>
      <c r="B9" s="1" t="s">
        <v>133</v>
      </c>
      <c r="C9" s="111">
        <f>VLOOKUP(A9,[1]Foder!$A$2:$E$16,5,FALSE)</f>
        <v>1.6320173359517843E-2</v>
      </c>
      <c r="D9" s="290">
        <f t="shared" ref="D9:E9" si="5">C9</f>
        <v>1.6320173359517843E-2</v>
      </c>
      <c r="E9" s="290">
        <f t="shared" si="5"/>
        <v>1.6320173359517843E-2</v>
      </c>
      <c r="I9" s="220"/>
    </row>
    <row r="10" spans="1:9" x14ac:dyDescent="0.25">
      <c r="A10" s="2" t="str">
        <f>'[1]Processer - data'!$D447</f>
        <v>Tang</v>
      </c>
      <c r="B10" s="1" t="s">
        <v>133</v>
      </c>
      <c r="C10" s="111">
        <f>VLOOKUP(A10,[1]Foder!$A$2:$E$16,5,FALSE)</f>
        <v>0</v>
      </c>
      <c r="D10" s="290">
        <f t="shared" ref="D10:E10" si="6">C10</f>
        <v>0</v>
      </c>
      <c r="E10" s="290">
        <f t="shared" si="6"/>
        <v>0</v>
      </c>
      <c r="I10" s="220"/>
    </row>
    <row r="11" spans="1:9" x14ac:dyDescent="0.25">
      <c r="A11" s="2" t="str">
        <f>'[1]Processer - data'!$D448</f>
        <v>Muslinger</v>
      </c>
      <c r="B11" s="1" t="s">
        <v>133</v>
      </c>
      <c r="C11" s="111">
        <f>VLOOKUP(A11,[1]Foder!$A$2:$E$16,5,FALSE)</f>
        <v>0</v>
      </c>
      <c r="D11" s="290">
        <f t="shared" ref="D11:E11" si="7">C11</f>
        <v>0</v>
      </c>
      <c r="E11" s="290">
        <f t="shared" si="7"/>
        <v>0</v>
      </c>
      <c r="I11" s="220"/>
    </row>
    <row r="12" spans="1:9" x14ac:dyDescent="0.25">
      <c r="A12" s="2" t="str">
        <f>'[1]Processer - data'!$D449</f>
        <v>Græs</v>
      </c>
      <c r="B12" s="1" t="s">
        <v>133</v>
      </c>
      <c r="C12" s="111">
        <f>VLOOKUP(A12,[1]Foder!$A$2:$E$16,5,FALSE)</f>
        <v>0.15385657208640888</v>
      </c>
      <c r="D12" s="290">
        <f t="shared" ref="D12:E12" si="8">C12</f>
        <v>0.15385657208640888</v>
      </c>
      <c r="E12" s="290">
        <f t="shared" si="8"/>
        <v>0.15385657208640888</v>
      </c>
    </row>
    <row r="13" spans="1:9" x14ac:dyDescent="0.25">
      <c r="A13" s="2" t="str">
        <f>'[1]Processer - data'!$D450</f>
        <v>Mælk til foder</v>
      </c>
      <c r="B13" s="1" t="s">
        <v>133</v>
      </c>
      <c r="C13" s="111">
        <f>VLOOKUP(A13,[1]Foder!$A$2:$E$16,5,FALSE)</f>
        <v>1.1038125550213313E-2</v>
      </c>
      <c r="D13" s="290">
        <f t="shared" ref="D13:E13" si="9">C13</f>
        <v>1.1038125550213313E-2</v>
      </c>
      <c r="E13" s="290">
        <f t="shared" si="9"/>
        <v>1.1038125550213313E-2</v>
      </c>
    </row>
    <row r="14" spans="1:9" x14ac:dyDescent="0.25">
      <c r="A14" s="2" t="str">
        <f>'[1]Processer - data'!$D451</f>
        <v>Fiberfraktion</v>
      </c>
      <c r="B14" s="1" t="s">
        <v>133</v>
      </c>
      <c r="C14" s="111">
        <f>VLOOKUP(A14,[1]Foder!$A$2:$E$16,5,FALSE)</f>
        <v>0</v>
      </c>
      <c r="D14" s="111">
        <f>ROUND('[1]Processer - data'!I$491/'[1]Processer - data'!I$490*D15*'[1]Processer - data'!$H$451/'[1]Processer - data'!$H$452,3)</f>
        <v>0</v>
      </c>
      <c r="E14" s="111">
        <f>ROUND('[1]Processer - data'!J$491/'[1]Processer - data'!J$490*E15*'[1]Processer - data'!$H$451/'[1]Processer - data'!$H$452,3)</f>
        <v>0</v>
      </c>
      <c r="F14" s="1" t="s">
        <v>315</v>
      </c>
    </row>
    <row r="15" spans="1:9" x14ac:dyDescent="0.25">
      <c r="A15" s="2" t="str">
        <f>'[1]Processer - data'!$D452</f>
        <v>Græsprotein</v>
      </c>
      <c r="B15" s="1" t="s">
        <v>133</v>
      </c>
      <c r="C15" s="111">
        <f>VLOOKUP(A15,[1]Foder!$A$2:$E$16,5,FALSE)</f>
        <v>0</v>
      </c>
      <c r="D15" s="290">
        <f>C15</f>
        <v>0</v>
      </c>
      <c r="E15" s="290">
        <f>D15</f>
        <v>0</v>
      </c>
    </row>
    <row r="16" spans="1:9" x14ac:dyDescent="0.25">
      <c r="A16" s="2" t="str">
        <f>'[1]Processer - data'!$D453</f>
        <v>Slagteriaffald til foder</v>
      </c>
      <c r="B16" s="1" t="s">
        <v>133</v>
      </c>
      <c r="C16" s="111">
        <f>VLOOKUP(A16,[1]Foder!$A$2:$E$16,5,FALSE)</f>
        <v>8.1939459605877979E-3</v>
      </c>
      <c r="D16" s="290">
        <f t="shared" ref="D16:E16" si="10">C16</f>
        <v>8.1939459605877979E-3</v>
      </c>
      <c r="E16" s="290">
        <f t="shared" si="10"/>
        <v>8.1939459605877979E-3</v>
      </c>
    </row>
    <row r="17" spans="1:6" ht="15.75" thickBot="1" x14ac:dyDescent="0.3">
      <c r="A17" s="2" t="str">
        <f>'[1]Processer - data'!$D454</f>
        <v>Import af foder</v>
      </c>
      <c r="B17" s="1" t="s">
        <v>133</v>
      </c>
      <c r="C17" s="111">
        <f>VLOOKUP(A17,[1]Foder!$A$2:$E$16,5,FALSE)</f>
        <v>0.27128055800094808</v>
      </c>
      <c r="D17" s="290">
        <f t="shared" ref="D17:E17" si="11">C17</f>
        <v>0.27128055800094808</v>
      </c>
      <c r="E17" s="290">
        <f t="shared" si="11"/>
        <v>0.27128055800094808</v>
      </c>
      <c r="F17" s="291"/>
    </row>
    <row r="18" spans="1:6" ht="15.75" thickBot="1" x14ac:dyDescent="0.3">
      <c r="A18" s="221" t="s">
        <v>30</v>
      </c>
      <c r="B18" s="221" t="s">
        <v>133</v>
      </c>
      <c r="C18" s="112">
        <f>SUM(C3:C17)</f>
        <v>1</v>
      </c>
      <c r="D18" s="112">
        <f>ROUND(SUM(D3:D17),3)</f>
        <v>1</v>
      </c>
      <c r="E18" s="112">
        <f>ROUND(SUM(E3:E17),3)</f>
        <v>1</v>
      </c>
      <c r="F18" s="294" t="s">
        <v>316</v>
      </c>
    </row>
    <row r="20" spans="1:6" x14ac:dyDescent="0.25">
      <c r="D20" s="394"/>
    </row>
    <row r="21" spans="1:6" x14ac:dyDescent="0.25">
      <c r="D21" s="394"/>
      <c r="E21" s="394"/>
    </row>
    <row r="22" spans="1:6" x14ac:dyDescent="0.25">
      <c r="D22" s="394"/>
      <c r="E22" s="394"/>
    </row>
    <row r="23" spans="1:6" x14ac:dyDescent="0.25">
      <c r="D23" s="394"/>
      <c r="E23" s="394"/>
    </row>
    <row r="24" spans="1:6" x14ac:dyDescent="0.25">
      <c r="D24" s="394"/>
      <c r="E24" s="394"/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59" sqref="D5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05" t="s">
        <v>271</v>
      </c>
    </row>
    <row r="2" spans="1:4" x14ac:dyDescent="0.25">
      <c r="A2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280</v>
      </c>
      <c r="B9" s="2"/>
      <c r="C9" s="188">
        <v>5.0000000000000001E-3</v>
      </c>
      <c r="D9" s="4"/>
    </row>
    <row r="10" spans="1:4" x14ac:dyDescent="0.25">
      <c r="A10" s="79"/>
      <c r="B10" s="79"/>
      <c r="C10" s="79"/>
      <c r="D10" s="81"/>
    </row>
    <row r="11" spans="1:4" x14ac:dyDescent="0.25">
      <c r="A11" s="2" t="s">
        <v>279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0.05</v>
      </c>
      <c r="D13" s="8">
        <v>0.05</v>
      </c>
    </row>
    <row r="14" spans="1:4" x14ac:dyDescent="0.25">
      <c r="A14" s="2" t="s">
        <v>177</v>
      </c>
      <c r="B14" s="7">
        <v>0</v>
      </c>
      <c r="C14" s="8">
        <v>0.45</v>
      </c>
      <c r="D14" s="8">
        <v>0.45</v>
      </c>
    </row>
    <row r="15" spans="1:4" x14ac:dyDescent="0.25">
      <c r="A15" s="2" t="s">
        <v>178</v>
      </c>
      <c r="B15" s="7">
        <v>0</v>
      </c>
      <c r="C15" s="8">
        <v>0.05</v>
      </c>
      <c r="D15" s="8">
        <v>0.05</v>
      </c>
    </row>
    <row r="16" spans="1:4" x14ac:dyDescent="0.25">
      <c r="A16" s="2" t="s">
        <v>179</v>
      </c>
      <c r="B16" s="7">
        <v>0</v>
      </c>
      <c r="C16" s="8">
        <v>0.45</v>
      </c>
      <c r="D16" s="8">
        <v>0.45</v>
      </c>
    </row>
    <row r="17" spans="1:8" ht="15.75" thickBot="1" x14ac:dyDescent="0.3">
      <c r="A17" s="309" t="s">
        <v>180</v>
      </c>
      <c r="B17" s="310">
        <v>0</v>
      </c>
      <c r="C17" s="313">
        <v>0</v>
      </c>
      <c r="D17" s="313">
        <v>0</v>
      </c>
    </row>
    <row r="18" spans="1:8" ht="15.75" thickBot="1" x14ac:dyDescent="0.3">
      <c r="A18" s="311" t="s">
        <v>30</v>
      </c>
      <c r="B18" s="312"/>
      <c r="C18" s="312">
        <f>SUM(C13:C17)</f>
        <v>1</v>
      </c>
      <c r="D18" s="312">
        <f>SUM(D13:D17)</f>
        <v>1</v>
      </c>
    </row>
    <row r="19" spans="1:8" x14ac:dyDescent="0.25">
      <c r="B19" s="12"/>
      <c r="C19" s="12"/>
      <c r="D19" s="12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4" t="s">
        <v>184</v>
      </c>
      <c r="B21" s="165" t="s">
        <v>185</v>
      </c>
      <c r="C21" s="165">
        <f>År1</f>
        <v>2019</v>
      </c>
      <c r="D21" s="165">
        <f>År2</f>
        <v>2030</v>
      </c>
      <c r="E21" s="165">
        <f>År3</f>
        <v>2050</v>
      </c>
      <c r="F21" s="165">
        <f>År1</f>
        <v>2019</v>
      </c>
      <c r="G21" s="165">
        <f>År2</f>
        <v>2030</v>
      </c>
      <c r="H21" s="165">
        <f>År3</f>
        <v>2050</v>
      </c>
    </row>
    <row r="22" spans="1:8" hidden="1" x14ac:dyDescent="0.25">
      <c r="A22" s="2" t="s">
        <v>182</v>
      </c>
      <c r="B22" s="166" t="s">
        <v>181</v>
      </c>
      <c r="C22" s="103">
        <f>Arealanvendelse!J27</f>
        <v>435064.52162306459</v>
      </c>
      <c r="D22" s="103">
        <f>C22*(1-$C$9)^(D21-C21)</f>
        <v>411725.30255233188</v>
      </c>
      <c r="E22" s="103">
        <f>D22*(1-$C$9)^(E21-D21)</f>
        <v>372451.02368307725</v>
      </c>
      <c r="F22" s="103">
        <f>Arealanvendelse!J37</f>
        <v>127345.4783769354</v>
      </c>
      <c r="G22" s="103">
        <f>F22*(1-$C$9)^(G21-F21)</f>
        <v>120513.97668054659</v>
      </c>
      <c r="H22" s="103">
        <f>G22*(1-$C$9)^(H21-G21)</f>
        <v>109018.20632479334</v>
      </c>
    </row>
    <row r="23" spans="1:8" hidden="1" x14ac:dyDescent="0.25">
      <c r="A23" s="2" t="s">
        <v>176</v>
      </c>
      <c r="B23" s="167">
        <v>10</v>
      </c>
      <c r="C23" s="103">
        <v>0</v>
      </c>
      <c r="D23" s="103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3615.8703437693521</v>
      </c>
      <c r="E23" s="103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4977.6607022998596</v>
      </c>
      <c r="F23" s="103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3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698.19114071466845</v>
      </c>
      <c r="H23" s="103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890.85122692804998</v>
      </c>
    </row>
    <row r="24" spans="1:8" hidden="1" x14ac:dyDescent="0.25">
      <c r="A24" s="2" t="s">
        <v>176</v>
      </c>
      <c r="B24" s="167">
        <v>20</v>
      </c>
      <c r="C24" s="103">
        <v>0</v>
      </c>
      <c r="D24" s="103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364.53368246961463</v>
      </c>
      <c r="E24" s="103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5025.6642058609605</v>
      </c>
      <c r="F24" s="103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3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70.681612143180047</v>
      </c>
      <c r="H24" s="103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905.02086990301564</v>
      </c>
    </row>
    <row r="25" spans="1:8" hidden="1" x14ac:dyDescent="0.25">
      <c r="A25" s="2" t="s">
        <v>176</v>
      </c>
      <c r="B25" s="167">
        <v>30</v>
      </c>
      <c r="C25" s="103">
        <v>0</v>
      </c>
      <c r="D25" s="103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3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3615.8703437693521</v>
      </c>
      <c r="F25" s="103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3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3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698.19114071466845</v>
      </c>
    </row>
    <row r="26" spans="1:8" hidden="1" x14ac:dyDescent="0.25">
      <c r="A26" s="2" t="s">
        <v>176</v>
      </c>
      <c r="B26" s="168">
        <v>40</v>
      </c>
      <c r="C26" s="103">
        <v>0</v>
      </c>
      <c r="D26" s="103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3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363.33149692104462</v>
      </c>
      <c r="F26" s="103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3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3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70.448513209516364</v>
      </c>
    </row>
    <row r="27" spans="1:8" hidden="1" x14ac:dyDescent="0.25">
      <c r="A27" s="2" t="s">
        <v>177</v>
      </c>
      <c r="B27" s="167">
        <v>10</v>
      </c>
      <c r="C27" s="103">
        <v>0</v>
      </c>
      <c r="D27" s="103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32547.837708886895</v>
      </c>
      <c r="E27" s="103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45747.463772336472</v>
      </c>
      <c r="F27" s="103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3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6284.6906411072023</v>
      </c>
      <c r="H27" s="103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8195.9946084659714</v>
      </c>
    </row>
    <row r="28" spans="1:8" hidden="1" x14ac:dyDescent="0.25">
      <c r="A28" s="2" t="s">
        <v>177</v>
      </c>
      <c r="B28" s="167">
        <v>20</v>
      </c>
      <c r="C28" s="103">
        <v>0</v>
      </c>
      <c r="D28" s="103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3275.7985272638125</v>
      </c>
      <c r="E28" s="103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45173.285182142659</v>
      </c>
      <c r="F28" s="103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3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635.16413461343438</v>
      </c>
      <c r="H28" s="103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8139.0053057825789</v>
      </c>
    </row>
    <row r="29" spans="1:8" hidden="1" x14ac:dyDescent="0.25">
      <c r="A29" s="2" t="s">
        <v>177</v>
      </c>
      <c r="B29" s="167">
        <v>30</v>
      </c>
      <c r="C29" s="103">
        <v>0</v>
      </c>
      <c r="D29" s="103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3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31749.414907659091</v>
      </c>
      <c r="F29" s="103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3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3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6130.4559698886542</v>
      </c>
    </row>
    <row r="30" spans="1:8" hidden="1" x14ac:dyDescent="0.25">
      <c r="A30" s="2" t="s">
        <v>177</v>
      </c>
      <c r="B30" s="168">
        <v>40</v>
      </c>
      <c r="C30" s="103">
        <v>0</v>
      </c>
      <c r="D30" s="103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3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3172.5768775227571</v>
      </c>
      <c r="F30" s="103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3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3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615.1498726600563</v>
      </c>
    </row>
    <row r="31" spans="1:8" hidden="1" x14ac:dyDescent="0.25">
      <c r="A31" s="2" t="s">
        <v>178</v>
      </c>
      <c r="B31" s="167">
        <v>10</v>
      </c>
      <c r="C31" s="103">
        <v>0</v>
      </c>
      <c r="D31" s="103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3615.8703437693521</v>
      </c>
      <c r="E31" s="103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4977.1213052648709</v>
      </c>
      <c r="F31" s="103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3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698.19114071466845</v>
      </c>
      <c r="H31" s="103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890.74664001646488</v>
      </c>
    </row>
    <row r="32" spans="1:8" hidden="1" x14ac:dyDescent="0.25">
      <c r="A32" s="2" t="s">
        <v>178</v>
      </c>
      <c r="B32" s="167">
        <v>20</v>
      </c>
      <c r="C32" s="103">
        <v>0</v>
      </c>
      <c r="D32" s="103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364.53368246961463</v>
      </c>
      <c r="E32" s="103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5025.6642058609605</v>
      </c>
      <c r="F32" s="103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3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70.681612143180047</v>
      </c>
      <c r="H32" s="103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905.02086990301564</v>
      </c>
    </row>
    <row r="33" spans="1:10" hidden="1" x14ac:dyDescent="0.25">
      <c r="A33" s="2" t="s">
        <v>178</v>
      </c>
      <c r="B33" s="167">
        <v>30</v>
      </c>
      <c r="C33" s="103">
        <v>0</v>
      </c>
      <c r="D33" s="103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3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3615.8703437693521</v>
      </c>
      <c r="F33" s="103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3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3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698.19114071466845</v>
      </c>
    </row>
    <row r="34" spans="1:10" hidden="1" x14ac:dyDescent="0.25">
      <c r="A34" s="2" t="s">
        <v>178</v>
      </c>
      <c r="B34" s="168">
        <v>40</v>
      </c>
      <c r="C34" s="103">
        <v>0</v>
      </c>
      <c r="D34" s="103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3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363.87089395603351</v>
      </c>
      <c r="F34" s="103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3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3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70.553100121101537</v>
      </c>
    </row>
    <row r="35" spans="1:10" hidden="1" x14ac:dyDescent="0.25">
      <c r="A35" s="2" t="s">
        <v>179</v>
      </c>
      <c r="B35" s="167">
        <v>10</v>
      </c>
      <c r="C35" s="103">
        <v>0</v>
      </c>
      <c r="D35" s="103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32550.034856919305</v>
      </c>
      <c r="E35" s="103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45902.389129639385</v>
      </c>
      <c r="F35" s="103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3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6285.1166592572836</v>
      </c>
      <c r="H35" s="103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8223.7326928204147</v>
      </c>
    </row>
    <row r="36" spans="1:10" hidden="1" x14ac:dyDescent="0.25">
      <c r="A36" s="2" t="s">
        <v>179</v>
      </c>
      <c r="B36" s="167">
        <v>20</v>
      </c>
      <c r="C36" s="103">
        <v>0</v>
      </c>
      <c r="D36" s="103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3273.6013792313997</v>
      </c>
      <c r="E36" s="103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45142.599783169004</v>
      </c>
      <c r="F36" s="103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3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634.73811646335264</v>
      </c>
      <c r="H36" s="103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8135.2384124486625</v>
      </c>
    </row>
    <row r="37" spans="1:10" hidden="1" x14ac:dyDescent="0.25">
      <c r="A37" s="2" t="s">
        <v>179</v>
      </c>
      <c r="B37" s="167">
        <v>30</v>
      </c>
      <c r="C37" s="103">
        <v>0</v>
      </c>
      <c r="D37" s="103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3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31629.311727902626</v>
      </c>
      <c r="F37" s="103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3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3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6107.2868835642512</v>
      </c>
    </row>
    <row r="38" spans="1:10" hidden="1" x14ac:dyDescent="0.25">
      <c r="A38" s="2" t="s">
        <v>179</v>
      </c>
      <c r="B38" s="168">
        <v>40</v>
      </c>
      <c r="C38" s="103">
        <v>0</v>
      </c>
      <c r="D38" s="103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3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3168.4400989500195</v>
      </c>
      <c r="F38" s="103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3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3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614.34776796394249</v>
      </c>
    </row>
    <row r="39" spans="1:10" hidden="1" x14ac:dyDescent="0.25">
      <c r="A39" s="2" t="s">
        <v>180</v>
      </c>
      <c r="B39" s="167">
        <v>10</v>
      </c>
      <c r="C39" s="103">
        <v>0</v>
      </c>
      <c r="D39" s="103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3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3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3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3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67">
        <v>20</v>
      </c>
      <c r="C40" s="103">
        <v>0</v>
      </c>
      <c r="D40" s="103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3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3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3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3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67">
        <v>30</v>
      </c>
      <c r="C41" s="103">
        <v>0</v>
      </c>
      <c r="D41" s="103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3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3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3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3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3">
        <v>40</v>
      </c>
      <c r="C42" s="103">
        <v>0</v>
      </c>
      <c r="D42" s="103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3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3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3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3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37"/>
    </row>
    <row r="44" spans="1:10" hidden="1" x14ac:dyDescent="0.25">
      <c r="B44" s="137"/>
    </row>
    <row r="45" spans="1:10" hidden="1" x14ac:dyDescent="0.25">
      <c r="B45" s="137"/>
    </row>
    <row r="46" spans="1:10" hidden="1" x14ac:dyDescent="0.25"/>
    <row r="47" spans="1:10" hidden="1" x14ac:dyDescent="0.25">
      <c r="A47" s="413" t="s">
        <v>287</v>
      </c>
      <c r="B47" s="2" t="s">
        <v>23</v>
      </c>
      <c r="C47" s="2"/>
      <c r="D47" s="2"/>
      <c r="E47" s="2" t="s">
        <v>24</v>
      </c>
      <c r="F47" s="2"/>
      <c r="G47" s="2"/>
      <c r="H47" s="1" t="s">
        <v>326</v>
      </c>
    </row>
    <row r="48" spans="1:10" hidden="1" x14ac:dyDescent="0.25">
      <c r="A48" s="414"/>
      <c r="B48" s="165">
        <f>År1</f>
        <v>2019</v>
      </c>
      <c r="C48" s="165">
        <f>År2</f>
        <v>2030</v>
      </c>
      <c r="D48" s="165">
        <f>År3</f>
        <v>2050</v>
      </c>
      <c r="E48" s="165">
        <f>År1</f>
        <v>2019</v>
      </c>
      <c r="F48" s="165">
        <f>År2</f>
        <v>2030</v>
      </c>
      <c r="G48" s="165">
        <f>År3</f>
        <v>2050</v>
      </c>
      <c r="H48" s="165">
        <f>År1</f>
        <v>2019</v>
      </c>
      <c r="I48" s="165">
        <f>År2</f>
        <v>2030</v>
      </c>
      <c r="J48" s="165">
        <f>År3</f>
        <v>2050</v>
      </c>
    </row>
    <row r="49" spans="1:10" hidden="1" x14ac:dyDescent="0.25">
      <c r="A49" s="2" t="s">
        <v>182</v>
      </c>
      <c r="B49" s="103">
        <f t="shared" ref="B49:G54" si="0">SUMIF($A$22:$A$42,$A49,C$22:C$42)</f>
        <v>435064.52162306459</v>
      </c>
      <c r="C49" s="103">
        <f t="shared" si="0"/>
        <v>411725.30255233188</v>
      </c>
      <c r="D49" s="103">
        <f t="shared" si="0"/>
        <v>372451.02368307725</v>
      </c>
      <c r="E49" s="103">
        <f t="shared" si="0"/>
        <v>127345.4783769354</v>
      </c>
      <c r="F49" s="103">
        <f t="shared" si="0"/>
        <v>120513.97668054659</v>
      </c>
      <c r="G49" s="103">
        <f t="shared" si="0"/>
        <v>109018.20632479334</v>
      </c>
      <c r="H49" s="103">
        <f>SUM(B49,E49)</f>
        <v>562410</v>
      </c>
      <c r="I49" s="103">
        <f t="shared" ref="I49:J54" si="1">SUM(C49,F49)</f>
        <v>532239.27923287847</v>
      </c>
      <c r="J49" s="103">
        <f t="shared" si="1"/>
        <v>481469.23000787059</v>
      </c>
    </row>
    <row r="50" spans="1:10" hidden="1" x14ac:dyDescent="0.25">
      <c r="A50" s="2" t="s">
        <v>176</v>
      </c>
      <c r="B50" s="103">
        <f t="shared" si="0"/>
        <v>0</v>
      </c>
      <c r="C50" s="103">
        <f t="shared" ca="1" si="0"/>
        <v>3980.4040262389667</v>
      </c>
      <c r="D50" s="103">
        <f t="shared" ca="1" si="0"/>
        <v>13982.526748851215</v>
      </c>
      <c r="E50" s="103">
        <f t="shared" ca="1" si="0"/>
        <v>0</v>
      </c>
      <c r="F50" s="103">
        <f t="shared" ca="1" si="0"/>
        <v>768.87275285784847</v>
      </c>
      <c r="G50" s="103">
        <f t="shared" ca="1" si="0"/>
        <v>2564.5117507552504</v>
      </c>
      <c r="H50" s="103">
        <f t="shared" ref="H50:H54" ca="1" si="2">SUM(B50,E50)</f>
        <v>0</v>
      </c>
      <c r="I50" s="103">
        <f t="shared" ca="1" si="1"/>
        <v>4749.2767790968155</v>
      </c>
      <c r="J50" s="103">
        <f t="shared" ca="1" si="1"/>
        <v>16547.038499606464</v>
      </c>
    </row>
    <row r="51" spans="1:10" hidden="1" x14ac:dyDescent="0.25">
      <c r="A51" s="2" t="s">
        <v>177</v>
      </c>
      <c r="B51" s="103">
        <f t="shared" si="0"/>
        <v>0</v>
      </c>
      <c r="C51" s="103">
        <f ca="1">SUMIF($A$22:$A$42,$A51,D$22:D$42)</f>
        <v>35823.636236150705</v>
      </c>
      <c r="D51" s="103">
        <f t="shared" ca="1" si="0"/>
        <v>125842.74073966099</v>
      </c>
      <c r="E51" s="103">
        <f t="shared" ca="1" si="0"/>
        <v>0</v>
      </c>
      <c r="F51" s="103">
        <f t="shared" ca="1" si="0"/>
        <v>6919.854775720637</v>
      </c>
      <c r="G51" s="103">
        <f t="shared" ca="1" si="0"/>
        <v>23080.60575679726</v>
      </c>
      <c r="H51" s="103">
        <f t="shared" ca="1" si="2"/>
        <v>0</v>
      </c>
      <c r="I51" s="103">
        <f t="shared" ca="1" si="1"/>
        <v>42743.491011871345</v>
      </c>
      <c r="J51" s="103">
        <f t="shared" ca="1" si="1"/>
        <v>148923.34649645825</v>
      </c>
    </row>
    <row r="52" spans="1:10" hidden="1" x14ac:dyDescent="0.25">
      <c r="A52" s="2" t="s">
        <v>178</v>
      </c>
      <c r="B52" s="103">
        <f t="shared" si="0"/>
        <v>0</v>
      </c>
      <c r="C52" s="103">
        <f t="shared" ca="1" si="0"/>
        <v>3980.4040262389667</v>
      </c>
      <c r="D52" s="103">
        <f t="shared" ca="1" si="0"/>
        <v>13982.526748851216</v>
      </c>
      <c r="E52" s="103">
        <f t="shared" ca="1" si="0"/>
        <v>0</v>
      </c>
      <c r="F52" s="103">
        <f t="shared" ca="1" si="0"/>
        <v>768.87275285784847</v>
      </c>
      <c r="G52" s="103">
        <f t="shared" ca="1" si="0"/>
        <v>2564.5117507552504</v>
      </c>
      <c r="H52" s="103">
        <f t="shared" ca="1" si="2"/>
        <v>0</v>
      </c>
      <c r="I52" s="103">
        <f t="shared" ca="1" si="1"/>
        <v>4749.2767790968155</v>
      </c>
      <c r="J52" s="103">
        <f t="shared" ca="1" si="1"/>
        <v>16547.038499606468</v>
      </c>
    </row>
    <row r="53" spans="1:10" hidden="1" x14ac:dyDescent="0.25">
      <c r="A53" s="2" t="s">
        <v>179</v>
      </c>
      <c r="B53" s="103">
        <f t="shared" si="0"/>
        <v>0</v>
      </c>
      <c r="C53" s="103">
        <f t="shared" ca="1" si="0"/>
        <v>35823.636236150705</v>
      </c>
      <c r="D53" s="103">
        <f t="shared" ca="1" si="0"/>
        <v>125842.74073966102</v>
      </c>
      <c r="E53" s="103">
        <f t="shared" ca="1" si="0"/>
        <v>0</v>
      </c>
      <c r="F53" s="103">
        <f t="shared" ca="1" si="0"/>
        <v>6919.8547757206361</v>
      </c>
      <c r="G53" s="103">
        <f t="shared" ca="1" si="0"/>
        <v>23080.605756797271</v>
      </c>
      <c r="H53" s="103">
        <f t="shared" ca="1" si="2"/>
        <v>0</v>
      </c>
      <c r="I53" s="103">
        <f t="shared" ca="1" si="1"/>
        <v>42743.491011871345</v>
      </c>
      <c r="J53" s="103">
        <f t="shared" ca="1" si="1"/>
        <v>148923.34649645828</v>
      </c>
    </row>
    <row r="54" spans="1:10" hidden="1" x14ac:dyDescent="0.25">
      <c r="A54" s="2" t="s">
        <v>180</v>
      </c>
      <c r="B54" s="103">
        <f t="shared" si="0"/>
        <v>0</v>
      </c>
      <c r="C54" s="103">
        <f t="shared" ca="1" si="0"/>
        <v>0</v>
      </c>
      <c r="D54" s="103">
        <f t="shared" ca="1" si="0"/>
        <v>0</v>
      </c>
      <c r="E54" s="103">
        <f t="shared" ca="1" si="0"/>
        <v>0</v>
      </c>
      <c r="F54" s="103">
        <f t="shared" ca="1" si="0"/>
        <v>0</v>
      </c>
      <c r="G54" s="103">
        <f t="shared" ca="1" si="0"/>
        <v>0</v>
      </c>
      <c r="H54" s="103">
        <f t="shared" ca="1" si="2"/>
        <v>0</v>
      </c>
      <c r="I54" s="103">
        <f t="shared" ca="1" si="1"/>
        <v>0</v>
      </c>
      <c r="J54" s="103">
        <f t="shared" ca="1" si="1"/>
        <v>0</v>
      </c>
    </row>
    <row r="55" spans="1:10" hidden="1" x14ac:dyDescent="0.25"/>
    <row r="57" spans="1:10" x14ac:dyDescent="0.25">
      <c r="A57" s="1" t="s">
        <v>327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2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14" t="s">
        <v>119</v>
      </c>
      <c r="B60" s="310">
        <f>'[1]Processer - data'!$H424</f>
        <v>0.52</v>
      </c>
      <c r="C60" s="313">
        <f>B60</f>
        <v>0.52</v>
      </c>
      <c r="D60" s="313">
        <f>C60</f>
        <v>0.52</v>
      </c>
    </row>
    <row r="61" spans="1:10" ht="15.75" thickBot="1" x14ac:dyDescent="0.3">
      <c r="A61" s="311" t="s">
        <v>30</v>
      </c>
      <c r="B61" s="312">
        <f>SUM(B59:B60)</f>
        <v>1</v>
      </c>
      <c r="C61" s="312">
        <f t="shared" ref="C61:D61" si="3">SUM(C59:C60)</f>
        <v>1</v>
      </c>
      <c r="D61" s="312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L311"/>
  <sheetViews>
    <sheetView zoomScaleNormal="100" workbookViewId="0">
      <selection activeCell="D2" sqref="D2"/>
    </sheetView>
  </sheetViews>
  <sheetFormatPr defaultRowHeight="15" x14ac:dyDescent="0.25"/>
  <cols>
    <col min="1" max="1" width="10.140625" bestFit="1" customWidth="1"/>
    <col min="2" max="2" width="12.7109375" bestFit="1" customWidth="1"/>
  </cols>
  <sheetData>
    <row r="1" spans="1:36" x14ac:dyDescent="0.25">
      <c r="D1" t="s">
        <v>329</v>
      </c>
      <c r="E1" t="s">
        <v>328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</row>
    <row r="2" spans="1:36" x14ac:dyDescent="0.25">
      <c r="A2" t="s">
        <v>176</v>
      </c>
      <c r="B2" t="s">
        <v>23</v>
      </c>
      <c r="C2">
        <v>2020</v>
      </c>
      <c r="D2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108.76613040576632</v>
      </c>
      <c r="E2">
        <f t="shared" ref="E2:E63" si="0">IF(C2=2020,SUM(G2:AJ2),SUM(F1:AJ1)-SUM(G2:AJ2))</f>
        <v>0</v>
      </c>
      <c r="F2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364.53368246961463</v>
      </c>
      <c r="G2">
        <f>IF($C2-G$1&lt;År1,0,F1*(1-VLOOKUP($A2,[1]Hugst!$R$5:$W$9,MATCH(ROUNDUP((G$1)/10,0)*10,[1]Hugst!$R$4:$W$4,0))))</f>
        <v>0</v>
      </c>
      <c r="H2">
        <f>IF($C2-H$1&lt;År1,0,G1*(1-VLOOKUP($A2,[1]Hugst!$R$5:$W$9,MATCH(ROUNDUP((H$1)/10,0)*10,[1]Hugst!$R$4:$W$4,0))))</f>
        <v>0</v>
      </c>
      <c r="I2">
        <f>IF($C2-I$1&lt;År1,0,H1*(1-VLOOKUP($A2,[1]Hugst!$R$5:$W$9,MATCH(ROUNDUP((I$1)/10,0)*10,[1]Hugst!$R$4:$W$4,0))))</f>
        <v>0</v>
      </c>
      <c r="J2">
        <f>IF($C2-J$1&lt;År1,0,I1*(1-VLOOKUP($A2,[1]Hugst!$R$5:$W$9,MATCH(ROUNDUP((J$1)/10,0)*10,[1]Hugst!$R$4:$W$4,0))))</f>
        <v>0</v>
      </c>
      <c r="K2">
        <f>IF($C2-K$1&lt;År1,0,J1*(1-VLOOKUP($A2,[1]Hugst!$R$5:$W$9,MATCH(ROUNDUP((K$1)/10,0)*10,[1]Hugst!$R$4:$W$4,0))))</f>
        <v>0</v>
      </c>
      <c r="L2">
        <f>IF($C2-L$1&lt;År1,0,K1*(1-VLOOKUP($A2,[1]Hugst!$R$5:$W$9,MATCH(ROUNDUP((L$1)/10,0)*10,[1]Hugst!$R$4:$W$4,0))))</f>
        <v>0</v>
      </c>
      <c r="M2">
        <f>IF($C2-M$1&lt;År1,0,L1*(1-VLOOKUP($A2,[1]Hugst!$R$5:$W$9,MATCH(ROUNDUP((M$1)/10,0)*10,[1]Hugst!$R$4:$W$4,0))))</f>
        <v>0</v>
      </c>
      <c r="N2">
        <f>IF($C2-N$1&lt;År1,0,M1*(1-VLOOKUP($A2,[1]Hugst!$R$5:$W$9,MATCH(ROUNDUP((N$1)/10,0)*10,[1]Hugst!$R$4:$W$4,0))))</f>
        <v>0</v>
      </c>
      <c r="O2">
        <f>IF($C2-O$1&lt;År1,0,N1*(1-VLOOKUP($A2,[1]Hugst!$R$5:$W$9,MATCH(ROUNDUP((O$1)/10,0)*10,[1]Hugst!$R$4:$W$4,0))))</f>
        <v>0</v>
      </c>
      <c r="P2">
        <f>IF($C2-P$1&lt;År1,0,O1*(1-VLOOKUP($A2,[1]Hugst!$R$5:$W$9,MATCH(ROUNDUP((P$1)/10,0)*10,[1]Hugst!$R$4:$W$4,0))))</f>
        <v>0</v>
      </c>
      <c r="Q2">
        <f>IF($C2-Q$1&lt;År1,0,P1*(1-VLOOKUP($A2,[1]Hugst!$R$5:$W$9,MATCH(ROUNDUP((Q$1)/10,0)*10,[1]Hugst!$R$4:$W$4,0))))</f>
        <v>0</v>
      </c>
      <c r="R2">
        <f>IF($C2-R$1&lt;År1,0,Q1*(1-VLOOKUP($A2,[1]Hugst!$R$5:$W$9,MATCH(ROUNDUP((R$1)/10,0)*10,[1]Hugst!$R$4:$W$4,0))))</f>
        <v>0</v>
      </c>
      <c r="S2">
        <f>IF($C2-S$1&lt;År1,0,R1*(1-VLOOKUP($A2,[1]Hugst!$R$5:$W$9,MATCH(ROUNDUP((S$1)/10,0)*10,[1]Hugst!$R$4:$W$4,0))))</f>
        <v>0</v>
      </c>
      <c r="T2">
        <f>IF($C2-T$1&lt;År1,0,S1*(1-VLOOKUP($A2,[1]Hugst!$R$5:$W$9,MATCH(ROUNDUP((T$1)/10,0)*10,[1]Hugst!$R$4:$W$4,0))))</f>
        <v>0</v>
      </c>
      <c r="U2">
        <f>IF($C2-U$1&lt;År1,0,T1*(1-VLOOKUP($A2,[1]Hugst!$R$5:$W$9,MATCH(ROUNDUP((U$1)/10,0)*10,[1]Hugst!$R$4:$W$4,0))))</f>
        <v>0</v>
      </c>
      <c r="V2">
        <f>IF($C2-V$1&lt;År1,0,U1*(1-VLOOKUP($A2,[1]Hugst!$R$5:$W$9,MATCH(ROUNDUP((V$1)/10,0)*10,[1]Hugst!$R$4:$W$4,0))))</f>
        <v>0</v>
      </c>
      <c r="W2">
        <f>IF($C2-W$1&lt;År1,0,V1*(1-VLOOKUP($A2,[1]Hugst!$R$5:$W$9,MATCH(ROUNDUP((W$1)/10,0)*10,[1]Hugst!$R$4:$W$4,0))))</f>
        <v>0</v>
      </c>
      <c r="X2">
        <f>IF($C2-X$1&lt;År1,0,W1*(1-VLOOKUP($A2,[1]Hugst!$R$5:$W$9,MATCH(ROUNDUP((X$1)/10,0)*10,[1]Hugst!$R$4:$W$4,0))))</f>
        <v>0</v>
      </c>
      <c r="Y2">
        <f>IF($C2-Y$1&lt;År1,0,X1*(1-VLOOKUP($A2,[1]Hugst!$R$5:$W$9,MATCH(ROUNDUP((Y$1)/10,0)*10,[1]Hugst!$R$4:$W$4,0))))</f>
        <v>0</v>
      </c>
      <c r="Z2">
        <f>IF($C2-Z$1&lt;År1,0,Y1*(1-VLOOKUP($A2,[1]Hugst!$R$5:$W$9,MATCH(ROUNDUP((Z$1)/10,0)*10,[1]Hugst!$R$4:$W$4,0))))</f>
        <v>0</v>
      </c>
      <c r="AA2">
        <f>IF($C2-AA$1&lt;År1,0,Z1*(1-VLOOKUP($A2,[1]Hugst!$R$5:$W$9,MATCH(ROUNDUP((AA$1)/10,0)*10,[1]Hugst!$R$4:$W$4,0))))</f>
        <v>0</v>
      </c>
      <c r="AB2">
        <f>IF($C2-AB$1&lt;År1,0,AA1*(1-VLOOKUP($A2,[1]Hugst!$R$5:$W$9,MATCH(ROUNDUP((AB$1)/10,0)*10,[1]Hugst!$R$4:$W$4,0))))</f>
        <v>0</v>
      </c>
      <c r="AC2">
        <f>IF($C2-AC$1&lt;År1,0,AB1*(1-VLOOKUP($A2,[1]Hugst!$R$5:$W$9,MATCH(ROUNDUP((AC$1)/10,0)*10,[1]Hugst!$R$4:$W$4,0))))</f>
        <v>0</v>
      </c>
      <c r="AD2">
        <f>IF($C2-AD$1&lt;År1,0,AC1*(1-VLOOKUP($A2,[1]Hugst!$R$5:$W$9,MATCH(ROUNDUP((AD$1)/10,0)*10,[1]Hugst!$R$4:$W$4,0))))</f>
        <v>0</v>
      </c>
      <c r="AE2">
        <f>IF($C2-AE$1&lt;År1,0,AD1*(1-VLOOKUP($A2,[1]Hugst!$R$5:$W$9,MATCH(ROUNDUP((AE$1)/10,0)*10,[1]Hugst!$R$4:$W$4,0))))</f>
        <v>0</v>
      </c>
      <c r="AF2">
        <f>IF($C2-AF$1&lt;År1,0,AE1*(1-VLOOKUP($A2,[1]Hugst!$R$5:$W$9,MATCH(ROUNDUP((AF$1)/10,0)*10,[1]Hugst!$R$4:$W$4,0))))</f>
        <v>0</v>
      </c>
      <c r="AG2">
        <f>IF($C2-AG$1&lt;År1,0,AF1*(1-VLOOKUP($A2,[1]Hugst!$R$5:$W$9,MATCH(ROUNDUP((AG$1)/10,0)*10,[1]Hugst!$R$4:$W$4,0))))</f>
        <v>0</v>
      </c>
      <c r="AH2">
        <f>IF($C2-AH$1&lt;År1,0,AG1*(1-VLOOKUP($A2,[1]Hugst!$R$5:$W$9,MATCH(ROUNDUP((AH$1)/10,0)*10,[1]Hugst!$R$4:$W$4,0))))</f>
        <v>0</v>
      </c>
      <c r="AI2">
        <f>IF($C2-AI$1&lt;År1,0,AH1*(1-VLOOKUP($A2,[1]Hugst!$R$5:$W$9,MATCH(ROUNDUP((AI$1)/10,0)*10,[1]Hugst!$R$4:$W$4,0))))</f>
        <v>0</v>
      </c>
      <c r="AJ2">
        <f>IF($C2-AJ$1&lt;År1,0,AI1*(1-VLOOKUP($A2,[1]Hugst!$R$5:$W$9,MATCH(ROUNDUP((AJ$1)/10,0)*10,[1]Hugst!$R$4:$W$4,0))))</f>
        <v>0</v>
      </c>
    </row>
    <row r="3" spans="1:36" x14ac:dyDescent="0.25">
      <c r="A3" t="s">
        <v>176</v>
      </c>
      <c r="B3" t="s">
        <v>23</v>
      </c>
      <c r="C3">
        <v>2021</v>
      </c>
      <c r="D3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108.22229975373483</v>
      </c>
      <c r="E3">
        <f t="shared" ca="1" si="0"/>
        <v>0</v>
      </c>
      <c r="F3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363.98985181758314</v>
      </c>
      <c r="G3">
        <f ca="1">IF($C3-G$1&lt;År1,0,F2*(1-VLOOKUP($A3,[1]Hugst!$R$5:$W$9,MATCH(ROUNDUP((G$1)/10,0)*10,[1]Hugst!$R$4:$W$4,0))))</f>
        <v>364.53368246961463</v>
      </c>
      <c r="H3">
        <f>IF($C3-H$1&lt;År1,0,G2*(1-VLOOKUP($A3,[1]Hugst!$R$5:$W$9,MATCH(ROUNDUP((H$1)/10,0)*10,[1]Hugst!$R$4:$W$4,0))))</f>
        <v>0</v>
      </c>
      <c r="I3">
        <f>IF($C3-I$1&lt;År1,0,H2*(1-VLOOKUP($A3,[1]Hugst!$R$5:$W$9,MATCH(ROUNDUP((I$1)/10,0)*10,[1]Hugst!$R$4:$W$4,0))))</f>
        <v>0</v>
      </c>
      <c r="J3">
        <f>IF($C3-J$1&lt;År1,0,I2*(1-VLOOKUP($A3,[1]Hugst!$R$5:$W$9,MATCH(ROUNDUP((J$1)/10,0)*10,[1]Hugst!$R$4:$W$4,0))))</f>
        <v>0</v>
      </c>
      <c r="K3">
        <f>IF($C3-K$1&lt;År1,0,J2*(1-VLOOKUP($A3,[1]Hugst!$R$5:$W$9,MATCH(ROUNDUP((K$1)/10,0)*10,[1]Hugst!$R$4:$W$4,0))))</f>
        <v>0</v>
      </c>
      <c r="L3">
        <f>IF($C3-L$1&lt;År1,0,K2*(1-VLOOKUP($A3,[1]Hugst!$R$5:$W$9,MATCH(ROUNDUP((L$1)/10,0)*10,[1]Hugst!$R$4:$W$4,0))))</f>
        <v>0</v>
      </c>
      <c r="M3">
        <f>IF($C3-M$1&lt;År1,0,L2*(1-VLOOKUP($A3,[1]Hugst!$R$5:$W$9,MATCH(ROUNDUP((M$1)/10,0)*10,[1]Hugst!$R$4:$W$4,0))))</f>
        <v>0</v>
      </c>
      <c r="N3">
        <f>IF($C3-N$1&lt;År1,0,M2*(1-VLOOKUP($A3,[1]Hugst!$R$5:$W$9,MATCH(ROUNDUP((N$1)/10,0)*10,[1]Hugst!$R$4:$W$4,0))))</f>
        <v>0</v>
      </c>
      <c r="O3">
        <f>IF($C3-O$1&lt;År1,0,N2*(1-VLOOKUP($A3,[1]Hugst!$R$5:$W$9,MATCH(ROUNDUP((O$1)/10,0)*10,[1]Hugst!$R$4:$W$4,0))))</f>
        <v>0</v>
      </c>
      <c r="P3">
        <f>IF($C3-P$1&lt;År1,0,O2*(1-VLOOKUP($A3,[1]Hugst!$R$5:$W$9,MATCH(ROUNDUP((P$1)/10,0)*10,[1]Hugst!$R$4:$W$4,0))))</f>
        <v>0</v>
      </c>
      <c r="Q3">
        <f>IF($C3-Q$1&lt;År1,0,P2*(1-VLOOKUP($A3,[1]Hugst!$R$5:$W$9,MATCH(ROUNDUP((Q$1)/10,0)*10,[1]Hugst!$R$4:$W$4,0))))</f>
        <v>0</v>
      </c>
      <c r="R3">
        <f>IF($C3-R$1&lt;År1,0,Q2*(1-VLOOKUP($A3,[1]Hugst!$R$5:$W$9,MATCH(ROUNDUP((R$1)/10,0)*10,[1]Hugst!$R$4:$W$4,0))))</f>
        <v>0</v>
      </c>
      <c r="S3">
        <f>IF($C3-S$1&lt;År1,0,R2*(1-VLOOKUP($A3,[1]Hugst!$R$5:$W$9,MATCH(ROUNDUP((S$1)/10,0)*10,[1]Hugst!$R$4:$W$4,0))))</f>
        <v>0</v>
      </c>
      <c r="T3">
        <f>IF($C3-T$1&lt;År1,0,S2*(1-VLOOKUP($A3,[1]Hugst!$R$5:$W$9,MATCH(ROUNDUP((T$1)/10,0)*10,[1]Hugst!$R$4:$W$4,0))))</f>
        <v>0</v>
      </c>
      <c r="U3">
        <f>IF($C3-U$1&lt;År1,0,T2*(1-VLOOKUP($A3,[1]Hugst!$R$5:$W$9,MATCH(ROUNDUP((U$1)/10,0)*10,[1]Hugst!$R$4:$W$4,0))))</f>
        <v>0</v>
      </c>
      <c r="V3">
        <f>IF($C3-V$1&lt;År1,0,U2*(1-VLOOKUP($A3,[1]Hugst!$R$5:$W$9,MATCH(ROUNDUP((V$1)/10,0)*10,[1]Hugst!$R$4:$W$4,0))))</f>
        <v>0</v>
      </c>
      <c r="W3">
        <f>IF($C3-W$1&lt;År1,0,V2*(1-VLOOKUP($A3,[1]Hugst!$R$5:$W$9,MATCH(ROUNDUP((W$1)/10,0)*10,[1]Hugst!$R$4:$W$4,0))))</f>
        <v>0</v>
      </c>
      <c r="X3">
        <f>IF($C3-X$1&lt;År1,0,W2*(1-VLOOKUP($A3,[1]Hugst!$R$5:$W$9,MATCH(ROUNDUP((X$1)/10,0)*10,[1]Hugst!$R$4:$W$4,0))))</f>
        <v>0</v>
      </c>
      <c r="Y3">
        <f>IF($C3-Y$1&lt;År1,0,X2*(1-VLOOKUP($A3,[1]Hugst!$R$5:$W$9,MATCH(ROUNDUP((Y$1)/10,0)*10,[1]Hugst!$R$4:$W$4,0))))</f>
        <v>0</v>
      </c>
      <c r="Z3">
        <f>IF($C3-Z$1&lt;År1,0,Y2*(1-VLOOKUP($A3,[1]Hugst!$R$5:$W$9,MATCH(ROUNDUP((Z$1)/10,0)*10,[1]Hugst!$R$4:$W$4,0))))</f>
        <v>0</v>
      </c>
      <c r="AA3">
        <f>IF($C3-AA$1&lt;År1,0,Z2*(1-VLOOKUP($A3,[1]Hugst!$R$5:$W$9,MATCH(ROUNDUP((AA$1)/10,0)*10,[1]Hugst!$R$4:$W$4,0))))</f>
        <v>0</v>
      </c>
      <c r="AB3">
        <f>IF($C3-AB$1&lt;År1,0,AA2*(1-VLOOKUP($A3,[1]Hugst!$R$5:$W$9,MATCH(ROUNDUP((AB$1)/10,0)*10,[1]Hugst!$R$4:$W$4,0))))</f>
        <v>0</v>
      </c>
      <c r="AC3">
        <f>IF($C3-AC$1&lt;År1,0,AB2*(1-VLOOKUP($A3,[1]Hugst!$R$5:$W$9,MATCH(ROUNDUP((AC$1)/10,0)*10,[1]Hugst!$R$4:$W$4,0))))</f>
        <v>0</v>
      </c>
      <c r="AD3">
        <f>IF($C3-AD$1&lt;År1,0,AC2*(1-VLOOKUP($A3,[1]Hugst!$R$5:$W$9,MATCH(ROUNDUP((AD$1)/10,0)*10,[1]Hugst!$R$4:$W$4,0))))</f>
        <v>0</v>
      </c>
      <c r="AE3">
        <f>IF($C3-AE$1&lt;År1,0,AD2*(1-VLOOKUP($A3,[1]Hugst!$R$5:$W$9,MATCH(ROUNDUP((AE$1)/10,0)*10,[1]Hugst!$R$4:$W$4,0))))</f>
        <v>0</v>
      </c>
      <c r="AF3">
        <f>IF($C3-AF$1&lt;År1,0,AE2*(1-VLOOKUP($A3,[1]Hugst!$R$5:$W$9,MATCH(ROUNDUP((AF$1)/10,0)*10,[1]Hugst!$R$4:$W$4,0))))</f>
        <v>0</v>
      </c>
      <c r="AG3">
        <f>IF($C3-AG$1&lt;År1,0,AF2*(1-VLOOKUP($A3,[1]Hugst!$R$5:$W$9,MATCH(ROUNDUP((AG$1)/10,0)*10,[1]Hugst!$R$4:$W$4,0))))</f>
        <v>0</v>
      </c>
      <c r="AH3">
        <f>IF($C3-AH$1&lt;År1,0,AG2*(1-VLOOKUP($A3,[1]Hugst!$R$5:$W$9,MATCH(ROUNDUP((AH$1)/10,0)*10,[1]Hugst!$R$4:$W$4,0))))</f>
        <v>0</v>
      </c>
      <c r="AI3">
        <f>IF($C3-AI$1&lt;År1,0,AH2*(1-VLOOKUP($A3,[1]Hugst!$R$5:$W$9,MATCH(ROUNDUP((AI$1)/10,0)*10,[1]Hugst!$R$4:$W$4,0))))</f>
        <v>0</v>
      </c>
      <c r="AJ3">
        <f>IF($C3-AJ$1&lt;År1,0,AI2*(1-VLOOKUP($A3,[1]Hugst!$R$5:$W$9,MATCH(ROUNDUP((AJ$1)/10,0)*10,[1]Hugst!$R$4:$W$4,0))))</f>
        <v>0</v>
      </c>
    </row>
    <row r="4" spans="1:36" x14ac:dyDescent="0.25">
      <c r="A4" t="s">
        <v>176</v>
      </c>
      <c r="B4" t="s">
        <v>23</v>
      </c>
      <c r="C4">
        <v>2022</v>
      </c>
      <c r="D4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107.68118825496936</v>
      </c>
      <c r="E4">
        <f t="shared" ca="1" si="0"/>
        <v>0</v>
      </c>
      <c r="F4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363.44874031881761</v>
      </c>
      <c r="G4">
        <f ca="1">IF($C4-G$1&lt;År1,0,F3*(1-VLOOKUP($A4,[1]Hugst!$R$5:$W$9,MATCH(ROUNDUP((G$1)/10,0)*10,[1]Hugst!$R$4:$W$4,0))))</f>
        <v>363.98985181758314</v>
      </c>
      <c r="H4">
        <f ca="1">IF($C4-H$1&lt;År1,0,G3*(1-VLOOKUP($A4,[1]Hugst!$R$5:$W$9,MATCH(ROUNDUP((H$1)/10,0)*10,[1]Hugst!$R$4:$W$4,0))))</f>
        <v>364.53368246961463</v>
      </c>
      <c r="I4">
        <f>IF($C4-I$1&lt;År1,0,H3*(1-VLOOKUP($A4,[1]Hugst!$R$5:$W$9,MATCH(ROUNDUP((I$1)/10,0)*10,[1]Hugst!$R$4:$W$4,0))))</f>
        <v>0</v>
      </c>
      <c r="J4">
        <f>IF($C4-J$1&lt;År1,0,I3*(1-VLOOKUP($A4,[1]Hugst!$R$5:$W$9,MATCH(ROUNDUP((J$1)/10,0)*10,[1]Hugst!$R$4:$W$4,0))))</f>
        <v>0</v>
      </c>
      <c r="K4">
        <f>IF($C4-K$1&lt;År1,0,J3*(1-VLOOKUP($A4,[1]Hugst!$R$5:$W$9,MATCH(ROUNDUP((K$1)/10,0)*10,[1]Hugst!$R$4:$W$4,0))))</f>
        <v>0</v>
      </c>
      <c r="L4">
        <f>IF($C4-L$1&lt;År1,0,K3*(1-VLOOKUP($A4,[1]Hugst!$R$5:$W$9,MATCH(ROUNDUP((L$1)/10,0)*10,[1]Hugst!$R$4:$W$4,0))))</f>
        <v>0</v>
      </c>
      <c r="M4">
        <f>IF($C4-M$1&lt;År1,0,L3*(1-VLOOKUP($A4,[1]Hugst!$R$5:$W$9,MATCH(ROUNDUP((M$1)/10,0)*10,[1]Hugst!$R$4:$W$4,0))))</f>
        <v>0</v>
      </c>
      <c r="N4">
        <f>IF($C4-N$1&lt;År1,0,M3*(1-VLOOKUP($A4,[1]Hugst!$R$5:$W$9,MATCH(ROUNDUP((N$1)/10,0)*10,[1]Hugst!$R$4:$W$4,0))))</f>
        <v>0</v>
      </c>
      <c r="O4">
        <f>IF($C4-O$1&lt;År1,0,N3*(1-VLOOKUP($A4,[1]Hugst!$R$5:$W$9,MATCH(ROUNDUP((O$1)/10,0)*10,[1]Hugst!$R$4:$W$4,0))))</f>
        <v>0</v>
      </c>
      <c r="P4">
        <f>IF($C4-P$1&lt;År1,0,O3*(1-VLOOKUP($A4,[1]Hugst!$R$5:$W$9,MATCH(ROUNDUP((P$1)/10,0)*10,[1]Hugst!$R$4:$W$4,0))))</f>
        <v>0</v>
      </c>
      <c r="Q4">
        <f>IF($C4-Q$1&lt;År1,0,P3*(1-VLOOKUP($A4,[1]Hugst!$R$5:$W$9,MATCH(ROUNDUP((Q$1)/10,0)*10,[1]Hugst!$R$4:$W$4,0))))</f>
        <v>0</v>
      </c>
      <c r="R4">
        <f>IF($C4-R$1&lt;År1,0,Q3*(1-VLOOKUP($A4,[1]Hugst!$R$5:$W$9,MATCH(ROUNDUP((R$1)/10,0)*10,[1]Hugst!$R$4:$W$4,0))))</f>
        <v>0</v>
      </c>
      <c r="S4">
        <f>IF($C4-S$1&lt;År1,0,R3*(1-VLOOKUP($A4,[1]Hugst!$R$5:$W$9,MATCH(ROUNDUP((S$1)/10,0)*10,[1]Hugst!$R$4:$W$4,0))))</f>
        <v>0</v>
      </c>
      <c r="T4">
        <f>IF($C4-T$1&lt;År1,0,S3*(1-VLOOKUP($A4,[1]Hugst!$R$5:$W$9,MATCH(ROUNDUP((T$1)/10,0)*10,[1]Hugst!$R$4:$W$4,0))))</f>
        <v>0</v>
      </c>
      <c r="U4">
        <f>IF($C4-U$1&lt;År1,0,T3*(1-VLOOKUP($A4,[1]Hugst!$R$5:$W$9,MATCH(ROUNDUP((U$1)/10,0)*10,[1]Hugst!$R$4:$W$4,0))))</f>
        <v>0</v>
      </c>
      <c r="V4">
        <f>IF($C4-V$1&lt;År1,0,U3*(1-VLOOKUP($A4,[1]Hugst!$R$5:$W$9,MATCH(ROUNDUP((V$1)/10,0)*10,[1]Hugst!$R$4:$W$4,0))))</f>
        <v>0</v>
      </c>
      <c r="W4">
        <f>IF($C4-W$1&lt;År1,0,V3*(1-VLOOKUP($A4,[1]Hugst!$R$5:$W$9,MATCH(ROUNDUP((W$1)/10,0)*10,[1]Hugst!$R$4:$W$4,0))))</f>
        <v>0</v>
      </c>
      <c r="X4">
        <f>IF($C4-X$1&lt;År1,0,W3*(1-VLOOKUP($A4,[1]Hugst!$R$5:$W$9,MATCH(ROUNDUP((X$1)/10,0)*10,[1]Hugst!$R$4:$W$4,0))))</f>
        <v>0</v>
      </c>
      <c r="Y4">
        <f>IF($C4-Y$1&lt;År1,0,X3*(1-VLOOKUP($A4,[1]Hugst!$R$5:$W$9,MATCH(ROUNDUP((Y$1)/10,0)*10,[1]Hugst!$R$4:$W$4,0))))</f>
        <v>0</v>
      </c>
      <c r="Z4">
        <f>IF($C4-Z$1&lt;År1,0,Y3*(1-VLOOKUP($A4,[1]Hugst!$R$5:$W$9,MATCH(ROUNDUP((Z$1)/10,0)*10,[1]Hugst!$R$4:$W$4,0))))</f>
        <v>0</v>
      </c>
      <c r="AA4">
        <f>IF($C4-AA$1&lt;År1,0,Z3*(1-VLOOKUP($A4,[1]Hugst!$R$5:$W$9,MATCH(ROUNDUP((AA$1)/10,0)*10,[1]Hugst!$R$4:$W$4,0))))</f>
        <v>0</v>
      </c>
      <c r="AB4">
        <f>IF($C4-AB$1&lt;År1,0,AA3*(1-VLOOKUP($A4,[1]Hugst!$R$5:$W$9,MATCH(ROUNDUP((AB$1)/10,0)*10,[1]Hugst!$R$4:$W$4,0))))</f>
        <v>0</v>
      </c>
      <c r="AC4">
        <f>IF($C4-AC$1&lt;År1,0,AB3*(1-VLOOKUP($A4,[1]Hugst!$R$5:$W$9,MATCH(ROUNDUP((AC$1)/10,0)*10,[1]Hugst!$R$4:$W$4,0))))</f>
        <v>0</v>
      </c>
      <c r="AD4">
        <f>IF($C4-AD$1&lt;År1,0,AC3*(1-VLOOKUP($A4,[1]Hugst!$R$5:$W$9,MATCH(ROUNDUP((AD$1)/10,0)*10,[1]Hugst!$R$4:$W$4,0))))</f>
        <v>0</v>
      </c>
      <c r="AE4">
        <f>IF($C4-AE$1&lt;År1,0,AD3*(1-VLOOKUP($A4,[1]Hugst!$R$5:$W$9,MATCH(ROUNDUP((AE$1)/10,0)*10,[1]Hugst!$R$4:$W$4,0))))</f>
        <v>0</v>
      </c>
      <c r="AF4">
        <f>IF($C4-AF$1&lt;År1,0,AE3*(1-VLOOKUP($A4,[1]Hugst!$R$5:$W$9,MATCH(ROUNDUP((AF$1)/10,0)*10,[1]Hugst!$R$4:$W$4,0))))</f>
        <v>0</v>
      </c>
      <c r="AG4">
        <f>IF($C4-AG$1&lt;År1,0,AF3*(1-VLOOKUP($A4,[1]Hugst!$R$5:$W$9,MATCH(ROUNDUP((AG$1)/10,0)*10,[1]Hugst!$R$4:$W$4,0))))</f>
        <v>0</v>
      </c>
      <c r="AH4">
        <f>IF($C4-AH$1&lt;År1,0,AG3*(1-VLOOKUP($A4,[1]Hugst!$R$5:$W$9,MATCH(ROUNDUP((AH$1)/10,0)*10,[1]Hugst!$R$4:$W$4,0))))</f>
        <v>0</v>
      </c>
      <c r="AI4">
        <f>IF($C4-AI$1&lt;År1,0,AH3*(1-VLOOKUP($A4,[1]Hugst!$R$5:$W$9,MATCH(ROUNDUP((AI$1)/10,0)*10,[1]Hugst!$R$4:$W$4,0))))</f>
        <v>0</v>
      </c>
      <c r="AJ4">
        <f>IF($C4-AJ$1&lt;År1,0,AI3*(1-VLOOKUP($A4,[1]Hugst!$R$5:$W$9,MATCH(ROUNDUP((AJ$1)/10,0)*10,[1]Hugst!$R$4:$W$4,0))))</f>
        <v>0</v>
      </c>
    </row>
    <row r="5" spans="1:36" x14ac:dyDescent="0.25">
      <c r="A5" t="s">
        <v>176</v>
      </c>
      <c r="B5" t="s">
        <v>23</v>
      </c>
      <c r="C5">
        <v>2023</v>
      </c>
      <c r="D5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107.14278231369389</v>
      </c>
      <c r="E5">
        <f t="shared" ca="1" si="0"/>
        <v>0</v>
      </c>
      <c r="F5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362.9103343775422</v>
      </c>
      <c r="G5">
        <f ca="1">IF($C5-G$1&lt;År1,0,F4*(1-VLOOKUP($A5,[1]Hugst!$R$5:$W$9,MATCH(ROUNDUP((G$1)/10,0)*10,[1]Hugst!$R$4:$W$4,0))))</f>
        <v>363.44874031881761</v>
      </c>
      <c r="H5">
        <f ca="1">IF($C5-H$1&lt;År1,0,G4*(1-VLOOKUP($A5,[1]Hugst!$R$5:$W$9,MATCH(ROUNDUP((H$1)/10,0)*10,[1]Hugst!$R$4:$W$4,0))))</f>
        <v>363.98985181758314</v>
      </c>
      <c r="I5">
        <f ca="1">IF($C5-I$1&lt;År1,0,H4*(1-VLOOKUP($A5,[1]Hugst!$R$5:$W$9,MATCH(ROUNDUP((I$1)/10,0)*10,[1]Hugst!$R$4:$W$4,0))))</f>
        <v>364.53368246961463</v>
      </c>
      <c r="J5">
        <f>IF($C5-J$1&lt;År1,0,I4*(1-VLOOKUP($A5,[1]Hugst!$R$5:$W$9,MATCH(ROUNDUP((J$1)/10,0)*10,[1]Hugst!$R$4:$W$4,0))))</f>
        <v>0</v>
      </c>
      <c r="K5">
        <f>IF($C5-K$1&lt;År1,0,J4*(1-VLOOKUP($A5,[1]Hugst!$R$5:$W$9,MATCH(ROUNDUP((K$1)/10,0)*10,[1]Hugst!$R$4:$W$4,0))))</f>
        <v>0</v>
      </c>
      <c r="L5">
        <f>IF($C5-L$1&lt;År1,0,K4*(1-VLOOKUP($A5,[1]Hugst!$R$5:$W$9,MATCH(ROUNDUP((L$1)/10,0)*10,[1]Hugst!$R$4:$W$4,0))))</f>
        <v>0</v>
      </c>
      <c r="M5">
        <f>IF($C5-M$1&lt;År1,0,L4*(1-VLOOKUP($A5,[1]Hugst!$R$5:$W$9,MATCH(ROUNDUP((M$1)/10,0)*10,[1]Hugst!$R$4:$W$4,0))))</f>
        <v>0</v>
      </c>
      <c r="N5">
        <f>IF($C5-N$1&lt;År1,0,M4*(1-VLOOKUP($A5,[1]Hugst!$R$5:$W$9,MATCH(ROUNDUP((N$1)/10,0)*10,[1]Hugst!$R$4:$W$4,0))))</f>
        <v>0</v>
      </c>
      <c r="O5">
        <f>IF($C5-O$1&lt;År1,0,N4*(1-VLOOKUP($A5,[1]Hugst!$R$5:$W$9,MATCH(ROUNDUP((O$1)/10,0)*10,[1]Hugst!$R$4:$W$4,0))))</f>
        <v>0</v>
      </c>
      <c r="P5">
        <f>IF($C5-P$1&lt;År1,0,O4*(1-VLOOKUP($A5,[1]Hugst!$R$5:$W$9,MATCH(ROUNDUP((P$1)/10,0)*10,[1]Hugst!$R$4:$W$4,0))))</f>
        <v>0</v>
      </c>
      <c r="Q5">
        <f>IF($C5-Q$1&lt;År1,0,P4*(1-VLOOKUP($A5,[1]Hugst!$R$5:$W$9,MATCH(ROUNDUP((Q$1)/10,0)*10,[1]Hugst!$R$4:$W$4,0))))</f>
        <v>0</v>
      </c>
      <c r="R5">
        <f>IF($C5-R$1&lt;År1,0,Q4*(1-VLOOKUP($A5,[1]Hugst!$R$5:$W$9,MATCH(ROUNDUP((R$1)/10,0)*10,[1]Hugst!$R$4:$W$4,0))))</f>
        <v>0</v>
      </c>
      <c r="S5">
        <f>IF($C5-S$1&lt;År1,0,R4*(1-VLOOKUP($A5,[1]Hugst!$R$5:$W$9,MATCH(ROUNDUP((S$1)/10,0)*10,[1]Hugst!$R$4:$W$4,0))))</f>
        <v>0</v>
      </c>
      <c r="T5">
        <f>IF($C5-T$1&lt;År1,0,S4*(1-VLOOKUP($A5,[1]Hugst!$R$5:$W$9,MATCH(ROUNDUP((T$1)/10,0)*10,[1]Hugst!$R$4:$W$4,0))))</f>
        <v>0</v>
      </c>
      <c r="U5">
        <f>IF($C5-U$1&lt;År1,0,T4*(1-VLOOKUP($A5,[1]Hugst!$R$5:$W$9,MATCH(ROUNDUP((U$1)/10,0)*10,[1]Hugst!$R$4:$W$4,0))))</f>
        <v>0</v>
      </c>
      <c r="V5">
        <f>IF($C5-V$1&lt;År1,0,U4*(1-VLOOKUP($A5,[1]Hugst!$R$5:$W$9,MATCH(ROUNDUP((V$1)/10,0)*10,[1]Hugst!$R$4:$W$4,0))))</f>
        <v>0</v>
      </c>
      <c r="W5">
        <f>IF($C5-W$1&lt;År1,0,V4*(1-VLOOKUP($A5,[1]Hugst!$R$5:$W$9,MATCH(ROUNDUP((W$1)/10,0)*10,[1]Hugst!$R$4:$W$4,0))))</f>
        <v>0</v>
      </c>
      <c r="X5">
        <f>IF($C5-X$1&lt;År1,0,W4*(1-VLOOKUP($A5,[1]Hugst!$R$5:$W$9,MATCH(ROUNDUP((X$1)/10,0)*10,[1]Hugst!$R$4:$W$4,0))))</f>
        <v>0</v>
      </c>
      <c r="Y5">
        <f>IF($C5-Y$1&lt;År1,0,X4*(1-VLOOKUP($A5,[1]Hugst!$R$5:$W$9,MATCH(ROUNDUP((Y$1)/10,0)*10,[1]Hugst!$R$4:$W$4,0))))</f>
        <v>0</v>
      </c>
      <c r="Z5">
        <f>IF($C5-Z$1&lt;År1,0,Y4*(1-VLOOKUP($A5,[1]Hugst!$R$5:$W$9,MATCH(ROUNDUP((Z$1)/10,0)*10,[1]Hugst!$R$4:$W$4,0))))</f>
        <v>0</v>
      </c>
      <c r="AA5">
        <f>IF($C5-AA$1&lt;År1,0,Z4*(1-VLOOKUP($A5,[1]Hugst!$R$5:$W$9,MATCH(ROUNDUP((AA$1)/10,0)*10,[1]Hugst!$R$4:$W$4,0))))</f>
        <v>0</v>
      </c>
      <c r="AB5">
        <f>IF($C5-AB$1&lt;År1,0,AA4*(1-VLOOKUP($A5,[1]Hugst!$R$5:$W$9,MATCH(ROUNDUP((AB$1)/10,0)*10,[1]Hugst!$R$4:$W$4,0))))</f>
        <v>0</v>
      </c>
      <c r="AC5">
        <f>IF($C5-AC$1&lt;År1,0,AB4*(1-VLOOKUP($A5,[1]Hugst!$R$5:$W$9,MATCH(ROUNDUP((AC$1)/10,0)*10,[1]Hugst!$R$4:$W$4,0))))</f>
        <v>0</v>
      </c>
      <c r="AD5">
        <f>IF($C5-AD$1&lt;År1,0,AC4*(1-VLOOKUP($A5,[1]Hugst!$R$5:$W$9,MATCH(ROUNDUP((AD$1)/10,0)*10,[1]Hugst!$R$4:$W$4,0))))</f>
        <v>0</v>
      </c>
      <c r="AE5">
        <f>IF($C5-AE$1&lt;År1,0,AD4*(1-VLOOKUP($A5,[1]Hugst!$R$5:$W$9,MATCH(ROUNDUP((AE$1)/10,0)*10,[1]Hugst!$R$4:$W$4,0))))</f>
        <v>0</v>
      </c>
      <c r="AF5">
        <f>IF($C5-AF$1&lt;År1,0,AE4*(1-VLOOKUP($A5,[1]Hugst!$R$5:$W$9,MATCH(ROUNDUP((AF$1)/10,0)*10,[1]Hugst!$R$4:$W$4,0))))</f>
        <v>0</v>
      </c>
      <c r="AG5">
        <f>IF($C5-AG$1&lt;År1,0,AF4*(1-VLOOKUP($A5,[1]Hugst!$R$5:$W$9,MATCH(ROUNDUP((AG$1)/10,0)*10,[1]Hugst!$R$4:$W$4,0))))</f>
        <v>0</v>
      </c>
      <c r="AH5">
        <f>IF($C5-AH$1&lt;År1,0,AG4*(1-VLOOKUP($A5,[1]Hugst!$R$5:$W$9,MATCH(ROUNDUP((AH$1)/10,0)*10,[1]Hugst!$R$4:$W$4,0))))</f>
        <v>0</v>
      </c>
      <c r="AI5">
        <f>IF($C5-AI$1&lt;År1,0,AH4*(1-VLOOKUP($A5,[1]Hugst!$R$5:$W$9,MATCH(ROUNDUP((AI$1)/10,0)*10,[1]Hugst!$R$4:$W$4,0))))</f>
        <v>0</v>
      </c>
      <c r="AJ5">
        <f>IF($C5-AJ$1&lt;År1,0,AI4*(1-VLOOKUP($A5,[1]Hugst!$R$5:$W$9,MATCH(ROUNDUP((AJ$1)/10,0)*10,[1]Hugst!$R$4:$W$4,0))))</f>
        <v>0</v>
      </c>
    </row>
    <row r="6" spans="1:36" x14ac:dyDescent="0.25">
      <c r="A6" t="s">
        <v>176</v>
      </c>
      <c r="B6" t="s">
        <v>23</v>
      </c>
      <c r="C6">
        <v>2024</v>
      </c>
      <c r="D6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106.60706840212509</v>
      </c>
      <c r="E6">
        <f t="shared" ca="1" si="0"/>
        <v>0</v>
      </c>
      <c r="F6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362.37462046597341</v>
      </c>
      <c r="G6">
        <f ca="1">IF($C6-G$1&lt;År1,0,F5*(1-VLOOKUP($A6,[1]Hugst!$R$5:$W$9,MATCH(ROUNDUP((G$1)/10,0)*10,[1]Hugst!$R$4:$W$4,0))))</f>
        <v>362.9103343775422</v>
      </c>
      <c r="H6">
        <f ca="1">IF($C6-H$1&lt;År1,0,G5*(1-VLOOKUP($A6,[1]Hugst!$R$5:$W$9,MATCH(ROUNDUP((H$1)/10,0)*10,[1]Hugst!$R$4:$W$4,0))))</f>
        <v>363.44874031881761</v>
      </c>
      <c r="I6">
        <f ca="1">IF($C6-I$1&lt;År1,0,H5*(1-VLOOKUP($A6,[1]Hugst!$R$5:$W$9,MATCH(ROUNDUP((I$1)/10,0)*10,[1]Hugst!$R$4:$W$4,0))))</f>
        <v>363.98985181758314</v>
      </c>
      <c r="J6">
        <f ca="1">IF($C6-J$1&lt;År1,0,I5*(1-VLOOKUP($A6,[1]Hugst!$R$5:$W$9,MATCH(ROUNDUP((J$1)/10,0)*10,[1]Hugst!$R$4:$W$4,0))))</f>
        <v>364.53368246961463</v>
      </c>
      <c r="K6">
        <f>IF($C6-K$1&lt;År1,0,J5*(1-VLOOKUP($A6,[1]Hugst!$R$5:$W$9,MATCH(ROUNDUP((K$1)/10,0)*10,[1]Hugst!$R$4:$W$4,0))))</f>
        <v>0</v>
      </c>
      <c r="L6">
        <f>IF($C6-L$1&lt;År1,0,K5*(1-VLOOKUP($A6,[1]Hugst!$R$5:$W$9,MATCH(ROUNDUP((L$1)/10,0)*10,[1]Hugst!$R$4:$W$4,0))))</f>
        <v>0</v>
      </c>
      <c r="M6">
        <f>IF($C6-M$1&lt;År1,0,L5*(1-VLOOKUP($A6,[1]Hugst!$R$5:$W$9,MATCH(ROUNDUP((M$1)/10,0)*10,[1]Hugst!$R$4:$W$4,0))))</f>
        <v>0</v>
      </c>
      <c r="N6">
        <f>IF($C6-N$1&lt;År1,0,M5*(1-VLOOKUP($A6,[1]Hugst!$R$5:$W$9,MATCH(ROUNDUP((N$1)/10,0)*10,[1]Hugst!$R$4:$W$4,0))))</f>
        <v>0</v>
      </c>
      <c r="O6">
        <f>IF($C6-O$1&lt;År1,0,N5*(1-VLOOKUP($A6,[1]Hugst!$R$5:$W$9,MATCH(ROUNDUP((O$1)/10,0)*10,[1]Hugst!$R$4:$W$4,0))))</f>
        <v>0</v>
      </c>
      <c r="P6">
        <f>IF($C6-P$1&lt;År1,0,O5*(1-VLOOKUP($A6,[1]Hugst!$R$5:$W$9,MATCH(ROUNDUP((P$1)/10,0)*10,[1]Hugst!$R$4:$W$4,0))))</f>
        <v>0</v>
      </c>
      <c r="Q6">
        <f>IF($C6-Q$1&lt;År1,0,P5*(1-VLOOKUP($A6,[1]Hugst!$R$5:$W$9,MATCH(ROUNDUP((Q$1)/10,0)*10,[1]Hugst!$R$4:$W$4,0))))</f>
        <v>0</v>
      </c>
      <c r="R6">
        <f>IF($C6-R$1&lt;År1,0,Q5*(1-VLOOKUP($A6,[1]Hugst!$R$5:$W$9,MATCH(ROUNDUP((R$1)/10,0)*10,[1]Hugst!$R$4:$W$4,0))))</f>
        <v>0</v>
      </c>
      <c r="S6">
        <f>IF($C6-S$1&lt;År1,0,R5*(1-VLOOKUP($A6,[1]Hugst!$R$5:$W$9,MATCH(ROUNDUP((S$1)/10,0)*10,[1]Hugst!$R$4:$W$4,0))))</f>
        <v>0</v>
      </c>
      <c r="T6">
        <f>IF($C6-T$1&lt;År1,0,S5*(1-VLOOKUP($A6,[1]Hugst!$R$5:$W$9,MATCH(ROUNDUP((T$1)/10,0)*10,[1]Hugst!$R$4:$W$4,0))))</f>
        <v>0</v>
      </c>
      <c r="U6">
        <f>IF($C6-U$1&lt;År1,0,T5*(1-VLOOKUP($A6,[1]Hugst!$R$5:$W$9,MATCH(ROUNDUP((U$1)/10,0)*10,[1]Hugst!$R$4:$W$4,0))))</f>
        <v>0</v>
      </c>
      <c r="V6">
        <f>IF($C6-V$1&lt;År1,0,U5*(1-VLOOKUP($A6,[1]Hugst!$R$5:$W$9,MATCH(ROUNDUP((V$1)/10,0)*10,[1]Hugst!$R$4:$W$4,0))))</f>
        <v>0</v>
      </c>
      <c r="W6">
        <f>IF($C6-W$1&lt;År1,0,V5*(1-VLOOKUP($A6,[1]Hugst!$R$5:$W$9,MATCH(ROUNDUP((W$1)/10,0)*10,[1]Hugst!$R$4:$W$4,0))))</f>
        <v>0</v>
      </c>
      <c r="X6">
        <f>IF($C6-X$1&lt;År1,0,W5*(1-VLOOKUP($A6,[1]Hugst!$R$5:$W$9,MATCH(ROUNDUP((X$1)/10,0)*10,[1]Hugst!$R$4:$W$4,0))))</f>
        <v>0</v>
      </c>
      <c r="Y6">
        <f>IF($C6-Y$1&lt;År1,0,X5*(1-VLOOKUP($A6,[1]Hugst!$R$5:$W$9,MATCH(ROUNDUP((Y$1)/10,0)*10,[1]Hugst!$R$4:$W$4,0))))</f>
        <v>0</v>
      </c>
      <c r="Z6">
        <f>IF($C6-Z$1&lt;År1,0,Y5*(1-VLOOKUP($A6,[1]Hugst!$R$5:$W$9,MATCH(ROUNDUP((Z$1)/10,0)*10,[1]Hugst!$R$4:$W$4,0))))</f>
        <v>0</v>
      </c>
      <c r="AA6">
        <f>IF($C6-AA$1&lt;År1,0,Z5*(1-VLOOKUP($A6,[1]Hugst!$R$5:$W$9,MATCH(ROUNDUP((AA$1)/10,0)*10,[1]Hugst!$R$4:$W$4,0))))</f>
        <v>0</v>
      </c>
      <c r="AB6">
        <f>IF($C6-AB$1&lt;År1,0,AA5*(1-VLOOKUP($A6,[1]Hugst!$R$5:$W$9,MATCH(ROUNDUP((AB$1)/10,0)*10,[1]Hugst!$R$4:$W$4,0))))</f>
        <v>0</v>
      </c>
      <c r="AC6">
        <f>IF($C6-AC$1&lt;År1,0,AB5*(1-VLOOKUP($A6,[1]Hugst!$R$5:$W$9,MATCH(ROUNDUP((AC$1)/10,0)*10,[1]Hugst!$R$4:$W$4,0))))</f>
        <v>0</v>
      </c>
      <c r="AD6">
        <f>IF($C6-AD$1&lt;År1,0,AC5*(1-VLOOKUP($A6,[1]Hugst!$R$5:$W$9,MATCH(ROUNDUP((AD$1)/10,0)*10,[1]Hugst!$R$4:$W$4,0))))</f>
        <v>0</v>
      </c>
      <c r="AE6">
        <f>IF($C6-AE$1&lt;År1,0,AD5*(1-VLOOKUP($A6,[1]Hugst!$R$5:$W$9,MATCH(ROUNDUP((AE$1)/10,0)*10,[1]Hugst!$R$4:$W$4,0))))</f>
        <v>0</v>
      </c>
      <c r="AF6">
        <f>IF($C6-AF$1&lt;År1,0,AE5*(1-VLOOKUP($A6,[1]Hugst!$R$5:$W$9,MATCH(ROUNDUP((AF$1)/10,0)*10,[1]Hugst!$R$4:$W$4,0))))</f>
        <v>0</v>
      </c>
      <c r="AG6">
        <f>IF($C6-AG$1&lt;År1,0,AF5*(1-VLOOKUP($A6,[1]Hugst!$R$5:$W$9,MATCH(ROUNDUP((AG$1)/10,0)*10,[1]Hugst!$R$4:$W$4,0))))</f>
        <v>0</v>
      </c>
      <c r="AH6">
        <f>IF($C6-AH$1&lt;År1,0,AG5*(1-VLOOKUP($A6,[1]Hugst!$R$5:$W$9,MATCH(ROUNDUP((AH$1)/10,0)*10,[1]Hugst!$R$4:$W$4,0))))</f>
        <v>0</v>
      </c>
      <c r="AI6">
        <f>IF($C6-AI$1&lt;År1,0,AH5*(1-VLOOKUP($A6,[1]Hugst!$R$5:$W$9,MATCH(ROUNDUP((AI$1)/10,0)*10,[1]Hugst!$R$4:$W$4,0))))</f>
        <v>0</v>
      </c>
      <c r="AJ6">
        <f>IF($C6-AJ$1&lt;År1,0,AI5*(1-VLOOKUP($A6,[1]Hugst!$R$5:$W$9,MATCH(ROUNDUP((AJ$1)/10,0)*10,[1]Hugst!$R$4:$W$4,0))))</f>
        <v>0</v>
      </c>
    </row>
    <row r="7" spans="1:36" x14ac:dyDescent="0.25">
      <c r="A7" t="s">
        <v>176</v>
      </c>
      <c r="B7" t="s">
        <v>23</v>
      </c>
      <c r="C7">
        <v>2025</v>
      </c>
      <c r="D7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106.07403306011406</v>
      </c>
      <c r="E7">
        <f t="shared" ca="1" si="0"/>
        <v>0</v>
      </c>
      <c r="F7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361.84158512396232</v>
      </c>
      <c r="G7">
        <f ca="1">IF($C7-G$1&lt;År1,0,F6*(1-VLOOKUP($A7,[1]Hugst!$R$5:$W$9,MATCH(ROUNDUP((G$1)/10,0)*10,[1]Hugst!$R$4:$W$4,0))))</f>
        <v>362.37462046597341</v>
      </c>
      <c r="H7">
        <f ca="1">IF($C7-H$1&lt;År1,0,G6*(1-VLOOKUP($A7,[1]Hugst!$R$5:$W$9,MATCH(ROUNDUP((H$1)/10,0)*10,[1]Hugst!$R$4:$W$4,0))))</f>
        <v>362.9103343775422</v>
      </c>
      <c r="I7">
        <f ca="1">IF($C7-I$1&lt;År1,0,H6*(1-VLOOKUP($A7,[1]Hugst!$R$5:$W$9,MATCH(ROUNDUP((I$1)/10,0)*10,[1]Hugst!$R$4:$W$4,0))))</f>
        <v>363.44874031881761</v>
      </c>
      <c r="J7">
        <f ca="1">IF($C7-J$1&lt;År1,0,I6*(1-VLOOKUP($A7,[1]Hugst!$R$5:$W$9,MATCH(ROUNDUP((J$1)/10,0)*10,[1]Hugst!$R$4:$W$4,0))))</f>
        <v>363.98985181758314</v>
      </c>
      <c r="K7">
        <f ca="1">IF($C7-K$1&lt;År1,0,J6*(1-VLOOKUP($A7,[1]Hugst!$R$5:$W$9,MATCH(ROUNDUP((K$1)/10,0)*10,[1]Hugst!$R$4:$W$4,0))))</f>
        <v>364.53368246961463</v>
      </c>
      <c r="L7">
        <f>IF($C7-L$1&lt;År1,0,K6*(1-VLOOKUP($A7,[1]Hugst!$R$5:$W$9,MATCH(ROUNDUP((L$1)/10,0)*10,[1]Hugst!$R$4:$W$4,0))))</f>
        <v>0</v>
      </c>
      <c r="M7">
        <f>IF($C7-M$1&lt;År1,0,L6*(1-VLOOKUP($A7,[1]Hugst!$R$5:$W$9,MATCH(ROUNDUP((M$1)/10,0)*10,[1]Hugst!$R$4:$W$4,0))))</f>
        <v>0</v>
      </c>
      <c r="N7">
        <f>IF($C7-N$1&lt;År1,0,M6*(1-VLOOKUP($A7,[1]Hugst!$R$5:$W$9,MATCH(ROUNDUP((N$1)/10,0)*10,[1]Hugst!$R$4:$W$4,0))))</f>
        <v>0</v>
      </c>
      <c r="O7">
        <f>IF($C7-O$1&lt;År1,0,N6*(1-VLOOKUP($A7,[1]Hugst!$R$5:$W$9,MATCH(ROUNDUP((O$1)/10,0)*10,[1]Hugst!$R$4:$W$4,0))))</f>
        <v>0</v>
      </c>
      <c r="P7">
        <f>IF($C7-P$1&lt;År1,0,O6*(1-VLOOKUP($A7,[1]Hugst!$R$5:$W$9,MATCH(ROUNDUP((P$1)/10,0)*10,[1]Hugst!$R$4:$W$4,0))))</f>
        <v>0</v>
      </c>
      <c r="Q7">
        <f>IF($C7-Q$1&lt;År1,0,P6*(1-VLOOKUP($A7,[1]Hugst!$R$5:$W$9,MATCH(ROUNDUP((Q$1)/10,0)*10,[1]Hugst!$R$4:$W$4,0))))</f>
        <v>0</v>
      </c>
      <c r="R7">
        <f>IF($C7-R$1&lt;År1,0,Q6*(1-VLOOKUP($A7,[1]Hugst!$R$5:$W$9,MATCH(ROUNDUP((R$1)/10,0)*10,[1]Hugst!$R$4:$W$4,0))))</f>
        <v>0</v>
      </c>
      <c r="S7">
        <f>IF($C7-S$1&lt;År1,0,R6*(1-VLOOKUP($A7,[1]Hugst!$R$5:$W$9,MATCH(ROUNDUP((S$1)/10,0)*10,[1]Hugst!$R$4:$W$4,0))))</f>
        <v>0</v>
      </c>
      <c r="T7">
        <f>IF($C7-T$1&lt;År1,0,S6*(1-VLOOKUP($A7,[1]Hugst!$R$5:$W$9,MATCH(ROUNDUP((T$1)/10,0)*10,[1]Hugst!$R$4:$W$4,0))))</f>
        <v>0</v>
      </c>
      <c r="U7">
        <f>IF($C7-U$1&lt;År1,0,T6*(1-VLOOKUP($A7,[1]Hugst!$R$5:$W$9,MATCH(ROUNDUP((U$1)/10,0)*10,[1]Hugst!$R$4:$W$4,0))))</f>
        <v>0</v>
      </c>
      <c r="V7">
        <f>IF($C7-V$1&lt;År1,0,U6*(1-VLOOKUP($A7,[1]Hugst!$R$5:$W$9,MATCH(ROUNDUP((V$1)/10,0)*10,[1]Hugst!$R$4:$W$4,0))))</f>
        <v>0</v>
      </c>
      <c r="W7">
        <f>IF($C7-W$1&lt;År1,0,V6*(1-VLOOKUP($A7,[1]Hugst!$R$5:$W$9,MATCH(ROUNDUP((W$1)/10,0)*10,[1]Hugst!$R$4:$W$4,0))))</f>
        <v>0</v>
      </c>
      <c r="X7">
        <f>IF($C7-X$1&lt;År1,0,W6*(1-VLOOKUP($A7,[1]Hugst!$R$5:$W$9,MATCH(ROUNDUP((X$1)/10,0)*10,[1]Hugst!$R$4:$W$4,0))))</f>
        <v>0</v>
      </c>
      <c r="Y7">
        <f>IF($C7-Y$1&lt;År1,0,X6*(1-VLOOKUP($A7,[1]Hugst!$R$5:$W$9,MATCH(ROUNDUP((Y$1)/10,0)*10,[1]Hugst!$R$4:$W$4,0))))</f>
        <v>0</v>
      </c>
      <c r="Z7">
        <f>IF($C7-Z$1&lt;År1,0,Y6*(1-VLOOKUP($A7,[1]Hugst!$R$5:$W$9,MATCH(ROUNDUP((Z$1)/10,0)*10,[1]Hugst!$R$4:$W$4,0))))</f>
        <v>0</v>
      </c>
      <c r="AA7">
        <f>IF($C7-AA$1&lt;År1,0,Z6*(1-VLOOKUP($A7,[1]Hugst!$R$5:$W$9,MATCH(ROUNDUP((AA$1)/10,0)*10,[1]Hugst!$R$4:$W$4,0))))</f>
        <v>0</v>
      </c>
      <c r="AB7">
        <f>IF($C7-AB$1&lt;År1,0,AA6*(1-VLOOKUP($A7,[1]Hugst!$R$5:$W$9,MATCH(ROUNDUP((AB$1)/10,0)*10,[1]Hugst!$R$4:$W$4,0))))</f>
        <v>0</v>
      </c>
      <c r="AC7">
        <f>IF($C7-AC$1&lt;År1,0,AB6*(1-VLOOKUP($A7,[1]Hugst!$R$5:$W$9,MATCH(ROUNDUP((AC$1)/10,0)*10,[1]Hugst!$R$4:$W$4,0))))</f>
        <v>0</v>
      </c>
      <c r="AD7">
        <f>IF($C7-AD$1&lt;År1,0,AC6*(1-VLOOKUP($A7,[1]Hugst!$R$5:$W$9,MATCH(ROUNDUP((AD$1)/10,0)*10,[1]Hugst!$R$4:$W$4,0))))</f>
        <v>0</v>
      </c>
      <c r="AE7">
        <f>IF($C7-AE$1&lt;År1,0,AD6*(1-VLOOKUP($A7,[1]Hugst!$R$5:$W$9,MATCH(ROUNDUP((AE$1)/10,0)*10,[1]Hugst!$R$4:$W$4,0))))</f>
        <v>0</v>
      </c>
      <c r="AF7">
        <f>IF($C7-AF$1&lt;År1,0,AE6*(1-VLOOKUP($A7,[1]Hugst!$R$5:$W$9,MATCH(ROUNDUP((AF$1)/10,0)*10,[1]Hugst!$R$4:$W$4,0))))</f>
        <v>0</v>
      </c>
      <c r="AG7">
        <f>IF($C7-AG$1&lt;År1,0,AF6*(1-VLOOKUP($A7,[1]Hugst!$R$5:$W$9,MATCH(ROUNDUP((AG$1)/10,0)*10,[1]Hugst!$R$4:$W$4,0))))</f>
        <v>0</v>
      </c>
      <c r="AH7">
        <f>IF($C7-AH$1&lt;År1,0,AG6*(1-VLOOKUP($A7,[1]Hugst!$R$5:$W$9,MATCH(ROUNDUP((AH$1)/10,0)*10,[1]Hugst!$R$4:$W$4,0))))</f>
        <v>0</v>
      </c>
      <c r="AI7">
        <f>IF($C7-AI$1&lt;År1,0,AH6*(1-VLOOKUP($A7,[1]Hugst!$R$5:$W$9,MATCH(ROUNDUP((AI$1)/10,0)*10,[1]Hugst!$R$4:$W$4,0))))</f>
        <v>0</v>
      </c>
      <c r="AJ7">
        <f>IF($C7-AJ$1&lt;År1,0,AI6*(1-VLOOKUP($A7,[1]Hugst!$R$5:$W$9,MATCH(ROUNDUP((AJ$1)/10,0)*10,[1]Hugst!$R$4:$W$4,0))))</f>
        <v>0</v>
      </c>
    </row>
    <row r="8" spans="1:36" x14ac:dyDescent="0.25">
      <c r="A8" t="s">
        <v>176</v>
      </c>
      <c r="B8" t="s">
        <v>23</v>
      </c>
      <c r="C8">
        <v>2026</v>
      </c>
      <c r="D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105.54366289481402</v>
      </c>
      <c r="E8">
        <f t="shared" ca="1" si="0"/>
        <v>0</v>
      </c>
      <c r="F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361.31121495866228</v>
      </c>
      <c r="G8">
        <f ca="1">IF($C8-G$1&lt;År1,0,F7*(1-VLOOKUP($A8,[1]Hugst!$R$5:$W$9,MATCH(ROUNDUP((G$1)/10,0)*10,[1]Hugst!$R$4:$W$4,0))))</f>
        <v>361.84158512396232</v>
      </c>
      <c r="H8">
        <f ca="1">IF($C8-H$1&lt;År1,0,G7*(1-VLOOKUP($A8,[1]Hugst!$R$5:$W$9,MATCH(ROUNDUP((H$1)/10,0)*10,[1]Hugst!$R$4:$W$4,0))))</f>
        <v>362.37462046597341</v>
      </c>
      <c r="I8">
        <f ca="1">IF($C8-I$1&lt;År1,0,H7*(1-VLOOKUP($A8,[1]Hugst!$R$5:$W$9,MATCH(ROUNDUP((I$1)/10,0)*10,[1]Hugst!$R$4:$W$4,0))))</f>
        <v>362.9103343775422</v>
      </c>
      <c r="J8">
        <f ca="1">IF($C8-J$1&lt;År1,0,I7*(1-VLOOKUP($A8,[1]Hugst!$R$5:$W$9,MATCH(ROUNDUP((J$1)/10,0)*10,[1]Hugst!$R$4:$W$4,0))))</f>
        <v>363.44874031881761</v>
      </c>
      <c r="K8">
        <f ca="1">IF($C8-K$1&lt;År1,0,J7*(1-VLOOKUP($A8,[1]Hugst!$R$5:$W$9,MATCH(ROUNDUP((K$1)/10,0)*10,[1]Hugst!$R$4:$W$4,0))))</f>
        <v>363.98985181758314</v>
      </c>
      <c r="L8">
        <f ca="1">IF($C8-L$1&lt;År1,0,K7*(1-VLOOKUP($A8,[1]Hugst!$R$5:$W$9,MATCH(ROUNDUP((L$1)/10,0)*10,[1]Hugst!$R$4:$W$4,0))))</f>
        <v>364.53368246961463</v>
      </c>
      <c r="M8">
        <f>IF($C8-M$1&lt;År1,0,L7*(1-VLOOKUP($A8,[1]Hugst!$R$5:$W$9,MATCH(ROUNDUP((M$1)/10,0)*10,[1]Hugst!$R$4:$W$4,0))))</f>
        <v>0</v>
      </c>
      <c r="N8">
        <f>IF($C8-N$1&lt;År1,0,M7*(1-VLOOKUP($A8,[1]Hugst!$R$5:$W$9,MATCH(ROUNDUP((N$1)/10,0)*10,[1]Hugst!$R$4:$W$4,0))))</f>
        <v>0</v>
      </c>
      <c r="O8">
        <f>IF($C8-O$1&lt;År1,0,N7*(1-VLOOKUP($A8,[1]Hugst!$R$5:$W$9,MATCH(ROUNDUP((O$1)/10,0)*10,[1]Hugst!$R$4:$W$4,0))))</f>
        <v>0</v>
      </c>
      <c r="P8">
        <f>IF($C8-P$1&lt;År1,0,O7*(1-VLOOKUP($A8,[1]Hugst!$R$5:$W$9,MATCH(ROUNDUP((P$1)/10,0)*10,[1]Hugst!$R$4:$W$4,0))))</f>
        <v>0</v>
      </c>
      <c r="Q8">
        <f>IF($C8-Q$1&lt;År1,0,P7*(1-VLOOKUP($A8,[1]Hugst!$R$5:$W$9,MATCH(ROUNDUP((Q$1)/10,0)*10,[1]Hugst!$R$4:$W$4,0))))</f>
        <v>0</v>
      </c>
      <c r="R8">
        <f>IF($C8-R$1&lt;År1,0,Q7*(1-VLOOKUP($A8,[1]Hugst!$R$5:$W$9,MATCH(ROUNDUP((R$1)/10,0)*10,[1]Hugst!$R$4:$W$4,0))))</f>
        <v>0</v>
      </c>
      <c r="S8">
        <f>IF($C8-S$1&lt;År1,0,R7*(1-VLOOKUP($A8,[1]Hugst!$R$5:$W$9,MATCH(ROUNDUP((S$1)/10,0)*10,[1]Hugst!$R$4:$W$4,0))))</f>
        <v>0</v>
      </c>
      <c r="T8">
        <f>IF($C8-T$1&lt;År1,0,S7*(1-VLOOKUP($A8,[1]Hugst!$R$5:$W$9,MATCH(ROUNDUP((T$1)/10,0)*10,[1]Hugst!$R$4:$W$4,0))))</f>
        <v>0</v>
      </c>
      <c r="U8">
        <f>IF($C8-U$1&lt;År1,0,T7*(1-VLOOKUP($A8,[1]Hugst!$R$5:$W$9,MATCH(ROUNDUP((U$1)/10,0)*10,[1]Hugst!$R$4:$W$4,0))))</f>
        <v>0</v>
      </c>
      <c r="V8">
        <f>IF($C8-V$1&lt;År1,0,U7*(1-VLOOKUP($A8,[1]Hugst!$R$5:$W$9,MATCH(ROUNDUP((V$1)/10,0)*10,[1]Hugst!$R$4:$W$4,0))))</f>
        <v>0</v>
      </c>
      <c r="W8">
        <f>IF($C8-W$1&lt;År1,0,V7*(1-VLOOKUP($A8,[1]Hugst!$R$5:$W$9,MATCH(ROUNDUP((W$1)/10,0)*10,[1]Hugst!$R$4:$W$4,0))))</f>
        <v>0</v>
      </c>
      <c r="X8">
        <f>IF($C8-X$1&lt;År1,0,W7*(1-VLOOKUP($A8,[1]Hugst!$R$5:$W$9,MATCH(ROUNDUP((X$1)/10,0)*10,[1]Hugst!$R$4:$W$4,0))))</f>
        <v>0</v>
      </c>
      <c r="Y8">
        <f>IF($C8-Y$1&lt;År1,0,X7*(1-VLOOKUP($A8,[1]Hugst!$R$5:$W$9,MATCH(ROUNDUP((Y$1)/10,0)*10,[1]Hugst!$R$4:$W$4,0))))</f>
        <v>0</v>
      </c>
      <c r="Z8">
        <f>IF($C8-Z$1&lt;År1,0,Y7*(1-VLOOKUP($A8,[1]Hugst!$R$5:$W$9,MATCH(ROUNDUP((Z$1)/10,0)*10,[1]Hugst!$R$4:$W$4,0))))</f>
        <v>0</v>
      </c>
      <c r="AA8">
        <f>IF($C8-AA$1&lt;År1,0,Z7*(1-VLOOKUP($A8,[1]Hugst!$R$5:$W$9,MATCH(ROUNDUP((AA$1)/10,0)*10,[1]Hugst!$R$4:$W$4,0))))</f>
        <v>0</v>
      </c>
      <c r="AB8">
        <f>IF($C8-AB$1&lt;År1,0,AA7*(1-VLOOKUP($A8,[1]Hugst!$R$5:$W$9,MATCH(ROUNDUP((AB$1)/10,0)*10,[1]Hugst!$R$4:$W$4,0))))</f>
        <v>0</v>
      </c>
      <c r="AC8">
        <f>IF($C8-AC$1&lt;År1,0,AB7*(1-VLOOKUP($A8,[1]Hugst!$R$5:$W$9,MATCH(ROUNDUP((AC$1)/10,0)*10,[1]Hugst!$R$4:$W$4,0))))</f>
        <v>0</v>
      </c>
      <c r="AD8">
        <f>IF($C8-AD$1&lt;År1,0,AC7*(1-VLOOKUP($A8,[1]Hugst!$R$5:$W$9,MATCH(ROUNDUP((AD$1)/10,0)*10,[1]Hugst!$R$4:$W$4,0))))</f>
        <v>0</v>
      </c>
      <c r="AE8">
        <f>IF($C8-AE$1&lt;År1,0,AD7*(1-VLOOKUP($A8,[1]Hugst!$R$5:$W$9,MATCH(ROUNDUP((AE$1)/10,0)*10,[1]Hugst!$R$4:$W$4,0))))</f>
        <v>0</v>
      </c>
      <c r="AF8">
        <f>IF($C8-AF$1&lt;År1,0,AE7*(1-VLOOKUP($A8,[1]Hugst!$R$5:$W$9,MATCH(ROUNDUP((AF$1)/10,0)*10,[1]Hugst!$R$4:$W$4,0))))</f>
        <v>0</v>
      </c>
      <c r="AG8">
        <f>IF($C8-AG$1&lt;År1,0,AF7*(1-VLOOKUP($A8,[1]Hugst!$R$5:$W$9,MATCH(ROUNDUP((AG$1)/10,0)*10,[1]Hugst!$R$4:$W$4,0))))</f>
        <v>0</v>
      </c>
      <c r="AH8">
        <f>IF($C8-AH$1&lt;År1,0,AG7*(1-VLOOKUP($A8,[1]Hugst!$R$5:$W$9,MATCH(ROUNDUP((AH$1)/10,0)*10,[1]Hugst!$R$4:$W$4,0))))</f>
        <v>0</v>
      </c>
      <c r="AI8">
        <f>IF($C8-AI$1&lt;År1,0,AH7*(1-VLOOKUP($A8,[1]Hugst!$R$5:$W$9,MATCH(ROUNDUP((AI$1)/10,0)*10,[1]Hugst!$R$4:$W$4,0))))</f>
        <v>0</v>
      </c>
      <c r="AJ8">
        <f>IF($C8-AJ$1&lt;År1,0,AI7*(1-VLOOKUP($A8,[1]Hugst!$R$5:$W$9,MATCH(ROUNDUP((AJ$1)/10,0)*10,[1]Hugst!$R$4:$W$4,0))))</f>
        <v>0</v>
      </c>
    </row>
    <row r="9" spans="1:36" x14ac:dyDescent="0.25">
      <c r="A9" t="s">
        <v>176</v>
      </c>
      <c r="B9" t="s">
        <v>23</v>
      </c>
      <c r="C9">
        <v>2027</v>
      </c>
      <c r="D9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105.01594458034094</v>
      </c>
      <c r="E9">
        <f t="shared" ca="1" si="0"/>
        <v>0</v>
      </c>
      <c r="F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360.7834966441892</v>
      </c>
      <c r="G9">
        <f ca="1">IF($C9-G$1&lt;År1,0,F8*(1-VLOOKUP($A9,[1]Hugst!$R$5:$W$9,MATCH(ROUNDUP((G$1)/10,0)*10,[1]Hugst!$R$4:$W$4,0))))</f>
        <v>361.31121495866228</v>
      </c>
      <c r="H9">
        <f ca="1">IF($C9-H$1&lt;År1,0,G8*(1-VLOOKUP($A9,[1]Hugst!$R$5:$W$9,MATCH(ROUNDUP((H$1)/10,0)*10,[1]Hugst!$R$4:$W$4,0))))</f>
        <v>361.84158512396232</v>
      </c>
      <c r="I9">
        <f ca="1">IF($C9-I$1&lt;År1,0,H8*(1-VLOOKUP($A9,[1]Hugst!$R$5:$W$9,MATCH(ROUNDUP((I$1)/10,0)*10,[1]Hugst!$R$4:$W$4,0))))</f>
        <v>362.37462046597341</v>
      </c>
      <c r="J9">
        <f ca="1">IF($C9-J$1&lt;År1,0,I8*(1-VLOOKUP($A9,[1]Hugst!$R$5:$W$9,MATCH(ROUNDUP((J$1)/10,0)*10,[1]Hugst!$R$4:$W$4,0))))</f>
        <v>362.9103343775422</v>
      </c>
      <c r="K9">
        <f ca="1">IF($C9-K$1&lt;År1,0,J8*(1-VLOOKUP($A9,[1]Hugst!$R$5:$W$9,MATCH(ROUNDUP((K$1)/10,0)*10,[1]Hugst!$R$4:$W$4,0))))</f>
        <v>363.44874031881761</v>
      </c>
      <c r="L9">
        <f ca="1">IF($C9-L$1&lt;År1,0,K8*(1-VLOOKUP($A9,[1]Hugst!$R$5:$W$9,MATCH(ROUNDUP((L$1)/10,0)*10,[1]Hugst!$R$4:$W$4,0))))</f>
        <v>363.98985181758314</v>
      </c>
      <c r="M9">
        <f ca="1">IF($C9-M$1&lt;År1,0,L8*(1-VLOOKUP($A9,[1]Hugst!$R$5:$W$9,MATCH(ROUNDUP((M$1)/10,0)*10,[1]Hugst!$R$4:$W$4,0))))</f>
        <v>364.53368246961463</v>
      </c>
      <c r="N9">
        <f>IF($C9-N$1&lt;År1,0,M8*(1-VLOOKUP($A9,[1]Hugst!$R$5:$W$9,MATCH(ROUNDUP((N$1)/10,0)*10,[1]Hugst!$R$4:$W$4,0))))</f>
        <v>0</v>
      </c>
      <c r="O9">
        <f>IF($C9-O$1&lt;År1,0,N8*(1-VLOOKUP($A9,[1]Hugst!$R$5:$W$9,MATCH(ROUNDUP((O$1)/10,0)*10,[1]Hugst!$R$4:$W$4,0))))</f>
        <v>0</v>
      </c>
      <c r="P9">
        <f>IF($C9-P$1&lt;År1,0,O8*(1-VLOOKUP($A9,[1]Hugst!$R$5:$W$9,MATCH(ROUNDUP((P$1)/10,0)*10,[1]Hugst!$R$4:$W$4,0))))</f>
        <v>0</v>
      </c>
      <c r="Q9">
        <f>IF($C9-Q$1&lt;År1,0,P8*(1-VLOOKUP($A9,[1]Hugst!$R$5:$W$9,MATCH(ROUNDUP((Q$1)/10,0)*10,[1]Hugst!$R$4:$W$4,0))))</f>
        <v>0</v>
      </c>
      <c r="R9">
        <f>IF($C9-R$1&lt;År1,0,Q8*(1-VLOOKUP($A9,[1]Hugst!$R$5:$W$9,MATCH(ROUNDUP((R$1)/10,0)*10,[1]Hugst!$R$4:$W$4,0))))</f>
        <v>0</v>
      </c>
      <c r="S9">
        <f>IF($C9-S$1&lt;År1,0,R8*(1-VLOOKUP($A9,[1]Hugst!$R$5:$W$9,MATCH(ROUNDUP((S$1)/10,0)*10,[1]Hugst!$R$4:$W$4,0))))</f>
        <v>0</v>
      </c>
      <c r="T9">
        <f>IF($C9-T$1&lt;År1,0,S8*(1-VLOOKUP($A9,[1]Hugst!$R$5:$W$9,MATCH(ROUNDUP((T$1)/10,0)*10,[1]Hugst!$R$4:$W$4,0))))</f>
        <v>0</v>
      </c>
      <c r="U9">
        <f>IF($C9-U$1&lt;År1,0,T8*(1-VLOOKUP($A9,[1]Hugst!$R$5:$W$9,MATCH(ROUNDUP((U$1)/10,0)*10,[1]Hugst!$R$4:$W$4,0))))</f>
        <v>0</v>
      </c>
      <c r="V9">
        <f>IF($C9-V$1&lt;År1,0,U8*(1-VLOOKUP($A9,[1]Hugst!$R$5:$W$9,MATCH(ROUNDUP((V$1)/10,0)*10,[1]Hugst!$R$4:$W$4,0))))</f>
        <v>0</v>
      </c>
      <c r="W9">
        <f>IF($C9-W$1&lt;År1,0,V8*(1-VLOOKUP($A9,[1]Hugst!$R$5:$W$9,MATCH(ROUNDUP((W$1)/10,0)*10,[1]Hugst!$R$4:$W$4,0))))</f>
        <v>0</v>
      </c>
      <c r="X9">
        <f>IF($C9-X$1&lt;År1,0,W8*(1-VLOOKUP($A9,[1]Hugst!$R$5:$W$9,MATCH(ROUNDUP((X$1)/10,0)*10,[1]Hugst!$R$4:$W$4,0))))</f>
        <v>0</v>
      </c>
      <c r="Y9">
        <f>IF($C9-Y$1&lt;År1,0,X8*(1-VLOOKUP($A9,[1]Hugst!$R$5:$W$9,MATCH(ROUNDUP((Y$1)/10,0)*10,[1]Hugst!$R$4:$W$4,0))))</f>
        <v>0</v>
      </c>
      <c r="Z9">
        <f>IF($C9-Z$1&lt;År1,0,Y8*(1-VLOOKUP($A9,[1]Hugst!$R$5:$W$9,MATCH(ROUNDUP((Z$1)/10,0)*10,[1]Hugst!$R$4:$W$4,0))))</f>
        <v>0</v>
      </c>
      <c r="AA9">
        <f>IF($C9-AA$1&lt;År1,0,Z8*(1-VLOOKUP($A9,[1]Hugst!$R$5:$W$9,MATCH(ROUNDUP((AA$1)/10,0)*10,[1]Hugst!$R$4:$W$4,0))))</f>
        <v>0</v>
      </c>
      <c r="AB9">
        <f>IF($C9-AB$1&lt;År1,0,AA8*(1-VLOOKUP($A9,[1]Hugst!$R$5:$W$9,MATCH(ROUNDUP((AB$1)/10,0)*10,[1]Hugst!$R$4:$W$4,0))))</f>
        <v>0</v>
      </c>
      <c r="AC9">
        <f>IF($C9-AC$1&lt;År1,0,AB8*(1-VLOOKUP($A9,[1]Hugst!$R$5:$W$9,MATCH(ROUNDUP((AC$1)/10,0)*10,[1]Hugst!$R$4:$W$4,0))))</f>
        <v>0</v>
      </c>
      <c r="AD9">
        <f>IF($C9-AD$1&lt;År1,0,AC8*(1-VLOOKUP($A9,[1]Hugst!$R$5:$W$9,MATCH(ROUNDUP((AD$1)/10,0)*10,[1]Hugst!$R$4:$W$4,0))))</f>
        <v>0</v>
      </c>
      <c r="AE9">
        <f>IF($C9-AE$1&lt;År1,0,AD8*(1-VLOOKUP($A9,[1]Hugst!$R$5:$W$9,MATCH(ROUNDUP((AE$1)/10,0)*10,[1]Hugst!$R$4:$W$4,0))))</f>
        <v>0</v>
      </c>
      <c r="AF9">
        <f>IF($C9-AF$1&lt;År1,0,AE8*(1-VLOOKUP($A9,[1]Hugst!$R$5:$W$9,MATCH(ROUNDUP((AF$1)/10,0)*10,[1]Hugst!$R$4:$W$4,0))))</f>
        <v>0</v>
      </c>
      <c r="AG9">
        <f>IF($C9-AG$1&lt;År1,0,AF8*(1-VLOOKUP($A9,[1]Hugst!$R$5:$W$9,MATCH(ROUNDUP((AG$1)/10,0)*10,[1]Hugst!$R$4:$W$4,0))))</f>
        <v>0</v>
      </c>
      <c r="AH9">
        <f>IF($C9-AH$1&lt;År1,0,AG8*(1-VLOOKUP($A9,[1]Hugst!$R$5:$W$9,MATCH(ROUNDUP((AH$1)/10,0)*10,[1]Hugst!$R$4:$W$4,0))))</f>
        <v>0</v>
      </c>
      <c r="AI9">
        <f>IF($C9-AI$1&lt;År1,0,AH8*(1-VLOOKUP($A9,[1]Hugst!$R$5:$W$9,MATCH(ROUNDUP((AI$1)/10,0)*10,[1]Hugst!$R$4:$W$4,0))))</f>
        <v>0</v>
      </c>
      <c r="AJ9">
        <f>IF($C9-AJ$1&lt;År1,0,AI8*(1-VLOOKUP($A9,[1]Hugst!$R$5:$W$9,MATCH(ROUNDUP((AJ$1)/10,0)*10,[1]Hugst!$R$4:$W$4,0))))</f>
        <v>0</v>
      </c>
    </row>
    <row r="10" spans="1:36" x14ac:dyDescent="0.25">
      <c r="A10" t="s">
        <v>176</v>
      </c>
      <c r="B10" t="s">
        <v>23</v>
      </c>
      <c r="C10">
        <v>2028</v>
      </c>
      <c r="D10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104.49086485744044</v>
      </c>
      <c r="E10">
        <f t="shared" ca="1" si="0"/>
        <v>0</v>
      </c>
      <c r="F10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360.2584169212887</v>
      </c>
      <c r="G10">
        <f ca="1">IF($C10-G$1&lt;År1,0,F9*(1-VLOOKUP($A10,[1]Hugst!$R$5:$W$9,MATCH(ROUNDUP((G$1)/10,0)*10,[1]Hugst!$R$4:$W$4,0))))</f>
        <v>360.7834966441892</v>
      </c>
      <c r="H10">
        <f ca="1">IF($C10-H$1&lt;År1,0,G9*(1-VLOOKUP($A10,[1]Hugst!$R$5:$W$9,MATCH(ROUNDUP((H$1)/10,0)*10,[1]Hugst!$R$4:$W$4,0))))</f>
        <v>361.31121495866228</v>
      </c>
      <c r="I10">
        <f ca="1">IF($C10-I$1&lt;År1,0,H9*(1-VLOOKUP($A10,[1]Hugst!$R$5:$W$9,MATCH(ROUNDUP((I$1)/10,0)*10,[1]Hugst!$R$4:$W$4,0))))</f>
        <v>361.84158512396232</v>
      </c>
      <c r="J10">
        <f ca="1">IF($C10-J$1&lt;År1,0,I9*(1-VLOOKUP($A10,[1]Hugst!$R$5:$W$9,MATCH(ROUNDUP((J$1)/10,0)*10,[1]Hugst!$R$4:$W$4,0))))</f>
        <v>362.37462046597341</v>
      </c>
      <c r="K10">
        <f ca="1">IF($C10-K$1&lt;År1,0,J9*(1-VLOOKUP($A10,[1]Hugst!$R$5:$W$9,MATCH(ROUNDUP((K$1)/10,0)*10,[1]Hugst!$R$4:$W$4,0))))</f>
        <v>362.9103343775422</v>
      </c>
      <c r="L10">
        <f ca="1">IF($C10-L$1&lt;År1,0,K9*(1-VLOOKUP($A10,[1]Hugst!$R$5:$W$9,MATCH(ROUNDUP((L$1)/10,0)*10,[1]Hugst!$R$4:$W$4,0))))</f>
        <v>363.44874031881761</v>
      </c>
      <c r="M10">
        <f ca="1">IF($C10-M$1&lt;År1,0,L9*(1-VLOOKUP($A10,[1]Hugst!$R$5:$W$9,MATCH(ROUNDUP((M$1)/10,0)*10,[1]Hugst!$R$4:$W$4,0))))</f>
        <v>363.98985181758314</v>
      </c>
      <c r="N10">
        <f ca="1">IF($C10-N$1&lt;År1,0,M9*(1-VLOOKUP($A10,[1]Hugst!$R$5:$W$9,MATCH(ROUNDUP((N$1)/10,0)*10,[1]Hugst!$R$4:$W$4,0))))</f>
        <v>364.53368246961463</v>
      </c>
      <c r="O10">
        <f>IF($C10-O$1&lt;År1,0,N9*(1-VLOOKUP($A10,[1]Hugst!$R$5:$W$9,MATCH(ROUNDUP((O$1)/10,0)*10,[1]Hugst!$R$4:$W$4,0))))</f>
        <v>0</v>
      </c>
      <c r="P10">
        <f>IF($C10-P$1&lt;År1,0,O9*(1-VLOOKUP($A10,[1]Hugst!$R$5:$W$9,MATCH(ROUNDUP((P$1)/10,0)*10,[1]Hugst!$R$4:$W$4,0))))</f>
        <v>0</v>
      </c>
      <c r="Q10">
        <f>IF($C10-Q$1&lt;År1,0,P9*(1-VLOOKUP($A10,[1]Hugst!$R$5:$W$9,MATCH(ROUNDUP((Q$1)/10,0)*10,[1]Hugst!$R$4:$W$4,0))))</f>
        <v>0</v>
      </c>
      <c r="R10">
        <f>IF($C10-R$1&lt;År1,0,Q9*(1-VLOOKUP($A10,[1]Hugst!$R$5:$W$9,MATCH(ROUNDUP((R$1)/10,0)*10,[1]Hugst!$R$4:$W$4,0))))</f>
        <v>0</v>
      </c>
      <c r="S10">
        <f>IF($C10-S$1&lt;År1,0,R9*(1-VLOOKUP($A10,[1]Hugst!$R$5:$W$9,MATCH(ROUNDUP((S$1)/10,0)*10,[1]Hugst!$R$4:$W$4,0))))</f>
        <v>0</v>
      </c>
      <c r="T10">
        <f>IF($C10-T$1&lt;År1,0,S9*(1-VLOOKUP($A10,[1]Hugst!$R$5:$W$9,MATCH(ROUNDUP((T$1)/10,0)*10,[1]Hugst!$R$4:$W$4,0))))</f>
        <v>0</v>
      </c>
      <c r="U10">
        <f>IF($C10-U$1&lt;År1,0,T9*(1-VLOOKUP($A10,[1]Hugst!$R$5:$W$9,MATCH(ROUNDUP((U$1)/10,0)*10,[1]Hugst!$R$4:$W$4,0))))</f>
        <v>0</v>
      </c>
      <c r="V10">
        <f>IF($C10-V$1&lt;År1,0,U9*(1-VLOOKUP($A10,[1]Hugst!$R$5:$W$9,MATCH(ROUNDUP((V$1)/10,0)*10,[1]Hugst!$R$4:$W$4,0))))</f>
        <v>0</v>
      </c>
      <c r="W10">
        <f>IF($C10-W$1&lt;År1,0,V9*(1-VLOOKUP($A10,[1]Hugst!$R$5:$W$9,MATCH(ROUNDUP((W$1)/10,0)*10,[1]Hugst!$R$4:$W$4,0))))</f>
        <v>0</v>
      </c>
      <c r="X10">
        <f>IF($C10-X$1&lt;År1,0,W9*(1-VLOOKUP($A10,[1]Hugst!$R$5:$W$9,MATCH(ROUNDUP((X$1)/10,0)*10,[1]Hugst!$R$4:$W$4,0))))</f>
        <v>0</v>
      </c>
      <c r="Y10">
        <f>IF($C10-Y$1&lt;År1,0,X9*(1-VLOOKUP($A10,[1]Hugst!$R$5:$W$9,MATCH(ROUNDUP((Y$1)/10,0)*10,[1]Hugst!$R$4:$W$4,0))))</f>
        <v>0</v>
      </c>
      <c r="Z10">
        <f>IF($C10-Z$1&lt;År1,0,Y9*(1-VLOOKUP($A10,[1]Hugst!$R$5:$W$9,MATCH(ROUNDUP((Z$1)/10,0)*10,[1]Hugst!$R$4:$W$4,0))))</f>
        <v>0</v>
      </c>
      <c r="AA10">
        <f>IF($C10-AA$1&lt;År1,0,Z9*(1-VLOOKUP($A10,[1]Hugst!$R$5:$W$9,MATCH(ROUNDUP((AA$1)/10,0)*10,[1]Hugst!$R$4:$W$4,0))))</f>
        <v>0</v>
      </c>
      <c r="AB10">
        <f>IF($C10-AB$1&lt;År1,0,AA9*(1-VLOOKUP($A10,[1]Hugst!$R$5:$W$9,MATCH(ROUNDUP((AB$1)/10,0)*10,[1]Hugst!$R$4:$W$4,0))))</f>
        <v>0</v>
      </c>
      <c r="AC10">
        <f>IF($C10-AC$1&lt;År1,0,AB9*(1-VLOOKUP($A10,[1]Hugst!$R$5:$W$9,MATCH(ROUNDUP((AC$1)/10,0)*10,[1]Hugst!$R$4:$W$4,0))))</f>
        <v>0</v>
      </c>
      <c r="AD10">
        <f>IF($C10-AD$1&lt;År1,0,AC9*(1-VLOOKUP($A10,[1]Hugst!$R$5:$W$9,MATCH(ROUNDUP((AD$1)/10,0)*10,[1]Hugst!$R$4:$W$4,0))))</f>
        <v>0</v>
      </c>
      <c r="AE10">
        <f>IF($C10-AE$1&lt;År1,0,AD9*(1-VLOOKUP($A10,[1]Hugst!$R$5:$W$9,MATCH(ROUNDUP((AE$1)/10,0)*10,[1]Hugst!$R$4:$W$4,0))))</f>
        <v>0</v>
      </c>
      <c r="AF10">
        <f>IF($C10-AF$1&lt;År1,0,AE9*(1-VLOOKUP($A10,[1]Hugst!$R$5:$W$9,MATCH(ROUNDUP((AF$1)/10,0)*10,[1]Hugst!$R$4:$W$4,0))))</f>
        <v>0</v>
      </c>
      <c r="AG10">
        <f>IF($C10-AG$1&lt;År1,0,AF9*(1-VLOOKUP($A10,[1]Hugst!$R$5:$W$9,MATCH(ROUNDUP((AG$1)/10,0)*10,[1]Hugst!$R$4:$W$4,0))))</f>
        <v>0</v>
      </c>
      <c r="AH10">
        <f>IF($C10-AH$1&lt;År1,0,AG9*(1-VLOOKUP($A10,[1]Hugst!$R$5:$W$9,MATCH(ROUNDUP((AH$1)/10,0)*10,[1]Hugst!$R$4:$W$4,0))))</f>
        <v>0</v>
      </c>
      <c r="AI10">
        <f>IF($C10-AI$1&lt;År1,0,AH9*(1-VLOOKUP($A10,[1]Hugst!$R$5:$W$9,MATCH(ROUNDUP((AI$1)/10,0)*10,[1]Hugst!$R$4:$W$4,0))))</f>
        <v>0</v>
      </c>
      <c r="AJ10">
        <f>IF($C10-AJ$1&lt;År1,0,AI9*(1-VLOOKUP($A10,[1]Hugst!$R$5:$W$9,MATCH(ROUNDUP((AJ$1)/10,0)*10,[1]Hugst!$R$4:$W$4,0))))</f>
        <v>0</v>
      </c>
    </row>
    <row r="11" spans="1:36" x14ac:dyDescent="0.25">
      <c r="A11" t="s">
        <v>176</v>
      </c>
      <c r="B11" t="s">
        <v>23</v>
      </c>
      <c r="C11">
        <v>2029</v>
      </c>
      <c r="D11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103.96841053314847</v>
      </c>
      <c r="E11">
        <f t="shared" ca="1" si="0"/>
        <v>0</v>
      </c>
      <c r="F11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359.73596259699673</v>
      </c>
      <c r="G11">
        <f ca="1">IF($C11-G$1&lt;År1,0,F10*(1-VLOOKUP($A11,[1]Hugst!$R$5:$W$9,MATCH(ROUNDUP((G$1)/10,0)*10,[1]Hugst!$R$4:$W$4,0))))</f>
        <v>360.2584169212887</v>
      </c>
      <c r="H11">
        <f ca="1">IF($C11-H$1&lt;År1,0,G10*(1-VLOOKUP($A11,[1]Hugst!$R$5:$W$9,MATCH(ROUNDUP((H$1)/10,0)*10,[1]Hugst!$R$4:$W$4,0))))</f>
        <v>360.7834966441892</v>
      </c>
      <c r="I11">
        <f ca="1">IF($C11-I$1&lt;År1,0,H10*(1-VLOOKUP($A11,[1]Hugst!$R$5:$W$9,MATCH(ROUNDUP((I$1)/10,0)*10,[1]Hugst!$R$4:$W$4,0))))</f>
        <v>361.31121495866228</v>
      </c>
      <c r="J11">
        <f ca="1">IF($C11-J$1&lt;År1,0,I10*(1-VLOOKUP($A11,[1]Hugst!$R$5:$W$9,MATCH(ROUNDUP((J$1)/10,0)*10,[1]Hugst!$R$4:$W$4,0))))</f>
        <v>361.84158512396232</v>
      </c>
      <c r="K11">
        <f ca="1">IF($C11-K$1&lt;År1,0,J10*(1-VLOOKUP($A11,[1]Hugst!$R$5:$W$9,MATCH(ROUNDUP((K$1)/10,0)*10,[1]Hugst!$R$4:$W$4,0))))</f>
        <v>362.37462046597341</v>
      </c>
      <c r="L11">
        <f ca="1">IF($C11-L$1&lt;År1,0,K10*(1-VLOOKUP($A11,[1]Hugst!$R$5:$W$9,MATCH(ROUNDUP((L$1)/10,0)*10,[1]Hugst!$R$4:$W$4,0))))</f>
        <v>362.9103343775422</v>
      </c>
      <c r="M11">
        <f ca="1">IF($C11-M$1&lt;År1,0,L10*(1-VLOOKUP($A11,[1]Hugst!$R$5:$W$9,MATCH(ROUNDUP((M$1)/10,0)*10,[1]Hugst!$R$4:$W$4,0))))</f>
        <v>363.44874031881761</v>
      </c>
      <c r="N11">
        <f ca="1">IF($C11-N$1&lt;År1,0,M10*(1-VLOOKUP($A11,[1]Hugst!$R$5:$W$9,MATCH(ROUNDUP((N$1)/10,0)*10,[1]Hugst!$R$4:$W$4,0))))</f>
        <v>363.98985181758314</v>
      </c>
      <c r="O11">
        <f ca="1">IF($C11-O$1&lt;År1,0,N10*(1-VLOOKUP($A11,[1]Hugst!$R$5:$W$9,MATCH(ROUNDUP((O$1)/10,0)*10,[1]Hugst!$R$4:$W$4,0))))</f>
        <v>364.53368246961463</v>
      </c>
      <c r="P11">
        <f>IF($C11-P$1&lt;År1,0,O10*(1-VLOOKUP($A11,[1]Hugst!$R$5:$W$9,MATCH(ROUNDUP((P$1)/10,0)*10,[1]Hugst!$R$4:$W$4,0))))</f>
        <v>0</v>
      </c>
      <c r="Q11">
        <f>IF($C11-Q$1&lt;År1,0,P10*(1-VLOOKUP($A11,[1]Hugst!$R$5:$W$9,MATCH(ROUNDUP((Q$1)/10,0)*10,[1]Hugst!$R$4:$W$4,0))))</f>
        <v>0</v>
      </c>
      <c r="R11">
        <f>IF($C11-R$1&lt;År1,0,Q10*(1-VLOOKUP($A11,[1]Hugst!$R$5:$W$9,MATCH(ROUNDUP((R$1)/10,0)*10,[1]Hugst!$R$4:$W$4,0))))</f>
        <v>0</v>
      </c>
      <c r="S11">
        <f>IF($C11-S$1&lt;År1,0,R10*(1-VLOOKUP($A11,[1]Hugst!$R$5:$W$9,MATCH(ROUNDUP((S$1)/10,0)*10,[1]Hugst!$R$4:$W$4,0))))</f>
        <v>0</v>
      </c>
      <c r="T11">
        <f>IF($C11-T$1&lt;År1,0,S10*(1-VLOOKUP($A11,[1]Hugst!$R$5:$W$9,MATCH(ROUNDUP((T$1)/10,0)*10,[1]Hugst!$R$4:$W$4,0))))</f>
        <v>0</v>
      </c>
      <c r="U11">
        <f>IF($C11-U$1&lt;År1,0,T10*(1-VLOOKUP($A11,[1]Hugst!$R$5:$W$9,MATCH(ROUNDUP((U$1)/10,0)*10,[1]Hugst!$R$4:$W$4,0))))</f>
        <v>0</v>
      </c>
      <c r="V11">
        <f>IF($C11-V$1&lt;År1,0,U10*(1-VLOOKUP($A11,[1]Hugst!$R$5:$W$9,MATCH(ROUNDUP((V$1)/10,0)*10,[1]Hugst!$R$4:$W$4,0))))</f>
        <v>0</v>
      </c>
      <c r="W11">
        <f>IF($C11-W$1&lt;År1,0,V10*(1-VLOOKUP($A11,[1]Hugst!$R$5:$W$9,MATCH(ROUNDUP((W$1)/10,0)*10,[1]Hugst!$R$4:$W$4,0))))</f>
        <v>0</v>
      </c>
      <c r="X11">
        <f>IF($C11-X$1&lt;År1,0,W10*(1-VLOOKUP($A11,[1]Hugst!$R$5:$W$9,MATCH(ROUNDUP((X$1)/10,0)*10,[1]Hugst!$R$4:$W$4,0))))</f>
        <v>0</v>
      </c>
      <c r="Y11">
        <f>IF($C11-Y$1&lt;År1,0,X10*(1-VLOOKUP($A11,[1]Hugst!$R$5:$W$9,MATCH(ROUNDUP((Y$1)/10,0)*10,[1]Hugst!$R$4:$W$4,0))))</f>
        <v>0</v>
      </c>
      <c r="Z11">
        <f>IF($C11-Z$1&lt;År1,0,Y10*(1-VLOOKUP($A11,[1]Hugst!$R$5:$W$9,MATCH(ROUNDUP((Z$1)/10,0)*10,[1]Hugst!$R$4:$W$4,0))))</f>
        <v>0</v>
      </c>
      <c r="AA11">
        <f>IF($C11-AA$1&lt;År1,0,Z10*(1-VLOOKUP($A11,[1]Hugst!$R$5:$W$9,MATCH(ROUNDUP((AA$1)/10,0)*10,[1]Hugst!$R$4:$W$4,0))))</f>
        <v>0</v>
      </c>
      <c r="AB11">
        <f>IF($C11-AB$1&lt;År1,0,AA10*(1-VLOOKUP($A11,[1]Hugst!$R$5:$W$9,MATCH(ROUNDUP((AB$1)/10,0)*10,[1]Hugst!$R$4:$W$4,0))))</f>
        <v>0</v>
      </c>
      <c r="AC11">
        <f>IF($C11-AC$1&lt;År1,0,AB10*(1-VLOOKUP($A11,[1]Hugst!$R$5:$W$9,MATCH(ROUNDUP((AC$1)/10,0)*10,[1]Hugst!$R$4:$W$4,0))))</f>
        <v>0</v>
      </c>
      <c r="AD11">
        <f>IF($C11-AD$1&lt;År1,0,AC10*(1-VLOOKUP($A11,[1]Hugst!$R$5:$W$9,MATCH(ROUNDUP((AD$1)/10,0)*10,[1]Hugst!$R$4:$W$4,0))))</f>
        <v>0</v>
      </c>
      <c r="AE11">
        <f>IF($C11-AE$1&lt;År1,0,AD10*(1-VLOOKUP($A11,[1]Hugst!$R$5:$W$9,MATCH(ROUNDUP((AE$1)/10,0)*10,[1]Hugst!$R$4:$W$4,0))))</f>
        <v>0</v>
      </c>
      <c r="AF11">
        <f>IF($C11-AF$1&lt;År1,0,AE10*(1-VLOOKUP($A11,[1]Hugst!$R$5:$W$9,MATCH(ROUNDUP((AF$1)/10,0)*10,[1]Hugst!$R$4:$W$4,0))))</f>
        <v>0</v>
      </c>
      <c r="AG11">
        <f>IF($C11-AG$1&lt;År1,0,AF10*(1-VLOOKUP($A11,[1]Hugst!$R$5:$W$9,MATCH(ROUNDUP((AG$1)/10,0)*10,[1]Hugst!$R$4:$W$4,0))))</f>
        <v>0</v>
      </c>
      <c r="AH11">
        <f>IF($C11-AH$1&lt;År1,0,AG10*(1-VLOOKUP($A11,[1]Hugst!$R$5:$W$9,MATCH(ROUNDUP((AH$1)/10,0)*10,[1]Hugst!$R$4:$W$4,0))))</f>
        <v>0</v>
      </c>
      <c r="AI11">
        <f>IF($C11-AI$1&lt;År1,0,AH10*(1-VLOOKUP($A11,[1]Hugst!$R$5:$W$9,MATCH(ROUNDUP((AI$1)/10,0)*10,[1]Hugst!$R$4:$W$4,0))))</f>
        <v>0</v>
      </c>
      <c r="AJ11">
        <f>IF($C11-AJ$1&lt;År1,0,AI10*(1-VLOOKUP($A11,[1]Hugst!$R$5:$W$9,MATCH(ROUNDUP((AJ$1)/10,0)*10,[1]Hugst!$R$4:$W$4,0))))</f>
        <v>0</v>
      </c>
    </row>
    <row r="12" spans="1:36" x14ac:dyDescent="0.25">
      <c r="A12" t="s">
        <v>176</v>
      </c>
      <c r="B12" t="s">
        <v>23</v>
      </c>
      <c r="C12">
        <v>2030</v>
      </c>
      <c r="D12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103.44856848048812</v>
      </c>
      <c r="E12">
        <f t="shared" ca="1" si="0"/>
        <v>0</v>
      </c>
      <c r="F12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359.21612054433638</v>
      </c>
      <c r="G12">
        <f ca="1">IF($C12-G$1&lt;År1,0,F11*(1-VLOOKUP($A12,[1]Hugst!$R$5:$W$9,MATCH(ROUNDUP((G$1)/10,0)*10,[1]Hugst!$R$4:$W$4,0))))</f>
        <v>359.73596259699673</v>
      </c>
      <c r="H12">
        <f ca="1">IF($C12-H$1&lt;År1,0,G11*(1-VLOOKUP($A12,[1]Hugst!$R$5:$W$9,MATCH(ROUNDUP((H$1)/10,0)*10,[1]Hugst!$R$4:$W$4,0))))</f>
        <v>360.2584169212887</v>
      </c>
      <c r="I12">
        <f ca="1">IF($C12-I$1&lt;År1,0,H11*(1-VLOOKUP($A12,[1]Hugst!$R$5:$W$9,MATCH(ROUNDUP((I$1)/10,0)*10,[1]Hugst!$R$4:$W$4,0))))</f>
        <v>360.7834966441892</v>
      </c>
      <c r="J12">
        <f ca="1">IF($C12-J$1&lt;År1,0,I11*(1-VLOOKUP($A12,[1]Hugst!$R$5:$W$9,MATCH(ROUNDUP((J$1)/10,0)*10,[1]Hugst!$R$4:$W$4,0))))</f>
        <v>361.31121495866228</v>
      </c>
      <c r="K12">
        <f ca="1">IF($C12-K$1&lt;År1,0,J11*(1-VLOOKUP($A12,[1]Hugst!$R$5:$W$9,MATCH(ROUNDUP((K$1)/10,0)*10,[1]Hugst!$R$4:$W$4,0))))</f>
        <v>361.84158512396232</v>
      </c>
      <c r="L12">
        <f ca="1">IF($C12-L$1&lt;År1,0,K11*(1-VLOOKUP($A12,[1]Hugst!$R$5:$W$9,MATCH(ROUNDUP((L$1)/10,0)*10,[1]Hugst!$R$4:$W$4,0))))</f>
        <v>362.37462046597341</v>
      </c>
      <c r="M12">
        <f ca="1">IF($C12-M$1&lt;År1,0,L11*(1-VLOOKUP($A12,[1]Hugst!$R$5:$W$9,MATCH(ROUNDUP((M$1)/10,0)*10,[1]Hugst!$R$4:$W$4,0))))</f>
        <v>362.9103343775422</v>
      </c>
      <c r="N12">
        <f ca="1">IF($C12-N$1&lt;År1,0,M11*(1-VLOOKUP($A12,[1]Hugst!$R$5:$W$9,MATCH(ROUNDUP((N$1)/10,0)*10,[1]Hugst!$R$4:$W$4,0))))</f>
        <v>363.44874031881761</v>
      </c>
      <c r="O12">
        <f ca="1">IF($C12-O$1&lt;År1,0,N11*(1-VLOOKUP($A12,[1]Hugst!$R$5:$W$9,MATCH(ROUNDUP((O$1)/10,0)*10,[1]Hugst!$R$4:$W$4,0))))</f>
        <v>363.98985181758314</v>
      </c>
      <c r="P12">
        <f ca="1">IF($C12-P$1&lt;År1,0,O11*(1-VLOOKUP($A12,[1]Hugst!$R$5:$W$9,MATCH(ROUNDUP((P$1)/10,0)*10,[1]Hugst!$R$4:$W$4,0))))</f>
        <v>364.53368246961463</v>
      </c>
      <c r="Q12">
        <f>IF($C12-Q$1&lt;År1,0,P11*(1-VLOOKUP($A12,[1]Hugst!$R$5:$W$9,MATCH(ROUNDUP((Q$1)/10,0)*10,[1]Hugst!$R$4:$W$4,0))))</f>
        <v>0</v>
      </c>
      <c r="R12">
        <f>IF($C12-R$1&lt;År1,0,Q11*(1-VLOOKUP($A12,[1]Hugst!$R$5:$W$9,MATCH(ROUNDUP((R$1)/10,0)*10,[1]Hugst!$R$4:$W$4,0))))</f>
        <v>0</v>
      </c>
      <c r="S12">
        <f>IF($C12-S$1&lt;År1,0,R11*(1-VLOOKUP($A12,[1]Hugst!$R$5:$W$9,MATCH(ROUNDUP((S$1)/10,0)*10,[1]Hugst!$R$4:$W$4,0))))</f>
        <v>0</v>
      </c>
      <c r="T12">
        <f>IF($C12-T$1&lt;År1,0,S11*(1-VLOOKUP($A12,[1]Hugst!$R$5:$W$9,MATCH(ROUNDUP((T$1)/10,0)*10,[1]Hugst!$R$4:$W$4,0))))</f>
        <v>0</v>
      </c>
      <c r="U12">
        <f>IF($C12-U$1&lt;År1,0,T11*(1-VLOOKUP($A12,[1]Hugst!$R$5:$W$9,MATCH(ROUNDUP((U$1)/10,0)*10,[1]Hugst!$R$4:$W$4,0))))</f>
        <v>0</v>
      </c>
      <c r="V12">
        <f>IF($C12-V$1&lt;År1,0,U11*(1-VLOOKUP($A12,[1]Hugst!$R$5:$W$9,MATCH(ROUNDUP((V$1)/10,0)*10,[1]Hugst!$R$4:$W$4,0))))</f>
        <v>0</v>
      </c>
      <c r="W12">
        <f>IF($C12-W$1&lt;År1,0,V11*(1-VLOOKUP($A12,[1]Hugst!$R$5:$W$9,MATCH(ROUNDUP((W$1)/10,0)*10,[1]Hugst!$R$4:$W$4,0))))</f>
        <v>0</v>
      </c>
      <c r="X12">
        <f>IF($C12-X$1&lt;År1,0,W11*(1-VLOOKUP($A12,[1]Hugst!$R$5:$W$9,MATCH(ROUNDUP((X$1)/10,0)*10,[1]Hugst!$R$4:$W$4,0))))</f>
        <v>0</v>
      </c>
      <c r="Y12">
        <f>IF($C12-Y$1&lt;År1,0,X11*(1-VLOOKUP($A12,[1]Hugst!$R$5:$W$9,MATCH(ROUNDUP((Y$1)/10,0)*10,[1]Hugst!$R$4:$W$4,0))))</f>
        <v>0</v>
      </c>
      <c r="Z12">
        <f>IF($C12-Z$1&lt;År1,0,Y11*(1-VLOOKUP($A12,[1]Hugst!$R$5:$W$9,MATCH(ROUNDUP((Z$1)/10,0)*10,[1]Hugst!$R$4:$W$4,0))))</f>
        <v>0</v>
      </c>
      <c r="AA12">
        <f>IF($C12-AA$1&lt;År1,0,Z11*(1-VLOOKUP($A12,[1]Hugst!$R$5:$W$9,MATCH(ROUNDUP((AA$1)/10,0)*10,[1]Hugst!$R$4:$W$4,0))))</f>
        <v>0</v>
      </c>
      <c r="AB12">
        <f>IF($C12-AB$1&lt;År1,0,AA11*(1-VLOOKUP($A12,[1]Hugst!$R$5:$W$9,MATCH(ROUNDUP((AB$1)/10,0)*10,[1]Hugst!$R$4:$W$4,0))))</f>
        <v>0</v>
      </c>
      <c r="AC12">
        <f>IF($C12-AC$1&lt;År1,0,AB11*(1-VLOOKUP($A12,[1]Hugst!$R$5:$W$9,MATCH(ROUNDUP((AC$1)/10,0)*10,[1]Hugst!$R$4:$W$4,0))))</f>
        <v>0</v>
      </c>
      <c r="AD12">
        <f>IF($C12-AD$1&lt;År1,0,AC11*(1-VLOOKUP($A12,[1]Hugst!$R$5:$W$9,MATCH(ROUNDUP((AD$1)/10,0)*10,[1]Hugst!$R$4:$W$4,0))))</f>
        <v>0</v>
      </c>
      <c r="AE12">
        <f>IF($C12-AE$1&lt;År1,0,AD11*(1-VLOOKUP($A12,[1]Hugst!$R$5:$W$9,MATCH(ROUNDUP((AE$1)/10,0)*10,[1]Hugst!$R$4:$W$4,0))))</f>
        <v>0</v>
      </c>
      <c r="AF12">
        <f>IF($C12-AF$1&lt;År1,0,AE11*(1-VLOOKUP($A12,[1]Hugst!$R$5:$W$9,MATCH(ROUNDUP((AF$1)/10,0)*10,[1]Hugst!$R$4:$W$4,0))))</f>
        <v>0</v>
      </c>
      <c r="AG12">
        <f>IF($C12-AG$1&lt;År1,0,AF11*(1-VLOOKUP($A12,[1]Hugst!$R$5:$W$9,MATCH(ROUNDUP((AG$1)/10,0)*10,[1]Hugst!$R$4:$W$4,0))))</f>
        <v>0</v>
      </c>
      <c r="AH12">
        <f>IF($C12-AH$1&lt;År1,0,AG11*(1-VLOOKUP($A12,[1]Hugst!$R$5:$W$9,MATCH(ROUNDUP((AH$1)/10,0)*10,[1]Hugst!$R$4:$W$4,0))))</f>
        <v>0</v>
      </c>
      <c r="AI12">
        <f>IF($C12-AI$1&lt;År1,0,AH11*(1-VLOOKUP($A12,[1]Hugst!$R$5:$W$9,MATCH(ROUNDUP((AI$1)/10,0)*10,[1]Hugst!$R$4:$W$4,0))))</f>
        <v>0</v>
      </c>
      <c r="AJ12">
        <f>IF($C12-AJ$1&lt;År1,0,AI11*(1-VLOOKUP($A12,[1]Hugst!$R$5:$W$9,MATCH(ROUNDUP((AJ$1)/10,0)*10,[1]Hugst!$R$4:$W$4,0))))</f>
        <v>0</v>
      </c>
    </row>
    <row r="13" spans="1:36" x14ac:dyDescent="0.25">
      <c r="A13" t="s">
        <v>176</v>
      </c>
      <c r="B13" t="s">
        <v>23</v>
      </c>
      <c r="C13">
        <v>2031</v>
      </c>
      <c r="D13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102.93132563807899</v>
      </c>
      <c r="E13">
        <f t="shared" ca="1" si="0"/>
        <v>0</v>
      </c>
      <c r="F13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504.85176459555504</v>
      </c>
      <c r="G13">
        <f ca="1">IF($C13-G$1&lt;År1,0,F12*(1-VLOOKUP($A13,[1]Hugst!$R$5:$W$9,MATCH(ROUNDUP((G$1)/10,0)*10,[1]Hugst!$R$4:$W$4,0))))</f>
        <v>359.21612054433638</v>
      </c>
      <c r="H13">
        <f ca="1">IF($C13-H$1&lt;År1,0,G12*(1-VLOOKUP($A13,[1]Hugst!$R$5:$W$9,MATCH(ROUNDUP((H$1)/10,0)*10,[1]Hugst!$R$4:$W$4,0))))</f>
        <v>359.73596259699673</v>
      </c>
      <c r="I13">
        <f ca="1">IF($C13-I$1&lt;År1,0,H12*(1-VLOOKUP($A13,[1]Hugst!$R$5:$W$9,MATCH(ROUNDUP((I$1)/10,0)*10,[1]Hugst!$R$4:$W$4,0))))</f>
        <v>360.2584169212887</v>
      </c>
      <c r="J13">
        <f ca="1">IF($C13-J$1&lt;År1,0,I12*(1-VLOOKUP($A13,[1]Hugst!$R$5:$W$9,MATCH(ROUNDUP((J$1)/10,0)*10,[1]Hugst!$R$4:$W$4,0))))</f>
        <v>360.7834966441892</v>
      </c>
      <c r="K13">
        <f ca="1">IF($C13-K$1&lt;År1,0,J12*(1-VLOOKUP($A13,[1]Hugst!$R$5:$W$9,MATCH(ROUNDUP((K$1)/10,0)*10,[1]Hugst!$R$4:$W$4,0))))</f>
        <v>361.31121495866228</v>
      </c>
      <c r="L13">
        <f ca="1">IF($C13-L$1&lt;År1,0,K12*(1-VLOOKUP($A13,[1]Hugst!$R$5:$W$9,MATCH(ROUNDUP((L$1)/10,0)*10,[1]Hugst!$R$4:$W$4,0))))</f>
        <v>361.84158512396232</v>
      </c>
      <c r="M13">
        <f ca="1">IF($C13-M$1&lt;År1,0,L12*(1-VLOOKUP($A13,[1]Hugst!$R$5:$W$9,MATCH(ROUNDUP((M$1)/10,0)*10,[1]Hugst!$R$4:$W$4,0))))</f>
        <v>362.37462046597341</v>
      </c>
      <c r="N13">
        <f ca="1">IF($C13-N$1&lt;År1,0,M12*(1-VLOOKUP($A13,[1]Hugst!$R$5:$W$9,MATCH(ROUNDUP((N$1)/10,0)*10,[1]Hugst!$R$4:$W$4,0))))</f>
        <v>362.9103343775422</v>
      </c>
      <c r="O13">
        <f ca="1">IF($C13-O$1&lt;År1,0,N12*(1-VLOOKUP($A13,[1]Hugst!$R$5:$W$9,MATCH(ROUNDUP((O$1)/10,0)*10,[1]Hugst!$R$4:$W$4,0))))</f>
        <v>363.44874031881761</v>
      </c>
      <c r="P13">
        <f ca="1">IF($C13-P$1&lt;År1,0,O12*(1-VLOOKUP($A13,[1]Hugst!$R$5:$W$9,MATCH(ROUNDUP((P$1)/10,0)*10,[1]Hugst!$R$4:$W$4,0))))</f>
        <v>363.98985181758314</v>
      </c>
      <c r="Q13">
        <f ca="1">IF($C13-Q$1&lt;År1,0,P12*(1-VLOOKUP($A13,[1]Hugst!$R$5:$W$9,MATCH(ROUNDUP((Q$1)/10,0)*10,[1]Hugst!$R$4:$W$4,0))))</f>
        <v>364.53368246961463</v>
      </c>
      <c r="R13">
        <f>IF($C13-R$1&lt;År1,0,Q12*(1-VLOOKUP($A13,[1]Hugst!$R$5:$W$9,MATCH(ROUNDUP((R$1)/10,0)*10,[1]Hugst!$R$4:$W$4,0))))</f>
        <v>0</v>
      </c>
      <c r="S13">
        <f>IF($C13-S$1&lt;År1,0,R12*(1-VLOOKUP($A13,[1]Hugst!$R$5:$W$9,MATCH(ROUNDUP((S$1)/10,0)*10,[1]Hugst!$R$4:$W$4,0))))</f>
        <v>0</v>
      </c>
      <c r="T13">
        <f>IF($C13-T$1&lt;År1,0,S12*(1-VLOOKUP($A13,[1]Hugst!$R$5:$W$9,MATCH(ROUNDUP((T$1)/10,0)*10,[1]Hugst!$R$4:$W$4,0))))</f>
        <v>0</v>
      </c>
      <c r="U13">
        <f>IF($C13-U$1&lt;År1,0,T12*(1-VLOOKUP($A13,[1]Hugst!$R$5:$W$9,MATCH(ROUNDUP((U$1)/10,0)*10,[1]Hugst!$R$4:$W$4,0))))</f>
        <v>0</v>
      </c>
      <c r="V13">
        <f>IF($C13-V$1&lt;År1,0,U12*(1-VLOOKUP($A13,[1]Hugst!$R$5:$W$9,MATCH(ROUNDUP((V$1)/10,0)*10,[1]Hugst!$R$4:$W$4,0))))</f>
        <v>0</v>
      </c>
      <c r="W13">
        <f>IF($C13-W$1&lt;År1,0,V12*(1-VLOOKUP($A13,[1]Hugst!$R$5:$W$9,MATCH(ROUNDUP((W$1)/10,0)*10,[1]Hugst!$R$4:$W$4,0))))</f>
        <v>0</v>
      </c>
      <c r="X13">
        <f>IF($C13-X$1&lt;År1,0,W12*(1-VLOOKUP($A13,[1]Hugst!$R$5:$W$9,MATCH(ROUNDUP((X$1)/10,0)*10,[1]Hugst!$R$4:$W$4,0))))</f>
        <v>0</v>
      </c>
      <c r="Y13">
        <f>IF($C13-Y$1&lt;År1,0,X12*(1-VLOOKUP($A13,[1]Hugst!$R$5:$W$9,MATCH(ROUNDUP((Y$1)/10,0)*10,[1]Hugst!$R$4:$W$4,0))))</f>
        <v>0</v>
      </c>
      <c r="Z13">
        <f>IF($C13-Z$1&lt;År1,0,Y12*(1-VLOOKUP($A13,[1]Hugst!$R$5:$W$9,MATCH(ROUNDUP((Z$1)/10,0)*10,[1]Hugst!$R$4:$W$4,0))))</f>
        <v>0</v>
      </c>
      <c r="AA13">
        <f>IF($C13-AA$1&lt;År1,0,Z12*(1-VLOOKUP($A13,[1]Hugst!$R$5:$W$9,MATCH(ROUNDUP((AA$1)/10,0)*10,[1]Hugst!$R$4:$W$4,0))))</f>
        <v>0</v>
      </c>
      <c r="AB13">
        <f>IF($C13-AB$1&lt;År1,0,AA12*(1-VLOOKUP($A13,[1]Hugst!$R$5:$W$9,MATCH(ROUNDUP((AB$1)/10,0)*10,[1]Hugst!$R$4:$W$4,0))))</f>
        <v>0</v>
      </c>
      <c r="AC13">
        <f>IF($C13-AC$1&lt;År1,0,AB12*(1-VLOOKUP($A13,[1]Hugst!$R$5:$W$9,MATCH(ROUNDUP((AC$1)/10,0)*10,[1]Hugst!$R$4:$W$4,0))))</f>
        <v>0</v>
      </c>
      <c r="AD13">
        <f>IF($C13-AD$1&lt;År1,0,AC12*(1-VLOOKUP($A13,[1]Hugst!$R$5:$W$9,MATCH(ROUNDUP((AD$1)/10,0)*10,[1]Hugst!$R$4:$W$4,0))))</f>
        <v>0</v>
      </c>
      <c r="AE13">
        <f>IF($C13-AE$1&lt;År1,0,AD12*(1-VLOOKUP($A13,[1]Hugst!$R$5:$W$9,MATCH(ROUNDUP((AE$1)/10,0)*10,[1]Hugst!$R$4:$W$4,0))))</f>
        <v>0</v>
      </c>
      <c r="AF13">
        <f>IF($C13-AF$1&lt;År1,0,AE12*(1-VLOOKUP($A13,[1]Hugst!$R$5:$W$9,MATCH(ROUNDUP((AF$1)/10,0)*10,[1]Hugst!$R$4:$W$4,0))))</f>
        <v>0</v>
      </c>
      <c r="AG13">
        <f>IF($C13-AG$1&lt;År1,0,AF12*(1-VLOOKUP($A13,[1]Hugst!$R$5:$W$9,MATCH(ROUNDUP((AG$1)/10,0)*10,[1]Hugst!$R$4:$W$4,0))))</f>
        <v>0</v>
      </c>
      <c r="AH13">
        <f>IF($C13-AH$1&lt;År1,0,AG12*(1-VLOOKUP($A13,[1]Hugst!$R$5:$W$9,MATCH(ROUNDUP((AH$1)/10,0)*10,[1]Hugst!$R$4:$W$4,0))))</f>
        <v>0</v>
      </c>
      <c r="AI13">
        <f>IF($C13-AI$1&lt;År1,0,AH12*(1-VLOOKUP($A13,[1]Hugst!$R$5:$W$9,MATCH(ROUNDUP((AI$1)/10,0)*10,[1]Hugst!$R$4:$W$4,0))))</f>
        <v>0</v>
      </c>
      <c r="AJ13">
        <f>IF($C13-AJ$1&lt;År1,0,AI12*(1-VLOOKUP($A13,[1]Hugst!$R$5:$W$9,MATCH(ROUNDUP((AJ$1)/10,0)*10,[1]Hugst!$R$4:$W$4,0))))</f>
        <v>0</v>
      </c>
    </row>
    <row r="14" spans="1:36" x14ac:dyDescent="0.25">
      <c r="A14" t="s">
        <v>176</v>
      </c>
      <c r="B14" t="s">
        <v>23</v>
      </c>
      <c r="C14">
        <v>2032</v>
      </c>
      <c r="D14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102.41666900989367</v>
      </c>
      <c r="E14">
        <f t="shared" ca="1" si="0"/>
        <v>0</v>
      </c>
      <c r="F14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504.33710796736972</v>
      </c>
      <c r="G14">
        <f ca="1">IF($C14-G$1&lt;År1,0,F13*(1-VLOOKUP($A14,[1]Hugst!$R$5:$W$9,MATCH(ROUNDUP((G$1)/10,0)*10,[1]Hugst!$R$4:$W$4,0))))</f>
        <v>504.85176459555504</v>
      </c>
      <c r="H14">
        <f ca="1">IF($C14-H$1&lt;År1,0,G13*(1-VLOOKUP($A14,[1]Hugst!$R$5:$W$9,MATCH(ROUNDUP((H$1)/10,0)*10,[1]Hugst!$R$4:$W$4,0))))</f>
        <v>359.21612054433638</v>
      </c>
      <c r="I14">
        <f ca="1">IF($C14-I$1&lt;År1,0,H13*(1-VLOOKUP($A14,[1]Hugst!$R$5:$W$9,MATCH(ROUNDUP((I$1)/10,0)*10,[1]Hugst!$R$4:$W$4,0))))</f>
        <v>359.73596259699673</v>
      </c>
      <c r="J14">
        <f ca="1">IF($C14-J$1&lt;År1,0,I13*(1-VLOOKUP($A14,[1]Hugst!$R$5:$W$9,MATCH(ROUNDUP((J$1)/10,0)*10,[1]Hugst!$R$4:$W$4,0))))</f>
        <v>360.2584169212887</v>
      </c>
      <c r="K14">
        <f ca="1">IF($C14-K$1&lt;År1,0,J13*(1-VLOOKUP($A14,[1]Hugst!$R$5:$W$9,MATCH(ROUNDUP((K$1)/10,0)*10,[1]Hugst!$R$4:$W$4,0))))</f>
        <v>360.7834966441892</v>
      </c>
      <c r="L14">
        <f ca="1">IF($C14-L$1&lt;År1,0,K13*(1-VLOOKUP($A14,[1]Hugst!$R$5:$W$9,MATCH(ROUNDUP((L$1)/10,0)*10,[1]Hugst!$R$4:$W$4,0))))</f>
        <v>361.31121495866228</v>
      </c>
      <c r="M14">
        <f ca="1">IF($C14-M$1&lt;År1,0,L13*(1-VLOOKUP($A14,[1]Hugst!$R$5:$W$9,MATCH(ROUNDUP((M$1)/10,0)*10,[1]Hugst!$R$4:$W$4,0))))</f>
        <v>361.84158512396232</v>
      </c>
      <c r="N14">
        <f ca="1">IF($C14-N$1&lt;År1,0,M13*(1-VLOOKUP($A14,[1]Hugst!$R$5:$W$9,MATCH(ROUNDUP((N$1)/10,0)*10,[1]Hugst!$R$4:$W$4,0))))</f>
        <v>362.37462046597341</v>
      </c>
      <c r="O14">
        <f ca="1">IF($C14-O$1&lt;År1,0,N13*(1-VLOOKUP($A14,[1]Hugst!$R$5:$W$9,MATCH(ROUNDUP((O$1)/10,0)*10,[1]Hugst!$R$4:$W$4,0))))</f>
        <v>362.9103343775422</v>
      </c>
      <c r="P14">
        <f ca="1">IF($C14-P$1&lt;År1,0,O13*(1-VLOOKUP($A14,[1]Hugst!$R$5:$W$9,MATCH(ROUNDUP((P$1)/10,0)*10,[1]Hugst!$R$4:$W$4,0))))</f>
        <v>363.44874031881761</v>
      </c>
      <c r="Q14">
        <f ca="1">IF($C14-Q$1&lt;År1,0,P13*(1-VLOOKUP($A14,[1]Hugst!$R$5:$W$9,MATCH(ROUNDUP((Q$1)/10,0)*10,[1]Hugst!$R$4:$W$4,0))))</f>
        <v>363.98985181758314</v>
      </c>
      <c r="R14">
        <f ca="1">IF($C14-R$1&lt;År1,0,Q13*(1-VLOOKUP($A14,[1]Hugst!$R$5:$W$9,MATCH(ROUNDUP((R$1)/10,0)*10,[1]Hugst!$R$4:$W$4,0))))</f>
        <v>364.53368246961463</v>
      </c>
      <c r="S14">
        <f>IF($C14-S$1&lt;År1,0,R13*(1-VLOOKUP($A14,[1]Hugst!$R$5:$W$9,MATCH(ROUNDUP((S$1)/10,0)*10,[1]Hugst!$R$4:$W$4,0))))</f>
        <v>0</v>
      </c>
      <c r="T14">
        <f>IF($C14-T$1&lt;År1,0,S13*(1-VLOOKUP($A14,[1]Hugst!$R$5:$W$9,MATCH(ROUNDUP((T$1)/10,0)*10,[1]Hugst!$R$4:$W$4,0))))</f>
        <v>0</v>
      </c>
      <c r="U14">
        <f>IF($C14-U$1&lt;År1,0,T13*(1-VLOOKUP($A14,[1]Hugst!$R$5:$W$9,MATCH(ROUNDUP((U$1)/10,0)*10,[1]Hugst!$R$4:$W$4,0))))</f>
        <v>0</v>
      </c>
      <c r="V14">
        <f>IF($C14-V$1&lt;År1,0,U13*(1-VLOOKUP($A14,[1]Hugst!$R$5:$W$9,MATCH(ROUNDUP((V$1)/10,0)*10,[1]Hugst!$R$4:$W$4,0))))</f>
        <v>0</v>
      </c>
      <c r="W14">
        <f>IF($C14-W$1&lt;År1,0,V13*(1-VLOOKUP($A14,[1]Hugst!$R$5:$W$9,MATCH(ROUNDUP((W$1)/10,0)*10,[1]Hugst!$R$4:$W$4,0))))</f>
        <v>0</v>
      </c>
      <c r="X14">
        <f>IF($C14-X$1&lt;År1,0,W13*(1-VLOOKUP($A14,[1]Hugst!$R$5:$W$9,MATCH(ROUNDUP((X$1)/10,0)*10,[1]Hugst!$R$4:$W$4,0))))</f>
        <v>0</v>
      </c>
      <c r="Y14">
        <f>IF($C14-Y$1&lt;År1,0,X13*(1-VLOOKUP($A14,[1]Hugst!$R$5:$W$9,MATCH(ROUNDUP((Y$1)/10,0)*10,[1]Hugst!$R$4:$W$4,0))))</f>
        <v>0</v>
      </c>
      <c r="Z14">
        <f>IF($C14-Z$1&lt;År1,0,Y13*(1-VLOOKUP($A14,[1]Hugst!$R$5:$W$9,MATCH(ROUNDUP((Z$1)/10,0)*10,[1]Hugst!$R$4:$W$4,0))))</f>
        <v>0</v>
      </c>
      <c r="AA14">
        <f>IF($C14-AA$1&lt;År1,0,Z13*(1-VLOOKUP($A14,[1]Hugst!$R$5:$W$9,MATCH(ROUNDUP((AA$1)/10,0)*10,[1]Hugst!$R$4:$W$4,0))))</f>
        <v>0</v>
      </c>
      <c r="AB14">
        <f>IF($C14-AB$1&lt;År1,0,AA13*(1-VLOOKUP($A14,[1]Hugst!$R$5:$W$9,MATCH(ROUNDUP((AB$1)/10,0)*10,[1]Hugst!$R$4:$W$4,0))))</f>
        <v>0</v>
      </c>
      <c r="AC14">
        <f>IF($C14-AC$1&lt;År1,0,AB13*(1-VLOOKUP($A14,[1]Hugst!$R$5:$W$9,MATCH(ROUNDUP((AC$1)/10,0)*10,[1]Hugst!$R$4:$W$4,0))))</f>
        <v>0</v>
      </c>
      <c r="AD14">
        <f>IF($C14-AD$1&lt;År1,0,AC13*(1-VLOOKUP($A14,[1]Hugst!$R$5:$W$9,MATCH(ROUNDUP((AD$1)/10,0)*10,[1]Hugst!$R$4:$W$4,0))))</f>
        <v>0</v>
      </c>
      <c r="AE14">
        <f>IF($C14-AE$1&lt;År1,0,AD13*(1-VLOOKUP($A14,[1]Hugst!$R$5:$W$9,MATCH(ROUNDUP((AE$1)/10,0)*10,[1]Hugst!$R$4:$W$4,0))))</f>
        <v>0</v>
      </c>
      <c r="AF14">
        <f>IF($C14-AF$1&lt;År1,0,AE13*(1-VLOOKUP($A14,[1]Hugst!$R$5:$W$9,MATCH(ROUNDUP((AF$1)/10,0)*10,[1]Hugst!$R$4:$W$4,0))))</f>
        <v>0</v>
      </c>
      <c r="AG14">
        <f>IF($C14-AG$1&lt;År1,0,AF13*(1-VLOOKUP($A14,[1]Hugst!$R$5:$W$9,MATCH(ROUNDUP((AG$1)/10,0)*10,[1]Hugst!$R$4:$W$4,0))))</f>
        <v>0</v>
      </c>
      <c r="AH14">
        <f>IF($C14-AH$1&lt;År1,0,AG13*(1-VLOOKUP($A14,[1]Hugst!$R$5:$W$9,MATCH(ROUNDUP((AH$1)/10,0)*10,[1]Hugst!$R$4:$W$4,0))))</f>
        <v>0</v>
      </c>
      <c r="AI14">
        <f>IF($C14-AI$1&lt;År1,0,AH13*(1-VLOOKUP($A14,[1]Hugst!$R$5:$W$9,MATCH(ROUNDUP((AI$1)/10,0)*10,[1]Hugst!$R$4:$W$4,0))))</f>
        <v>0</v>
      </c>
      <c r="AJ14">
        <f>IF($C14-AJ$1&lt;År1,0,AI13*(1-VLOOKUP($A14,[1]Hugst!$R$5:$W$9,MATCH(ROUNDUP((AJ$1)/10,0)*10,[1]Hugst!$R$4:$W$4,0))))</f>
        <v>0</v>
      </c>
    </row>
    <row r="15" spans="1:36" x14ac:dyDescent="0.25">
      <c r="A15" t="s">
        <v>176</v>
      </c>
      <c r="B15" t="s">
        <v>23</v>
      </c>
      <c r="C15">
        <v>2033</v>
      </c>
      <c r="D15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101.90458566484153</v>
      </c>
      <c r="E15">
        <f t="shared" ca="1" si="0"/>
        <v>0</v>
      </c>
      <c r="F15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503.82502462231758</v>
      </c>
      <c r="G15">
        <f ca="1">IF($C15-G$1&lt;År1,0,F14*(1-VLOOKUP($A15,[1]Hugst!$R$5:$W$9,MATCH(ROUNDUP((G$1)/10,0)*10,[1]Hugst!$R$4:$W$4,0))))</f>
        <v>504.33710796736972</v>
      </c>
      <c r="H15">
        <f ca="1">IF($C15-H$1&lt;År1,0,G14*(1-VLOOKUP($A15,[1]Hugst!$R$5:$W$9,MATCH(ROUNDUP((H$1)/10,0)*10,[1]Hugst!$R$4:$W$4,0))))</f>
        <v>504.85176459555504</v>
      </c>
      <c r="I15">
        <f ca="1">IF($C15-I$1&lt;År1,0,H14*(1-VLOOKUP($A15,[1]Hugst!$R$5:$W$9,MATCH(ROUNDUP((I$1)/10,0)*10,[1]Hugst!$R$4:$W$4,0))))</f>
        <v>359.21612054433638</v>
      </c>
      <c r="J15">
        <f ca="1">IF($C15-J$1&lt;År1,0,I14*(1-VLOOKUP($A15,[1]Hugst!$R$5:$W$9,MATCH(ROUNDUP((J$1)/10,0)*10,[1]Hugst!$R$4:$W$4,0))))</f>
        <v>359.73596259699673</v>
      </c>
      <c r="K15">
        <f ca="1">IF($C15-K$1&lt;År1,0,J14*(1-VLOOKUP($A15,[1]Hugst!$R$5:$W$9,MATCH(ROUNDUP((K$1)/10,0)*10,[1]Hugst!$R$4:$W$4,0))))</f>
        <v>360.2584169212887</v>
      </c>
      <c r="L15">
        <f ca="1">IF($C15-L$1&lt;År1,0,K14*(1-VLOOKUP($A15,[1]Hugst!$R$5:$W$9,MATCH(ROUNDUP((L$1)/10,0)*10,[1]Hugst!$R$4:$W$4,0))))</f>
        <v>360.7834966441892</v>
      </c>
      <c r="M15">
        <f ca="1">IF($C15-M$1&lt;År1,0,L14*(1-VLOOKUP($A15,[1]Hugst!$R$5:$W$9,MATCH(ROUNDUP((M$1)/10,0)*10,[1]Hugst!$R$4:$W$4,0))))</f>
        <v>361.31121495866228</v>
      </c>
      <c r="N15">
        <f ca="1">IF($C15-N$1&lt;År1,0,M14*(1-VLOOKUP($A15,[1]Hugst!$R$5:$W$9,MATCH(ROUNDUP((N$1)/10,0)*10,[1]Hugst!$R$4:$W$4,0))))</f>
        <v>361.84158512396232</v>
      </c>
      <c r="O15">
        <f ca="1">IF($C15-O$1&lt;År1,0,N14*(1-VLOOKUP($A15,[1]Hugst!$R$5:$W$9,MATCH(ROUNDUP((O$1)/10,0)*10,[1]Hugst!$R$4:$W$4,0))))</f>
        <v>362.37462046597341</v>
      </c>
      <c r="P15">
        <f ca="1">IF($C15-P$1&lt;År1,0,O14*(1-VLOOKUP($A15,[1]Hugst!$R$5:$W$9,MATCH(ROUNDUP((P$1)/10,0)*10,[1]Hugst!$R$4:$W$4,0))))</f>
        <v>362.9103343775422</v>
      </c>
      <c r="Q15">
        <f ca="1">IF($C15-Q$1&lt;År1,0,P14*(1-VLOOKUP($A15,[1]Hugst!$R$5:$W$9,MATCH(ROUNDUP((Q$1)/10,0)*10,[1]Hugst!$R$4:$W$4,0))))</f>
        <v>363.44874031881761</v>
      </c>
      <c r="R15">
        <f ca="1">IF($C15-R$1&lt;År1,0,Q14*(1-VLOOKUP($A15,[1]Hugst!$R$5:$W$9,MATCH(ROUNDUP((R$1)/10,0)*10,[1]Hugst!$R$4:$W$4,0))))</f>
        <v>363.98985181758314</v>
      </c>
      <c r="S15">
        <f ca="1">IF($C15-S$1&lt;År1,0,R14*(1-VLOOKUP($A15,[1]Hugst!$R$5:$W$9,MATCH(ROUNDUP((S$1)/10,0)*10,[1]Hugst!$R$4:$W$4,0))))</f>
        <v>364.53368246961463</v>
      </c>
      <c r="T15">
        <f>IF($C15-T$1&lt;År1,0,S14*(1-VLOOKUP($A15,[1]Hugst!$R$5:$W$9,MATCH(ROUNDUP((T$1)/10,0)*10,[1]Hugst!$R$4:$W$4,0))))</f>
        <v>0</v>
      </c>
      <c r="U15">
        <f>IF($C15-U$1&lt;År1,0,T14*(1-VLOOKUP($A15,[1]Hugst!$R$5:$W$9,MATCH(ROUNDUP((U$1)/10,0)*10,[1]Hugst!$R$4:$W$4,0))))</f>
        <v>0</v>
      </c>
      <c r="V15">
        <f>IF($C15-V$1&lt;År1,0,U14*(1-VLOOKUP($A15,[1]Hugst!$R$5:$W$9,MATCH(ROUNDUP((V$1)/10,0)*10,[1]Hugst!$R$4:$W$4,0))))</f>
        <v>0</v>
      </c>
      <c r="W15">
        <f>IF($C15-W$1&lt;År1,0,V14*(1-VLOOKUP($A15,[1]Hugst!$R$5:$W$9,MATCH(ROUNDUP((W$1)/10,0)*10,[1]Hugst!$R$4:$W$4,0))))</f>
        <v>0</v>
      </c>
      <c r="X15">
        <f>IF($C15-X$1&lt;År1,0,W14*(1-VLOOKUP($A15,[1]Hugst!$R$5:$W$9,MATCH(ROUNDUP((X$1)/10,0)*10,[1]Hugst!$R$4:$W$4,0))))</f>
        <v>0</v>
      </c>
      <c r="Y15">
        <f>IF($C15-Y$1&lt;År1,0,X14*(1-VLOOKUP($A15,[1]Hugst!$R$5:$W$9,MATCH(ROUNDUP((Y$1)/10,0)*10,[1]Hugst!$R$4:$W$4,0))))</f>
        <v>0</v>
      </c>
      <c r="Z15">
        <f>IF($C15-Z$1&lt;År1,0,Y14*(1-VLOOKUP($A15,[1]Hugst!$R$5:$W$9,MATCH(ROUNDUP((Z$1)/10,0)*10,[1]Hugst!$R$4:$W$4,0))))</f>
        <v>0</v>
      </c>
      <c r="AA15">
        <f>IF($C15-AA$1&lt;År1,0,Z14*(1-VLOOKUP($A15,[1]Hugst!$R$5:$W$9,MATCH(ROUNDUP((AA$1)/10,0)*10,[1]Hugst!$R$4:$W$4,0))))</f>
        <v>0</v>
      </c>
      <c r="AB15">
        <f>IF($C15-AB$1&lt;År1,0,AA14*(1-VLOOKUP($A15,[1]Hugst!$R$5:$W$9,MATCH(ROUNDUP((AB$1)/10,0)*10,[1]Hugst!$R$4:$W$4,0))))</f>
        <v>0</v>
      </c>
      <c r="AC15">
        <f>IF($C15-AC$1&lt;År1,0,AB14*(1-VLOOKUP($A15,[1]Hugst!$R$5:$W$9,MATCH(ROUNDUP((AC$1)/10,0)*10,[1]Hugst!$R$4:$W$4,0))))</f>
        <v>0</v>
      </c>
      <c r="AD15">
        <f>IF($C15-AD$1&lt;År1,0,AC14*(1-VLOOKUP($A15,[1]Hugst!$R$5:$W$9,MATCH(ROUNDUP((AD$1)/10,0)*10,[1]Hugst!$R$4:$W$4,0))))</f>
        <v>0</v>
      </c>
      <c r="AE15">
        <f>IF($C15-AE$1&lt;År1,0,AD14*(1-VLOOKUP($A15,[1]Hugst!$R$5:$W$9,MATCH(ROUNDUP((AE$1)/10,0)*10,[1]Hugst!$R$4:$W$4,0))))</f>
        <v>0</v>
      </c>
      <c r="AF15">
        <f>IF($C15-AF$1&lt;År1,0,AE14*(1-VLOOKUP($A15,[1]Hugst!$R$5:$W$9,MATCH(ROUNDUP((AF$1)/10,0)*10,[1]Hugst!$R$4:$W$4,0))))</f>
        <v>0</v>
      </c>
      <c r="AG15">
        <f>IF($C15-AG$1&lt;År1,0,AF14*(1-VLOOKUP($A15,[1]Hugst!$R$5:$W$9,MATCH(ROUNDUP((AG$1)/10,0)*10,[1]Hugst!$R$4:$W$4,0))))</f>
        <v>0</v>
      </c>
      <c r="AH15">
        <f>IF($C15-AH$1&lt;År1,0,AG14*(1-VLOOKUP($A15,[1]Hugst!$R$5:$W$9,MATCH(ROUNDUP((AH$1)/10,0)*10,[1]Hugst!$R$4:$W$4,0))))</f>
        <v>0</v>
      </c>
      <c r="AI15">
        <f>IF($C15-AI$1&lt;År1,0,AH14*(1-VLOOKUP($A15,[1]Hugst!$R$5:$W$9,MATCH(ROUNDUP((AI$1)/10,0)*10,[1]Hugst!$R$4:$W$4,0))))</f>
        <v>0</v>
      </c>
      <c r="AJ15">
        <f>IF($C15-AJ$1&lt;År1,0,AI14*(1-VLOOKUP($A15,[1]Hugst!$R$5:$W$9,MATCH(ROUNDUP((AJ$1)/10,0)*10,[1]Hugst!$R$4:$W$4,0))))</f>
        <v>0</v>
      </c>
    </row>
    <row r="16" spans="1:36" x14ac:dyDescent="0.25">
      <c r="A16" t="s">
        <v>176</v>
      </c>
      <c r="B16" t="s">
        <v>23</v>
      </c>
      <c r="C16">
        <v>2034</v>
      </c>
      <c r="D16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101.39506273651773</v>
      </c>
      <c r="E16">
        <f t="shared" ca="1" si="0"/>
        <v>0</v>
      </c>
      <c r="F16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503.31550169399378</v>
      </c>
      <c r="G16">
        <f ca="1">IF($C16-G$1&lt;År1,0,F15*(1-VLOOKUP($A16,[1]Hugst!$R$5:$W$9,MATCH(ROUNDUP((G$1)/10,0)*10,[1]Hugst!$R$4:$W$4,0))))</f>
        <v>503.82502462231758</v>
      </c>
      <c r="H16">
        <f ca="1">IF($C16-H$1&lt;År1,0,G15*(1-VLOOKUP($A16,[1]Hugst!$R$5:$W$9,MATCH(ROUNDUP((H$1)/10,0)*10,[1]Hugst!$R$4:$W$4,0))))</f>
        <v>504.33710796736972</v>
      </c>
      <c r="I16">
        <f ca="1">IF($C16-I$1&lt;År1,0,H15*(1-VLOOKUP($A16,[1]Hugst!$R$5:$W$9,MATCH(ROUNDUP((I$1)/10,0)*10,[1]Hugst!$R$4:$W$4,0))))</f>
        <v>504.85176459555504</v>
      </c>
      <c r="J16">
        <f ca="1">IF($C16-J$1&lt;År1,0,I15*(1-VLOOKUP($A16,[1]Hugst!$R$5:$W$9,MATCH(ROUNDUP((J$1)/10,0)*10,[1]Hugst!$R$4:$W$4,0))))</f>
        <v>359.21612054433638</v>
      </c>
      <c r="K16">
        <f ca="1">IF($C16-K$1&lt;År1,0,J15*(1-VLOOKUP($A16,[1]Hugst!$R$5:$W$9,MATCH(ROUNDUP((K$1)/10,0)*10,[1]Hugst!$R$4:$W$4,0))))</f>
        <v>359.73596259699673</v>
      </c>
      <c r="L16">
        <f ca="1">IF($C16-L$1&lt;År1,0,K15*(1-VLOOKUP($A16,[1]Hugst!$R$5:$W$9,MATCH(ROUNDUP((L$1)/10,0)*10,[1]Hugst!$R$4:$W$4,0))))</f>
        <v>360.2584169212887</v>
      </c>
      <c r="M16">
        <f ca="1">IF($C16-M$1&lt;År1,0,L15*(1-VLOOKUP($A16,[1]Hugst!$R$5:$W$9,MATCH(ROUNDUP((M$1)/10,0)*10,[1]Hugst!$R$4:$W$4,0))))</f>
        <v>360.7834966441892</v>
      </c>
      <c r="N16">
        <f ca="1">IF($C16-N$1&lt;År1,0,M15*(1-VLOOKUP($A16,[1]Hugst!$R$5:$W$9,MATCH(ROUNDUP((N$1)/10,0)*10,[1]Hugst!$R$4:$W$4,0))))</f>
        <v>361.31121495866228</v>
      </c>
      <c r="O16">
        <f ca="1">IF($C16-O$1&lt;År1,0,N15*(1-VLOOKUP($A16,[1]Hugst!$R$5:$W$9,MATCH(ROUNDUP((O$1)/10,0)*10,[1]Hugst!$R$4:$W$4,0))))</f>
        <v>361.84158512396232</v>
      </c>
      <c r="P16">
        <f ca="1">IF($C16-P$1&lt;År1,0,O15*(1-VLOOKUP($A16,[1]Hugst!$R$5:$W$9,MATCH(ROUNDUP((P$1)/10,0)*10,[1]Hugst!$R$4:$W$4,0))))</f>
        <v>362.37462046597341</v>
      </c>
      <c r="Q16">
        <f ca="1">IF($C16-Q$1&lt;År1,0,P15*(1-VLOOKUP($A16,[1]Hugst!$R$5:$W$9,MATCH(ROUNDUP((Q$1)/10,0)*10,[1]Hugst!$R$4:$W$4,0))))</f>
        <v>362.9103343775422</v>
      </c>
      <c r="R16">
        <f ca="1">IF($C16-R$1&lt;År1,0,Q15*(1-VLOOKUP($A16,[1]Hugst!$R$5:$W$9,MATCH(ROUNDUP((R$1)/10,0)*10,[1]Hugst!$R$4:$W$4,0))))</f>
        <v>363.44874031881761</v>
      </c>
      <c r="S16">
        <f ca="1">IF($C16-S$1&lt;År1,0,R15*(1-VLOOKUP($A16,[1]Hugst!$R$5:$W$9,MATCH(ROUNDUP((S$1)/10,0)*10,[1]Hugst!$R$4:$W$4,0))))</f>
        <v>363.98985181758314</v>
      </c>
      <c r="T16">
        <f ca="1">IF($C16-T$1&lt;År1,0,S15*(1-VLOOKUP($A16,[1]Hugst!$R$5:$W$9,MATCH(ROUNDUP((T$1)/10,0)*10,[1]Hugst!$R$4:$W$4,0))))</f>
        <v>364.53368246961463</v>
      </c>
      <c r="U16">
        <f>IF($C16-U$1&lt;År1,0,T15*(1-VLOOKUP($A16,[1]Hugst!$R$5:$W$9,MATCH(ROUNDUP((U$1)/10,0)*10,[1]Hugst!$R$4:$W$4,0))))</f>
        <v>0</v>
      </c>
      <c r="V16">
        <f>IF($C16-V$1&lt;År1,0,U15*(1-VLOOKUP($A16,[1]Hugst!$R$5:$W$9,MATCH(ROUNDUP((V$1)/10,0)*10,[1]Hugst!$R$4:$W$4,0))))</f>
        <v>0</v>
      </c>
      <c r="W16">
        <f>IF($C16-W$1&lt;År1,0,V15*(1-VLOOKUP($A16,[1]Hugst!$R$5:$W$9,MATCH(ROUNDUP((W$1)/10,0)*10,[1]Hugst!$R$4:$W$4,0))))</f>
        <v>0</v>
      </c>
      <c r="X16">
        <f>IF($C16-X$1&lt;År1,0,W15*(1-VLOOKUP($A16,[1]Hugst!$R$5:$W$9,MATCH(ROUNDUP((X$1)/10,0)*10,[1]Hugst!$R$4:$W$4,0))))</f>
        <v>0</v>
      </c>
      <c r="Y16">
        <f>IF($C16-Y$1&lt;År1,0,X15*(1-VLOOKUP($A16,[1]Hugst!$R$5:$W$9,MATCH(ROUNDUP((Y$1)/10,0)*10,[1]Hugst!$R$4:$W$4,0))))</f>
        <v>0</v>
      </c>
      <c r="Z16">
        <f>IF($C16-Z$1&lt;År1,0,Y15*(1-VLOOKUP($A16,[1]Hugst!$R$5:$W$9,MATCH(ROUNDUP((Z$1)/10,0)*10,[1]Hugst!$R$4:$W$4,0))))</f>
        <v>0</v>
      </c>
      <c r="AA16">
        <f>IF($C16-AA$1&lt;År1,0,Z15*(1-VLOOKUP($A16,[1]Hugst!$R$5:$W$9,MATCH(ROUNDUP((AA$1)/10,0)*10,[1]Hugst!$R$4:$W$4,0))))</f>
        <v>0</v>
      </c>
      <c r="AB16">
        <f>IF($C16-AB$1&lt;År1,0,AA15*(1-VLOOKUP($A16,[1]Hugst!$R$5:$W$9,MATCH(ROUNDUP((AB$1)/10,0)*10,[1]Hugst!$R$4:$W$4,0))))</f>
        <v>0</v>
      </c>
      <c r="AC16">
        <f>IF($C16-AC$1&lt;År1,0,AB15*(1-VLOOKUP($A16,[1]Hugst!$R$5:$W$9,MATCH(ROUNDUP((AC$1)/10,0)*10,[1]Hugst!$R$4:$W$4,0))))</f>
        <v>0</v>
      </c>
      <c r="AD16">
        <f>IF($C16-AD$1&lt;År1,0,AC15*(1-VLOOKUP($A16,[1]Hugst!$R$5:$W$9,MATCH(ROUNDUP((AD$1)/10,0)*10,[1]Hugst!$R$4:$W$4,0))))</f>
        <v>0</v>
      </c>
      <c r="AE16">
        <f>IF($C16-AE$1&lt;År1,0,AD15*(1-VLOOKUP($A16,[1]Hugst!$R$5:$W$9,MATCH(ROUNDUP((AE$1)/10,0)*10,[1]Hugst!$R$4:$W$4,0))))</f>
        <v>0</v>
      </c>
      <c r="AF16">
        <f>IF($C16-AF$1&lt;År1,0,AE15*(1-VLOOKUP($A16,[1]Hugst!$R$5:$W$9,MATCH(ROUNDUP((AF$1)/10,0)*10,[1]Hugst!$R$4:$W$4,0))))</f>
        <v>0</v>
      </c>
      <c r="AG16">
        <f>IF($C16-AG$1&lt;År1,0,AF15*(1-VLOOKUP($A16,[1]Hugst!$R$5:$W$9,MATCH(ROUNDUP((AG$1)/10,0)*10,[1]Hugst!$R$4:$W$4,0))))</f>
        <v>0</v>
      </c>
      <c r="AH16">
        <f>IF($C16-AH$1&lt;År1,0,AG15*(1-VLOOKUP($A16,[1]Hugst!$R$5:$W$9,MATCH(ROUNDUP((AH$1)/10,0)*10,[1]Hugst!$R$4:$W$4,0))))</f>
        <v>0</v>
      </c>
      <c r="AI16">
        <f>IF($C16-AI$1&lt;År1,0,AH15*(1-VLOOKUP($A16,[1]Hugst!$R$5:$W$9,MATCH(ROUNDUP((AI$1)/10,0)*10,[1]Hugst!$R$4:$W$4,0))))</f>
        <v>0</v>
      </c>
      <c r="AJ16">
        <f>IF($C16-AJ$1&lt;År1,0,AI15*(1-VLOOKUP($A16,[1]Hugst!$R$5:$W$9,MATCH(ROUNDUP((AJ$1)/10,0)*10,[1]Hugst!$R$4:$W$4,0))))</f>
        <v>0</v>
      </c>
    </row>
    <row r="17" spans="1:38" x14ac:dyDescent="0.25">
      <c r="A17" t="s">
        <v>176</v>
      </c>
      <c r="B17" t="s">
        <v>23</v>
      </c>
      <c r="C17">
        <v>2035</v>
      </c>
      <c r="D17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100.88808742283732</v>
      </c>
      <c r="E17">
        <f t="shared" ca="1" si="0"/>
        <v>0</v>
      </c>
      <c r="F17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502.80852638031337</v>
      </c>
      <c r="G17">
        <f ca="1">IF($C17-G$1&lt;År1,0,F16*(1-VLOOKUP($A17,[1]Hugst!$R$5:$W$9,MATCH(ROUNDUP((G$1)/10,0)*10,[1]Hugst!$R$4:$W$4,0))))</f>
        <v>503.31550169399378</v>
      </c>
      <c r="H17">
        <f ca="1">IF($C17-H$1&lt;År1,0,G16*(1-VLOOKUP($A17,[1]Hugst!$R$5:$W$9,MATCH(ROUNDUP((H$1)/10,0)*10,[1]Hugst!$R$4:$W$4,0))))</f>
        <v>503.82502462231758</v>
      </c>
      <c r="I17">
        <f ca="1">IF($C17-I$1&lt;År1,0,H16*(1-VLOOKUP($A17,[1]Hugst!$R$5:$W$9,MATCH(ROUNDUP((I$1)/10,0)*10,[1]Hugst!$R$4:$W$4,0))))</f>
        <v>504.33710796736972</v>
      </c>
      <c r="J17">
        <f ca="1">IF($C17-J$1&lt;År1,0,I16*(1-VLOOKUP($A17,[1]Hugst!$R$5:$W$9,MATCH(ROUNDUP((J$1)/10,0)*10,[1]Hugst!$R$4:$W$4,0))))</f>
        <v>504.85176459555504</v>
      </c>
      <c r="K17">
        <f ca="1">IF($C17-K$1&lt;År1,0,J16*(1-VLOOKUP($A17,[1]Hugst!$R$5:$W$9,MATCH(ROUNDUP((K$1)/10,0)*10,[1]Hugst!$R$4:$W$4,0))))</f>
        <v>359.21612054433638</v>
      </c>
      <c r="L17">
        <f ca="1">IF($C17-L$1&lt;År1,0,K16*(1-VLOOKUP($A17,[1]Hugst!$R$5:$W$9,MATCH(ROUNDUP((L$1)/10,0)*10,[1]Hugst!$R$4:$W$4,0))))</f>
        <v>359.73596259699673</v>
      </c>
      <c r="M17">
        <f ca="1">IF($C17-M$1&lt;År1,0,L16*(1-VLOOKUP($A17,[1]Hugst!$R$5:$W$9,MATCH(ROUNDUP((M$1)/10,0)*10,[1]Hugst!$R$4:$W$4,0))))</f>
        <v>360.2584169212887</v>
      </c>
      <c r="N17">
        <f ca="1">IF($C17-N$1&lt;År1,0,M16*(1-VLOOKUP($A17,[1]Hugst!$R$5:$W$9,MATCH(ROUNDUP((N$1)/10,0)*10,[1]Hugst!$R$4:$W$4,0))))</f>
        <v>360.7834966441892</v>
      </c>
      <c r="O17">
        <f ca="1">IF($C17-O$1&lt;År1,0,N16*(1-VLOOKUP($A17,[1]Hugst!$R$5:$W$9,MATCH(ROUNDUP((O$1)/10,0)*10,[1]Hugst!$R$4:$W$4,0))))</f>
        <v>361.31121495866228</v>
      </c>
      <c r="P17">
        <f ca="1">IF($C17-P$1&lt;År1,0,O16*(1-VLOOKUP($A17,[1]Hugst!$R$5:$W$9,MATCH(ROUNDUP((P$1)/10,0)*10,[1]Hugst!$R$4:$W$4,0))))</f>
        <v>361.84158512396232</v>
      </c>
      <c r="Q17">
        <f ca="1">IF($C17-Q$1&lt;År1,0,P16*(1-VLOOKUP($A17,[1]Hugst!$R$5:$W$9,MATCH(ROUNDUP((Q$1)/10,0)*10,[1]Hugst!$R$4:$W$4,0))))</f>
        <v>362.37462046597341</v>
      </c>
      <c r="R17">
        <f ca="1">IF($C17-R$1&lt;År1,0,Q16*(1-VLOOKUP($A17,[1]Hugst!$R$5:$W$9,MATCH(ROUNDUP((R$1)/10,0)*10,[1]Hugst!$R$4:$W$4,0))))</f>
        <v>362.9103343775422</v>
      </c>
      <c r="S17">
        <f ca="1">IF($C17-S$1&lt;År1,0,R16*(1-VLOOKUP($A17,[1]Hugst!$R$5:$W$9,MATCH(ROUNDUP((S$1)/10,0)*10,[1]Hugst!$R$4:$W$4,0))))</f>
        <v>363.44874031881761</v>
      </c>
      <c r="T17">
        <f ca="1">IF($C17-T$1&lt;År1,0,S16*(1-VLOOKUP($A17,[1]Hugst!$R$5:$W$9,MATCH(ROUNDUP((T$1)/10,0)*10,[1]Hugst!$R$4:$W$4,0))))</f>
        <v>363.98985181758314</v>
      </c>
      <c r="U17">
        <f ca="1">IF($C17-U$1&lt;År1,0,T16*(1-VLOOKUP($A17,[1]Hugst!$R$5:$W$9,MATCH(ROUNDUP((U$1)/10,0)*10,[1]Hugst!$R$4:$W$4,0))))</f>
        <v>364.53368246961463</v>
      </c>
      <c r="V17">
        <f>IF($C17-V$1&lt;År1,0,U16*(1-VLOOKUP($A17,[1]Hugst!$R$5:$W$9,MATCH(ROUNDUP((V$1)/10,0)*10,[1]Hugst!$R$4:$W$4,0))))</f>
        <v>0</v>
      </c>
      <c r="W17">
        <f>IF($C17-W$1&lt;År1,0,V16*(1-VLOOKUP($A17,[1]Hugst!$R$5:$W$9,MATCH(ROUNDUP((W$1)/10,0)*10,[1]Hugst!$R$4:$W$4,0))))</f>
        <v>0</v>
      </c>
      <c r="X17">
        <f>IF($C17-X$1&lt;År1,0,W16*(1-VLOOKUP($A17,[1]Hugst!$R$5:$W$9,MATCH(ROUNDUP((X$1)/10,0)*10,[1]Hugst!$R$4:$W$4,0))))</f>
        <v>0</v>
      </c>
      <c r="Y17">
        <f>IF($C17-Y$1&lt;År1,0,X16*(1-VLOOKUP($A17,[1]Hugst!$R$5:$W$9,MATCH(ROUNDUP((Y$1)/10,0)*10,[1]Hugst!$R$4:$W$4,0))))</f>
        <v>0</v>
      </c>
      <c r="Z17">
        <f>IF($C17-Z$1&lt;År1,0,Y16*(1-VLOOKUP($A17,[1]Hugst!$R$5:$W$9,MATCH(ROUNDUP((Z$1)/10,0)*10,[1]Hugst!$R$4:$W$4,0))))</f>
        <v>0</v>
      </c>
      <c r="AA17">
        <f>IF($C17-AA$1&lt;År1,0,Z16*(1-VLOOKUP($A17,[1]Hugst!$R$5:$W$9,MATCH(ROUNDUP((AA$1)/10,0)*10,[1]Hugst!$R$4:$W$4,0))))</f>
        <v>0</v>
      </c>
      <c r="AB17">
        <f>IF($C17-AB$1&lt;År1,0,AA16*(1-VLOOKUP($A17,[1]Hugst!$R$5:$W$9,MATCH(ROUNDUP((AB$1)/10,0)*10,[1]Hugst!$R$4:$W$4,0))))</f>
        <v>0</v>
      </c>
      <c r="AC17">
        <f>IF($C17-AC$1&lt;År1,0,AB16*(1-VLOOKUP($A17,[1]Hugst!$R$5:$W$9,MATCH(ROUNDUP((AC$1)/10,0)*10,[1]Hugst!$R$4:$W$4,0))))</f>
        <v>0</v>
      </c>
      <c r="AD17">
        <f>IF($C17-AD$1&lt;År1,0,AC16*(1-VLOOKUP($A17,[1]Hugst!$R$5:$W$9,MATCH(ROUNDUP((AD$1)/10,0)*10,[1]Hugst!$R$4:$W$4,0))))</f>
        <v>0</v>
      </c>
      <c r="AE17">
        <f>IF($C17-AE$1&lt;År1,0,AD16*(1-VLOOKUP($A17,[1]Hugst!$R$5:$W$9,MATCH(ROUNDUP((AE$1)/10,0)*10,[1]Hugst!$R$4:$W$4,0))))</f>
        <v>0</v>
      </c>
      <c r="AF17">
        <f>IF($C17-AF$1&lt;År1,0,AE16*(1-VLOOKUP($A17,[1]Hugst!$R$5:$W$9,MATCH(ROUNDUP((AF$1)/10,0)*10,[1]Hugst!$R$4:$W$4,0))))</f>
        <v>0</v>
      </c>
      <c r="AG17">
        <f>IF($C17-AG$1&lt;År1,0,AF16*(1-VLOOKUP($A17,[1]Hugst!$R$5:$W$9,MATCH(ROUNDUP((AG$1)/10,0)*10,[1]Hugst!$R$4:$W$4,0))))</f>
        <v>0</v>
      </c>
      <c r="AH17">
        <f>IF($C17-AH$1&lt;År1,0,AG16*(1-VLOOKUP($A17,[1]Hugst!$R$5:$W$9,MATCH(ROUNDUP((AH$1)/10,0)*10,[1]Hugst!$R$4:$W$4,0))))</f>
        <v>0</v>
      </c>
      <c r="AI17">
        <f>IF($C17-AI$1&lt;År1,0,AH16*(1-VLOOKUP($A17,[1]Hugst!$R$5:$W$9,MATCH(ROUNDUP((AI$1)/10,0)*10,[1]Hugst!$R$4:$W$4,0))))</f>
        <v>0</v>
      </c>
      <c r="AJ17">
        <f>IF($C17-AJ$1&lt;År1,0,AI16*(1-VLOOKUP($A17,[1]Hugst!$R$5:$W$9,MATCH(ROUNDUP((AJ$1)/10,0)*10,[1]Hugst!$R$4:$W$4,0))))</f>
        <v>0</v>
      </c>
    </row>
    <row r="18" spans="1:38" x14ac:dyDescent="0.25">
      <c r="A18" t="s">
        <v>176</v>
      </c>
      <c r="B18" t="s">
        <v>23</v>
      </c>
      <c r="C18">
        <v>2036</v>
      </c>
      <c r="D1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100.38364698572263</v>
      </c>
      <c r="E18">
        <f t="shared" ca="1" si="0"/>
        <v>0</v>
      </c>
      <c r="F1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502.30408594319869</v>
      </c>
      <c r="G18">
        <f ca="1">IF($C18-G$1&lt;År1,0,F17*(1-VLOOKUP($A18,[1]Hugst!$R$5:$W$9,MATCH(ROUNDUP((G$1)/10,0)*10,[1]Hugst!$R$4:$W$4,0))))</f>
        <v>502.80852638031337</v>
      </c>
      <c r="H18">
        <f ca="1">IF($C18-H$1&lt;År1,0,G17*(1-VLOOKUP($A18,[1]Hugst!$R$5:$W$9,MATCH(ROUNDUP((H$1)/10,0)*10,[1]Hugst!$R$4:$W$4,0))))</f>
        <v>503.31550169399378</v>
      </c>
      <c r="I18">
        <f ca="1">IF($C18-I$1&lt;År1,0,H17*(1-VLOOKUP($A18,[1]Hugst!$R$5:$W$9,MATCH(ROUNDUP((I$1)/10,0)*10,[1]Hugst!$R$4:$W$4,0))))</f>
        <v>503.82502462231758</v>
      </c>
      <c r="J18">
        <f ca="1">IF($C18-J$1&lt;År1,0,I17*(1-VLOOKUP($A18,[1]Hugst!$R$5:$W$9,MATCH(ROUNDUP((J$1)/10,0)*10,[1]Hugst!$R$4:$W$4,0))))</f>
        <v>504.33710796736972</v>
      </c>
      <c r="K18">
        <f ca="1">IF($C18-K$1&lt;År1,0,J17*(1-VLOOKUP($A18,[1]Hugst!$R$5:$W$9,MATCH(ROUNDUP((K$1)/10,0)*10,[1]Hugst!$R$4:$W$4,0))))</f>
        <v>504.85176459555504</v>
      </c>
      <c r="L18">
        <f ca="1">IF($C18-L$1&lt;År1,0,K17*(1-VLOOKUP($A18,[1]Hugst!$R$5:$W$9,MATCH(ROUNDUP((L$1)/10,0)*10,[1]Hugst!$R$4:$W$4,0))))</f>
        <v>359.21612054433638</v>
      </c>
      <c r="M18">
        <f ca="1">IF($C18-M$1&lt;År1,0,L17*(1-VLOOKUP($A18,[1]Hugst!$R$5:$W$9,MATCH(ROUNDUP((M$1)/10,0)*10,[1]Hugst!$R$4:$W$4,0))))</f>
        <v>359.73596259699673</v>
      </c>
      <c r="N18">
        <f ca="1">IF($C18-N$1&lt;År1,0,M17*(1-VLOOKUP($A18,[1]Hugst!$R$5:$W$9,MATCH(ROUNDUP((N$1)/10,0)*10,[1]Hugst!$R$4:$W$4,0))))</f>
        <v>360.2584169212887</v>
      </c>
      <c r="O18">
        <f ca="1">IF($C18-O$1&lt;År1,0,N17*(1-VLOOKUP($A18,[1]Hugst!$R$5:$W$9,MATCH(ROUNDUP((O$1)/10,0)*10,[1]Hugst!$R$4:$W$4,0))))</f>
        <v>360.7834966441892</v>
      </c>
      <c r="P18">
        <f ca="1">IF($C18-P$1&lt;År1,0,O17*(1-VLOOKUP($A18,[1]Hugst!$R$5:$W$9,MATCH(ROUNDUP((P$1)/10,0)*10,[1]Hugst!$R$4:$W$4,0))))</f>
        <v>361.31121495866228</v>
      </c>
      <c r="Q18">
        <f ca="1">IF($C18-Q$1&lt;År1,0,P17*(1-VLOOKUP($A18,[1]Hugst!$R$5:$W$9,MATCH(ROUNDUP((Q$1)/10,0)*10,[1]Hugst!$R$4:$W$4,0))))</f>
        <v>361.84158512396232</v>
      </c>
      <c r="R18">
        <f ca="1">IF($C18-R$1&lt;År1,0,Q17*(1-VLOOKUP($A18,[1]Hugst!$R$5:$W$9,MATCH(ROUNDUP((R$1)/10,0)*10,[1]Hugst!$R$4:$W$4,0))))</f>
        <v>362.37462046597341</v>
      </c>
      <c r="S18">
        <f ca="1">IF($C18-S$1&lt;År1,0,R17*(1-VLOOKUP($A18,[1]Hugst!$R$5:$W$9,MATCH(ROUNDUP((S$1)/10,0)*10,[1]Hugst!$R$4:$W$4,0))))</f>
        <v>362.9103343775422</v>
      </c>
      <c r="T18">
        <f ca="1">IF($C18-T$1&lt;År1,0,S17*(1-VLOOKUP($A18,[1]Hugst!$R$5:$W$9,MATCH(ROUNDUP((T$1)/10,0)*10,[1]Hugst!$R$4:$W$4,0))))</f>
        <v>363.44874031881761</v>
      </c>
      <c r="U18">
        <f ca="1">IF($C18-U$1&lt;År1,0,T17*(1-VLOOKUP($A18,[1]Hugst!$R$5:$W$9,MATCH(ROUNDUP((U$1)/10,0)*10,[1]Hugst!$R$4:$W$4,0))))</f>
        <v>363.98985181758314</v>
      </c>
      <c r="V18">
        <f ca="1">IF($C18-V$1&lt;År1,0,U17*(1-VLOOKUP($A18,[1]Hugst!$R$5:$W$9,MATCH(ROUNDUP((V$1)/10,0)*10,[1]Hugst!$R$4:$W$4,0))))</f>
        <v>364.53368246961463</v>
      </c>
      <c r="W18">
        <f>IF($C18-W$1&lt;År1,0,V17*(1-VLOOKUP($A18,[1]Hugst!$R$5:$W$9,MATCH(ROUNDUP((W$1)/10,0)*10,[1]Hugst!$R$4:$W$4,0))))</f>
        <v>0</v>
      </c>
      <c r="X18">
        <f>IF($C18-X$1&lt;År1,0,W17*(1-VLOOKUP($A18,[1]Hugst!$R$5:$W$9,MATCH(ROUNDUP((X$1)/10,0)*10,[1]Hugst!$R$4:$W$4,0))))</f>
        <v>0</v>
      </c>
      <c r="Y18">
        <f>IF($C18-Y$1&lt;År1,0,X17*(1-VLOOKUP($A18,[1]Hugst!$R$5:$W$9,MATCH(ROUNDUP((Y$1)/10,0)*10,[1]Hugst!$R$4:$W$4,0))))</f>
        <v>0</v>
      </c>
      <c r="Z18">
        <f>IF($C18-Z$1&lt;År1,0,Y17*(1-VLOOKUP($A18,[1]Hugst!$R$5:$W$9,MATCH(ROUNDUP((Z$1)/10,0)*10,[1]Hugst!$R$4:$W$4,0))))</f>
        <v>0</v>
      </c>
      <c r="AA18">
        <f>IF($C18-AA$1&lt;År1,0,Z17*(1-VLOOKUP($A18,[1]Hugst!$R$5:$W$9,MATCH(ROUNDUP((AA$1)/10,0)*10,[1]Hugst!$R$4:$W$4,0))))</f>
        <v>0</v>
      </c>
      <c r="AB18">
        <f>IF($C18-AB$1&lt;År1,0,AA17*(1-VLOOKUP($A18,[1]Hugst!$R$5:$W$9,MATCH(ROUNDUP((AB$1)/10,0)*10,[1]Hugst!$R$4:$W$4,0))))</f>
        <v>0</v>
      </c>
      <c r="AC18">
        <f>IF($C18-AC$1&lt;År1,0,AB17*(1-VLOOKUP($A18,[1]Hugst!$R$5:$W$9,MATCH(ROUNDUP((AC$1)/10,0)*10,[1]Hugst!$R$4:$W$4,0))))</f>
        <v>0</v>
      </c>
      <c r="AD18">
        <f>IF($C18-AD$1&lt;År1,0,AC17*(1-VLOOKUP($A18,[1]Hugst!$R$5:$W$9,MATCH(ROUNDUP((AD$1)/10,0)*10,[1]Hugst!$R$4:$W$4,0))))</f>
        <v>0</v>
      </c>
      <c r="AE18">
        <f>IF($C18-AE$1&lt;År1,0,AD17*(1-VLOOKUP($A18,[1]Hugst!$R$5:$W$9,MATCH(ROUNDUP((AE$1)/10,0)*10,[1]Hugst!$R$4:$W$4,0))))</f>
        <v>0</v>
      </c>
      <c r="AF18">
        <f>IF($C18-AF$1&lt;År1,0,AE17*(1-VLOOKUP($A18,[1]Hugst!$R$5:$W$9,MATCH(ROUNDUP((AF$1)/10,0)*10,[1]Hugst!$R$4:$W$4,0))))</f>
        <v>0</v>
      </c>
      <c r="AG18">
        <f>IF($C18-AG$1&lt;År1,0,AF17*(1-VLOOKUP($A18,[1]Hugst!$R$5:$W$9,MATCH(ROUNDUP((AG$1)/10,0)*10,[1]Hugst!$R$4:$W$4,0))))</f>
        <v>0</v>
      </c>
      <c r="AH18">
        <f>IF($C18-AH$1&lt;År1,0,AG17*(1-VLOOKUP($A18,[1]Hugst!$R$5:$W$9,MATCH(ROUNDUP((AH$1)/10,0)*10,[1]Hugst!$R$4:$W$4,0))))</f>
        <v>0</v>
      </c>
      <c r="AI18">
        <f>IF($C18-AI$1&lt;År1,0,AH17*(1-VLOOKUP($A18,[1]Hugst!$R$5:$W$9,MATCH(ROUNDUP((AI$1)/10,0)*10,[1]Hugst!$R$4:$W$4,0))))</f>
        <v>0</v>
      </c>
      <c r="AJ18">
        <f>IF($C18-AJ$1&lt;År1,0,AI17*(1-VLOOKUP($A18,[1]Hugst!$R$5:$W$9,MATCH(ROUNDUP((AJ$1)/10,0)*10,[1]Hugst!$R$4:$W$4,0))))</f>
        <v>0</v>
      </c>
    </row>
    <row r="19" spans="1:38" x14ac:dyDescent="0.25">
      <c r="A19" t="s">
        <v>176</v>
      </c>
      <c r="B19" t="s">
        <v>23</v>
      </c>
      <c r="C19">
        <v>2037</v>
      </c>
      <c r="D19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99.881728750793172</v>
      </c>
      <c r="E19">
        <f t="shared" ca="1" si="0"/>
        <v>0</v>
      </c>
      <c r="F1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501.80216770826922</v>
      </c>
      <c r="G19">
        <f ca="1">IF($C19-G$1&lt;År1,0,F18*(1-VLOOKUP($A19,[1]Hugst!$R$5:$W$9,MATCH(ROUNDUP((G$1)/10,0)*10,[1]Hugst!$R$4:$W$4,0))))</f>
        <v>502.30408594319869</v>
      </c>
      <c r="H19">
        <f ca="1">IF($C19-H$1&lt;År1,0,G18*(1-VLOOKUP($A19,[1]Hugst!$R$5:$W$9,MATCH(ROUNDUP((H$1)/10,0)*10,[1]Hugst!$R$4:$W$4,0))))</f>
        <v>502.80852638031337</v>
      </c>
      <c r="I19">
        <f ca="1">IF($C19-I$1&lt;År1,0,H18*(1-VLOOKUP($A19,[1]Hugst!$R$5:$W$9,MATCH(ROUNDUP((I$1)/10,0)*10,[1]Hugst!$R$4:$W$4,0))))</f>
        <v>503.31550169399378</v>
      </c>
      <c r="J19">
        <f ca="1">IF($C19-J$1&lt;År1,0,I18*(1-VLOOKUP($A19,[1]Hugst!$R$5:$W$9,MATCH(ROUNDUP((J$1)/10,0)*10,[1]Hugst!$R$4:$W$4,0))))</f>
        <v>503.82502462231758</v>
      </c>
      <c r="K19">
        <f ca="1">IF($C19-K$1&lt;År1,0,J18*(1-VLOOKUP($A19,[1]Hugst!$R$5:$W$9,MATCH(ROUNDUP((K$1)/10,0)*10,[1]Hugst!$R$4:$W$4,0))))</f>
        <v>504.33710796736972</v>
      </c>
      <c r="L19">
        <f ca="1">IF($C19-L$1&lt;År1,0,K18*(1-VLOOKUP($A19,[1]Hugst!$R$5:$W$9,MATCH(ROUNDUP((L$1)/10,0)*10,[1]Hugst!$R$4:$W$4,0))))</f>
        <v>504.85176459555504</v>
      </c>
      <c r="M19">
        <f ca="1">IF($C19-M$1&lt;År1,0,L18*(1-VLOOKUP($A19,[1]Hugst!$R$5:$W$9,MATCH(ROUNDUP((M$1)/10,0)*10,[1]Hugst!$R$4:$W$4,0))))</f>
        <v>359.21612054433638</v>
      </c>
      <c r="N19">
        <f ca="1">IF($C19-N$1&lt;År1,0,M18*(1-VLOOKUP($A19,[1]Hugst!$R$5:$W$9,MATCH(ROUNDUP((N$1)/10,0)*10,[1]Hugst!$R$4:$W$4,0))))</f>
        <v>359.73596259699673</v>
      </c>
      <c r="O19">
        <f ca="1">IF($C19-O$1&lt;År1,0,N18*(1-VLOOKUP($A19,[1]Hugst!$R$5:$W$9,MATCH(ROUNDUP((O$1)/10,0)*10,[1]Hugst!$R$4:$W$4,0))))</f>
        <v>360.2584169212887</v>
      </c>
      <c r="P19">
        <f ca="1">IF($C19-P$1&lt;År1,0,O18*(1-VLOOKUP($A19,[1]Hugst!$R$5:$W$9,MATCH(ROUNDUP((P$1)/10,0)*10,[1]Hugst!$R$4:$W$4,0))))</f>
        <v>360.7834966441892</v>
      </c>
      <c r="Q19">
        <f ca="1">IF($C19-Q$1&lt;År1,0,P18*(1-VLOOKUP($A19,[1]Hugst!$R$5:$W$9,MATCH(ROUNDUP((Q$1)/10,0)*10,[1]Hugst!$R$4:$W$4,0))))</f>
        <v>361.31121495866228</v>
      </c>
      <c r="R19">
        <f ca="1">IF($C19-R$1&lt;År1,0,Q18*(1-VLOOKUP($A19,[1]Hugst!$R$5:$W$9,MATCH(ROUNDUP((R$1)/10,0)*10,[1]Hugst!$R$4:$W$4,0))))</f>
        <v>361.84158512396232</v>
      </c>
      <c r="S19">
        <f ca="1">IF($C19-S$1&lt;År1,0,R18*(1-VLOOKUP($A19,[1]Hugst!$R$5:$W$9,MATCH(ROUNDUP((S$1)/10,0)*10,[1]Hugst!$R$4:$W$4,0))))</f>
        <v>362.37462046597341</v>
      </c>
      <c r="T19">
        <f ca="1">IF($C19-T$1&lt;År1,0,S18*(1-VLOOKUP($A19,[1]Hugst!$R$5:$W$9,MATCH(ROUNDUP((T$1)/10,0)*10,[1]Hugst!$R$4:$W$4,0))))</f>
        <v>362.9103343775422</v>
      </c>
      <c r="U19">
        <f ca="1">IF($C19-U$1&lt;År1,0,T18*(1-VLOOKUP($A19,[1]Hugst!$R$5:$W$9,MATCH(ROUNDUP((U$1)/10,0)*10,[1]Hugst!$R$4:$W$4,0))))</f>
        <v>363.44874031881761</v>
      </c>
      <c r="V19">
        <f ca="1">IF($C19-V$1&lt;År1,0,U18*(1-VLOOKUP($A19,[1]Hugst!$R$5:$W$9,MATCH(ROUNDUP((V$1)/10,0)*10,[1]Hugst!$R$4:$W$4,0))))</f>
        <v>363.98985181758314</v>
      </c>
      <c r="W19">
        <f ca="1">IF($C19-W$1&lt;År1,0,V18*(1-VLOOKUP($A19,[1]Hugst!$R$5:$W$9,MATCH(ROUNDUP((W$1)/10,0)*10,[1]Hugst!$R$4:$W$4,0))))</f>
        <v>364.53368246961463</v>
      </c>
      <c r="X19">
        <f>IF($C19-X$1&lt;År1,0,W18*(1-VLOOKUP($A19,[1]Hugst!$R$5:$W$9,MATCH(ROUNDUP((X$1)/10,0)*10,[1]Hugst!$R$4:$W$4,0))))</f>
        <v>0</v>
      </c>
      <c r="Y19">
        <f>IF($C19-Y$1&lt;År1,0,X18*(1-VLOOKUP($A19,[1]Hugst!$R$5:$W$9,MATCH(ROUNDUP((Y$1)/10,0)*10,[1]Hugst!$R$4:$W$4,0))))</f>
        <v>0</v>
      </c>
      <c r="Z19">
        <f>IF($C19-Z$1&lt;År1,0,Y18*(1-VLOOKUP($A19,[1]Hugst!$R$5:$W$9,MATCH(ROUNDUP((Z$1)/10,0)*10,[1]Hugst!$R$4:$W$4,0))))</f>
        <v>0</v>
      </c>
      <c r="AA19">
        <f>IF($C19-AA$1&lt;År1,0,Z18*(1-VLOOKUP($A19,[1]Hugst!$R$5:$W$9,MATCH(ROUNDUP((AA$1)/10,0)*10,[1]Hugst!$R$4:$W$4,0))))</f>
        <v>0</v>
      </c>
      <c r="AB19">
        <f>IF($C19-AB$1&lt;År1,0,AA18*(1-VLOOKUP($A19,[1]Hugst!$R$5:$W$9,MATCH(ROUNDUP((AB$1)/10,0)*10,[1]Hugst!$R$4:$W$4,0))))</f>
        <v>0</v>
      </c>
      <c r="AC19">
        <f>IF($C19-AC$1&lt;År1,0,AB18*(1-VLOOKUP($A19,[1]Hugst!$R$5:$W$9,MATCH(ROUNDUP((AC$1)/10,0)*10,[1]Hugst!$R$4:$W$4,0))))</f>
        <v>0</v>
      </c>
      <c r="AD19">
        <f>IF($C19-AD$1&lt;År1,0,AC18*(1-VLOOKUP($A19,[1]Hugst!$R$5:$W$9,MATCH(ROUNDUP((AD$1)/10,0)*10,[1]Hugst!$R$4:$W$4,0))))</f>
        <v>0</v>
      </c>
      <c r="AE19">
        <f>IF($C19-AE$1&lt;År1,0,AD18*(1-VLOOKUP($A19,[1]Hugst!$R$5:$W$9,MATCH(ROUNDUP((AE$1)/10,0)*10,[1]Hugst!$R$4:$W$4,0))))</f>
        <v>0</v>
      </c>
      <c r="AF19">
        <f>IF($C19-AF$1&lt;År1,0,AE18*(1-VLOOKUP($A19,[1]Hugst!$R$5:$W$9,MATCH(ROUNDUP((AF$1)/10,0)*10,[1]Hugst!$R$4:$W$4,0))))</f>
        <v>0</v>
      </c>
      <c r="AG19">
        <f>IF($C19-AG$1&lt;År1,0,AF18*(1-VLOOKUP($A19,[1]Hugst!$R$5:$W$9,MATCH(ROUNDUP((AG$1)/10,0)*10,[1]Hugst!$R$4:$W$4,0))))</f>
        <v>0</v>
      </c>
      <c r="AH19">
        <f>IF($C19-AH$1&lt;År1,0,AG18*(1-VLOOKUP($A19,[1]Hugst!$R$5:$W$9,MATCH(ROUNDUP((AH$1)/10,0)*10,[1]Hugst!$R$4:$W$4,0))))</f>
        <v>0</v>
      </c>
      <c r="AI19">
        <f>IF($C19-AI$1&lt;År1,0,AH18*(1-VLOOKUP($A19,[1]Hugst!$R$5:$W$9,MATCH(ROUNDUP((AI$1)/10,0)*10,[1]Hugst!$R$4:$W$4,0))))</f>
        <v>0</v>
      </c>
      <c r="AJ19">
        <f>IF($C19-AJ$1&lt;År1,0,AI18*(1-VLOOKUP($A19,[1]Hugst!$R$5:$W$9,MATCH(ROUNDUP((AJ$1)/10,0)*10,[1]Hugst!$R$4:$W$4,0))))</f>
        <v>0</v>
      </c>
    </row>
    <row r="20" spans="1:38" x14ac:dyDescent="0.25">
      <c r="A20" t="s">
        <v>176</v>
      </c>
      <c r="B20" t="s">
        <v>23</v>
      </c>
      <c r="C20">
        <v>2038</v>
      </c>
      <c r="D20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99.38232010704246</v>
      </c>
      <c r="E20">
        <f t="shared" ca="1" si="0"/>
        <v>0</v>
      </c>
      <c r="F20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501.30275906451851</v>
      </c>
      <c r="G20">
        <f ca="1">IF($C20-G$1&lt;År1,0,F19*(1-VLOOKUP($A20,[1]Hugst!$R$5:$W$9,MATCH(ROUNDUP((G$1)/10,0)*10,[1]Hugst!$R$4:$W$4,0))))</f>
        <v>501.80216770826922</v>
      </c>
      <c r="H20">
        <f ca="1">IF($C20-H$1&lt;År1,0,G19*(1-VLOOKUP($A20,[1]Hugst!$R$5:$W$9,MATCH(ROUNDUP((H$1)/10,0)*10,[1]Hugst!$R$4:$W$4,0))))</f>
        <v>502.30408594319869</v>
      </c>
      <c r="I20">
        <f ca="1">IF($C20-I$1&lt;År1,0,H19*(1-VLOOKUP($A20,[1]Hugst!$R$5:$W$9,MATCH(ROUNDUP((I$1)/10,0)*10,[1]Hugst!$R$4:$W$4,0))))</f>
        <v>502.80852638031337</v>
      </c>
      <c r="J20">
        <f ca="1">IF($C20-J$1&lt;År1,0,I19*(1-VLOOKUP($A20,[1]Hugst!$R$5:$W$9,MATCH(ROUNDUP((J$1)/10,0)*10,[1]Hugst!$R$4:$W$4,0))))</f>
        <v>503.31550169399378</v>
      </c>
      <c r="K20">
        <f ca="1">IF($C20-K$1&lt;År1,0,J19*(1-VLOOKUP($A20,[1]Hugst!$R$5:$W$9,MATCH(ROUNDUP((K$1)/10,0)*10,[1]Hugst!$R$4:$W$4,0))))</f>
        <v>503.82502462231758</v>
      </c>
      <c r="L20">
        <f ca="1">IF($C20-L$1&lt;År1,0,K19*(1-VLOOKUP($A20,[1]Hugst!$R$5:$W$9,MATCH(ROUNDUP((L$1)/10,0)*10,[1]Hugst!$R$4:$W$4,0))))</f>
        <v>504.33710796736972</v>
      </c>
      <c r="M20">
        <f ca="1">IF($C20-M$1&lt;År1,0,L19*(1-VLOOKUP($A20,[1]Hugst!$R$5:$W$9,MATCH(ROUNDUP((M$1)/10,0)*10,[1]Hugst!$R$4:$W$4,0))))</f>
        <v>504.85176459555504</v>
      </c>
      <c r="N20">
        <f ca="1">IF($C20-N$1&lt;År1,0,M19*(1-VLOOKUP($A20,[1]Hugst!$R$5:$W$9,MATCH(ROUNDUP((N$1)/10,0)*10,[1]Hugst!$R$4:$W$4,0))))</f>
        <v>359.21612054433638</v>
      </c>
      <c r="O20">
        <f ca="1">IF($C20-O$1&lt;År1,0,N19*(1-VLOOKUP($A20,[1]Hugst!$R$5:$W$9,MATCH(ROUNDUP((O$1)/10,0)*10,[1]Hugst!$R$4:$W$4,0))))</f>
        <v>359.73596259699673</v>
      </c>
      <c r="P20">
        <f ca="1">IF($C20-P$1&lt;År1,0,O19*(1-VLOOKUP($A20,[1]Hugst!$R$5:$W$9,MATCH(ROUNDUP((P$1)/10,0)*10,[1]Hugst!$R$4:$W$4,0))))</f>
        <v>360.2584169212887</v>
      </c>
      <c r="Q20">
        <f ca="1">IF($C20-Q$1&lt;År1,0,P19*(1-VLOOKUP($A20,[1]Hugst!$R$5:$W$9,MATCH(ROUNDUP((Q$1)/10,0)*10,[1]Hugst!$R$4:$W$4,0))))</f>
        <v>360.7834966441892</v>
      </c>
      <c r="R20">
        <f ca="1">IF($C20-R$1&lt;År1,0,Q19*(1-VLOOKUP($A20,[1]Hugst!$R$5:$W$9,MATCH(ROUNDUP((R$1)/10,0)*10,[1]Hugst!$R$4:$W$4,0))))</f>
        <v>361.31121495866228</v>
      </c>
      <c r="S20">
        <f ca="1">IF($C20-S$1&lt;År1,0,R19*(1-VLOOKUP($A20,[1]Hugst!$R$5:$W$9,MATCH(ROUNDUP((S$1)/10,0)*10,[1]Hugst!$R$4:$W$4,0))))</f>
        <v>361.84158512396232</v>
      </c>
      <c r="T20">
        <f ca="1">IF($C20-T$1&lt;År1,0,S19*(1-VLOOKUP($A20,[1]Hugst!$R$5:$W$9,MATCH(ROUNDUP((T$1)/10,0)*10,[1]Hugst!$R$4:$W$4,0))))</f>
        <v>362.37462046597341</v>
      </c>
      <c r="U20">
        <f ca="1">IF($C20-U$1&lt;År1,0,T19*(1-VLOOKUP($A20,[1]Hugst!$R$5:$W$9,MATCH(ROUNDUP((U$1)/10,0)*10,[1]Hugst!$R$4:$W$4,0))))</f>
        <v>362.9103343775422</v>
      </c>
      <c r="V20">
        <f ca="1">IF($C20-V$1&lt;År1,0,U19*(1-VLOOKUP($A20,[1]Hugst!$R$5:$W$9,MATCH(ROUNDUP((V$1)/10,0)*10,[1]Hugst!$R$4:$W$4,0))))</f>
        <v>363.44874031881761</v>
      </c>
      <c r="W20">
        <f ca="1">IF($C20-W$1&lt;År1,0,V19*(1-VLOOKUP($A20,[1]Hugst!$R$5:$W$9,MATCH(ROUNDUP((W$1)/10,0)*10,[1]Hugst!$R$4:$W$4,0))))</f>
        <v>363.98985181758314</v>
      </c>
      <c r="X20">
        <f ca="1">IF($C20-X$1&lt;År1,0,W19*(1-VLOOKUP($A20,[1]Hugst!$R$5:$W$9,MATCH(ROUNDUP((X$1)/10,0)*10,[1]Hugst!$R$4:$W$4,0))))</f>
        <v>364.53368246961463</v>
      </c>
      <c r="Y20">
        <f>IF($C20-Y$1&lt;År1,0,X19*(1-VLOOKUP($A20,[1]Hugst!$R$5:$W$9,MATCH(ROUNDUP((Y$1)/10,0)*10,[1]Hugst!$R$4:$W$4,0))))</f>
        <v>0</v>
      </c>
      <c r="Z20">
        <f>IF($C20-Z$1&lt;År1,0,Y19*(1-VLOOKUP($A20,[1]Hugst!$R$5:$W$9,MATCH(ROUNDUP((Z$1)/10,0)*10,[1]Hugst!$R$4:$W$4,0))))</f>
        <v>0</v>
      </c>
      <c r="AA20">
        <f>IF($C20-AA$1&lt;År1,0,Z19*(1-VLOOKUP($A20,[1]Hugst!$R$5:$W$9,MATCH(ROUNDUP((AA$1)/10,0)*10,[1]Hugst!$R$4:$W$4,0))))</f>
        <v>0</v>
      </c>
      <c r="AB20">
        <f>IF($C20-AB$1&lt;År1,0,AA19*(1-VLOOKUP($A20,[1]Hugst!$R$5:$W$9,MATCH(ROUNDUP((AB$1)/10,0)*10,[1]Hugst!$R$4:$W$4,0))))</f>
        <v>0</v>
      </c>
      <c r="AC20">
        <f>IF($C20-AC$1&lt;År1,0,AB19*(1-VLOOKUP($A20,[1]Hugst!$R$5:$W$9,MATCH(ROUNDUP((AC$1)/10,0)*10,[1]Hugst!$R$4:$W$4,0))))</f>
        <v>0</v>
      </c>
      <c r="AD20">
        <f>IF($C20-AD$1&lt;År1,0,AC19*(1-VLOOKUP($A20,[1]Hugst!$R$5:$W$9,MATCH(ROUNDUP((AD$1)/10,0)*10,[1]Hugst!$R$4:$W$4,0))))</f>
        <v>0</v>
      </c>
      <c r="AE20">
        <f>IF($C20-AE$1&lt;År1,0,AD19*(1-VLOOKUP($A20,[1]Hugst!$R$5:$W$9,MATCH(ROUNDUP((AE$1)/10,0)*10,[1]Hugst!$R$4:$W$4,0))))</f>
        <v>0</v>
      </c>
      <c r="AF20">
        <f>IF($C20-AF$1&lt;År1,0,AE19*(1-VLOOKUP($A20,[1]Hugst!$R$5:$W$9,MATCH(ROUNDUP((AF$1)/10,0)*10,[1]Hugst!$R$4:$W$4,0))))</f>
        <v>0</v>
      </c>
      <c r="AG20">
        <f>IF($C20-AG$1&lt;År1,0,AF19*(1-VLOOKUP($A20,[1]Hugst!$R$5:$W$9,MATCH(ROUNDUP((AG$1)/10,0)*10,[1]Hugst!$R$4:$W$4,0))))</f>
        <v>0</v>
      </c>
      <c r="AH20">
        <f>IF($C20-AH$1&lt;År1,0,AG19*(1-VLOOKUP($A20,[1]Hugst!$R$5:$W$9,MATCH(ROUNDUP((AH$1)/10,0)*10,[1]Hugst!$R$4:$W$4,0))))</f>
        <v>0</v>
      </c>
      <c r="AI20">
        <f>IF($C20-AI$1&lt;År1,0,AH19*(1-VLOOKUP($A20,[1]Hugst!$R$5:$W$9,MATCH(ROUNDUP((AI$1)/10,0)*10,[1]Hugst!$R$4:$W$4,0))))</f>
        <v>0</v>
      </c>
      <c r="AJ20">
        <f>IF($C20-AJ$1&lt;År1,0,AI19*(1-VLOOKUP($A20,[1]Hugst!$R$5:$W$9,MATCH(ROUNDUP((AJ$1)/10,0)*10,[1]Hugst!$R$4:$W$4,0))))</f>
        <v>0</v>
      </c>
    </row>
    <row r="21" spans="1:38" x14ac:dyDescent="0.25">
      <c r="A21" t="s">
        <v>176</v>
      </c>
      <c r="B21" t="s">
        <v>23</v>
      </c>
      <c r="C21">
        <v>2039</v>
      </c>
      <c r="D21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98.885408506501562</v>
      </c>
      <c r="E21">
        <f t="shared" ca="1" si="0"/>
        <v>0</v>
      </c>
      <c r="F21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500.80584746397761</v>
      </c>
      <c r="G21">
        <f ca="1">IF($C21-G$1&lt;År1,0,F20*(1-VLOOKUP($A21,[1]Hugst!$R$5:$W$9,MATCH(ROUNDUP((G$1)/10,0)*10,[1]Hugst!$R$4:$W$4,0))))</f>
        <v>501.30275906451851</v>
      </c>
      <c r="H21">
        <f ca="1">IF($C21-H$1&lt;År1,0,G20*(1-VLOOKUP($A21,[1]Hugst!$R$5:$W$9,MATCH(ROUNDUP((H$1)/10,0)*10,[1]Hugst!$R$4:$W$4,0))))</f>
        <v>501.80216770826922</v>
      </c>
      <c r="I21">
        <f ca="1">IF($C21-I$1&lt;År1,0,H20*(1-VLOOKUP($A21,[1]Hugst!$R$5:$W$9,MATCH(ROUNDUP((I$1)/10,0)*10,[1]Hugst!$R$4:$W$4,0))))</f>
        <v>502.30408594319869</v>
      </c>
      <c r="J21">
        <f ca="1">IF($C21-J$1&lt;År1,0,I20*(1-VLOOKUP($A21,[1]Hugst!$R$5:$W$9,MATCH(ROUNDUP((J$1)/10,0)*10,[1]Hugst!$R$4:$W$4,0))))</f>
        <v>502.80852638031337</v>
      </c>
      <c r="K21">
        <f ca="1">IF($C21-K$1&lt;År1,0,J20*(1-VLOOKUP($A21,[1]Hugst!$R$5:$W$9,MATCH(ROUNDUP((K$1)/10,0)*10,[1]Hugst!$R$4:$W$4,0))))</f>
        <v>503.31550169399378</v>
      </c>
      <c r="L21">
        <f ca="1">IF($C21-L$1&lt;År1,0,K20*(1-VLOOKUP($A21,[1]Hugst!$R$5:$W$9,MATCH(ROUNDUP((L$1)/10,0)*10,[1]Hugst!$R$4:$W$4,0))))</f>
        <v>503.82502462231758</v>
      </c>
      <c r="M21">
        <f ca="1">IF($C21-M$1&lt;År1,0,L20*(1-VLOOKUP($A21,[1]Hugst!$R$5:$W$9,MATCH(ROUNDUP((M$1)/10,0)*10,[1]Hugst!$R$4:$W$4,0))))</f>
        <v>504.33710796736972</v>
      </c>
      <c r="N21">
        <f ca="1">IF($C21-N$1&lt;År1,0,M20*(1-VLOOKUP($A21,[1]Hugst!$R$5:$W$9,MATCH(ROUNDUP((N$1)/10,0)*10,[1]Hugst!$R$4:$W$4,0))))</f>
        <v>504.85176459555504</v>
      </c>
      <c r="O21">
        <f ca="1">IF($C21-O$1&lt;År1,0,N20*(1-VLOOKUP($A21,[1]Hugst!$R$5:$W$9,MATCH(ROUNDUP((O$1)/10,0)*10,[1]Hugst!$R$4:$W$4,0))))</f>
        <v>359.21612054433638</v>
      </c>
      <c r="P21">
        <f ca="1">IF($C21-P$1&lt;År1,0,O20*(1-VLOOKUP($A21,[1]Hugst!$R$5:$W$9,MATCH(ROUNDUP((P$1)/10,0)*10,[1]Hugst!$R$4:$W$4,0))))</f>
        <v>359.73596259699673</v>
      </c>
      <c r="Q21">
        <f ca="1">IF($C21-Q$1&lt;År1,0,P20*(1-VLOOKUP($A21,[1]Hugst!$R$5:$W$9,MATCH(ROUNDUP((Q$1)/10,0)*10,[1]Hugst!$R$4:$W$4,0))))</f>
        <v>360.2584169212887</v>
      </c>
      <c r="R21">
        <f ca="1">IF($C21-R$1&lt;År1,0,Q20*(1-VLOOKUP($A21,[1]Hugst!$R$5:$W$9,MATCH(ROUNDUP((R$1)/10,0)*10,[1]Hugst!$R$4:$W$4,0))))</f>
        <v>360.7834966441892</v>
      </c>
      <c r="S21">
        <f ca="1">IF($C21-S$1&lt;År1,0,R20*(1-VLOOKUP($A21,[1]Hugst!$R$5:$W$9,MATCH(ROUNDUP((S$1)/10,0)*10,[1]Hugst!$R$4:$W$4,0))))</f>
        <v>361.31121495866228</v>
      </c>
      <c r="T21">
        <f ca="1">IF($C21-T$1&lt;År1,0,S20*(1-VLOOKUP($A21,[1]Hugst!$R$5:$W$9,MATCH(ROUNDUP((T$1)/10,0)*10,[1]Hugst!$R$4:$W$4,0))))</f>
        <v>361.84158512396232</v>
      </c>
      <c r="U21">
        <f ca="1">IF($C21-U$1&lt;År1,0,T20*(1-VLOOKUP($A21,[1]Hugst!$R$5:$W$9,MATCH(ROUNDUP((U$1)/10,0)*10,[1]Hugst!$R$4:$W$4,0))))</f>
        <v>362.37462046597341</v>
      </c>
      <c r="V21">
        <f ca="1">IF($C21-V$1&lt;År1,0,U20*(1-VLOOKUP($A21,[1]Hugst!$R$5:$W$9,MATCH(ROUNDUP((V$1)/10,0)*10,[1]Hugst!$R$4:$W$4,0))))</f>
        <v>362.9103343775422</v>
      </c>
      <c r="W21">
        <f ca="1">IF($C21-W$1&lt;År1,0,V20*(1-VLOOKUP($A21,[1]Hugst!$R$5:$W$9,MATCH(ROUNDUP((W$1)/10,0)*10,[1]Hugst!$R$4:$W$4,0))))</f>
        <v>363.44874031881761</v>
      </c>
      <c r="X21">
        <f ca="1">IF($C21-X$1&lt;År1,0,W20*(1-VLOOKUP($A21,[1]Hugst!$R$5:$W$9,MATCH(ROUNDUP((X$1)/10,0)*10,[1]Hugst!$R$4:$W$4,0))))</f>
        <v>363.98985181758314</v>
      </c>
      <c r="Y21">
        <f ca="1">IF($C21-Y$1&lt;År1,0,X20*(1-VLOOKUP($A21,[1]Hugst!$R$5:$W$9,MATCH(ROUNDUP((Y$1)/10,0)*10,[1]Hugst!$R$4:$W$4,0))))</f>
        <v>364.53368246961463</v>
      </c>
      <c r="Z21">
        <f>IF($C21-Z$1&lt;År1,0,Y20*(1-VLOOKUP($A21,[1]Hugst!$R$5:$W$9,MATCH(ROUNDUP((Z$1)/10,0)*10,[1]Hugst!$R$4:$W$4,0))))</f>
        <v>0</v>
      </c>
      <c r="AA21">
        <f>IF($C21-AA$1&lt;År1,0,Z20*(1-VLOOKUP($A21,[1]Hugst!$R$5:$W$9,MATCH(ROUNDUP((AA$1)/10,0)*10,[1]Hugst!$R$4:$W$4,0))))</f>
        <v>0</v>
      </c>
      <c r="AB21">
        <f>IF($C21-AB$1&lt;År1,0,AA20*(1-VLOOKUP($A21,[1]Hugst!$R$5:$W$9,MATCH(ROUNDUP((AB$1)/10,0)*10,[1]Hugst!$R$4:$W$4,0))))</f>
        <v>0</v>
      </c>
      <c r="AC21">
        <f>IF($C21-AC$1&lt;År1,0,AB20*(1-VLOOKUP($A21,[1]Hugst!$R$5:$W$9,MATCH(ROUNDUP((AC$1)/10,0)*10,[1]Hugst!$R$4:$W$4,0))))</f>
        <v>0</v>
      </c>
      <c r="AD21">
        <f>IF($C21-AD$1&lt;År1,0,AC20*(1-VLOOKUP($A21,[1]Hugst!$R$5:$W$9,MATCH(ROUNDUP((AD$1)/10,0)*10,[1]Hugst!$R$4:$W$4,0))))</f>
        <v>0</v>
      </c>
      <c r="AE21">
        <f>IF($C21-AE$1&lt;År1,0,AD20*(1-VLOOKUP($A21,[1]Hugst!$R$5:$W$9,MATCH(ROUNDUP((AE$1)/10,0)*10,[1]Hugst!$R$4:$W$4,0))))</f>
        <v>0</v>
      </c>
      <c r="AF21">
        <f>IF($C21-AF$1&lt;År1,0,AE20*(1-VLOOKUP($A21,[1]Hugst!$R$5:$W$9,MATCH(ROUNDUP((AF$1)/10,0)*10,[1]Hugst!$R$4:$W$4,0))))</f>
        <v>0</v>
      </c>
      <c r="AG21">
        <f>IF($C21-AG$1&lt;År1,0,AF20*(1-VLOOKUP($A21,[1]Hugst!$R$5:$W$9,MATCH(ROUNDUP((AG$1)/10,0)*10,[1]Hugst!$R$4:$W$4,0))))</f>
        <v>0</v>
      </c>
      <c r="AH21">
        <f>IF($C21-AH$1&lt;År1,0,AG20*(1-VLOOKUP($A21,[1]Hugst!$R$5:$W$9,MATCH(ROUNDUP((AH$1)/10,0)*10,[1]Hugst!$R$4:$W$4,0))))</f>
        <v>0</v>
      </c>
      <c r="AI21">
        <f>IF($C21-AI$1&lt;År1,0,AH20*(1-VLOOKUP($A21,[1]Hugst!$R$5:$W$9,MATCH(ROUNDUP((AI$1)/10,0)*10,[1]Hugst!$R$4:$W$4,0))))</f>
        <v>0</v>
      </c>
      <c r="AJ21">
        <f>IF($C21-AJ$1&lt;År1,0,AI20*(1-VLOOKUP($A21,[1]Hugst!$R$5:$W$9,MATCH(ROUNDUP((AJ$1)/10,0)*10,[1]Hugst!$R$4:$W$4,0))))</f>
        <v>0</v>
      </c>
    </row>
    <row r="22" spans="1:38" x14ac:dyDescent="0.25">
      <c r="A22" t="s">
        <v>176</v>
      </c>
      <c r="B22" t="s">
        <v>23</v>
      </c>
      <c r="C22">
        <v>2040</v>
      </c>
      <c r="D22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98.390981463971457</v>
      </c>
      <c r="E22">
        <f t="shared" ca="1" si="0"/>
        <v>0</v>
      </c>
      <c r="F22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500.31142042144751</v>
      </c>
      <c r="G22">
        <f ca="1">IF($C22-G$1&lt;År1,0,F21*(1-VLOOKUP($A22,[1]Hugst!$R$5:$W$9,MATCH(ROUNDUP((G$1)/10,0)*10,[1]Hugst!$R$4:$W$4,0))))</f>
        <v>500.80584746397761</v>
      </c>
      <c r="H22">
        <f ca="1">IF($C22-H$1&lt;År1,0,G21*(1-VLOOKUP($A22,[1]Hugst!$R$5:$W$9,MATCH(ROUNDUP((H$1)/10,0)*10,[1]Hugst!$R$4:$W$4,0))))</f>
        <v>501.30275906451851</v>
      </c>
      <c r="I22">
        <f ca="1">IF($C22-I$1&lt;År1,0,H21*(1-VLOOKUP($A22,[1]Hugst!$R$5:$W$9,MATCH(ROUNDUP((I$1)/10,0)*10,[1]Hugst!$R$4:$W$4,0))))</f>
        <v>501.80216770826922</v>
      </c>
      <c r="J22">
        <f ca="1">IF($C22-J$1&lt;År1,0,I21*(1-VLOOKUP($A22,[1]Hugst!$R$5:$W$9,MATCH(ROUNDUP((J$1)/10,0)*10,[1]Hugst!$R$4:$W$4,0))))</f>
        <v>502.30408594319869</v>
      </c>
      <c r="K22">
        <f ca="1">IF($C22-K$1&lt;År1,0,J21*(1-VLOOKUP($A22,[1]Hugst!$R$5:$W$9,MATCH(ROUNDUP((K$1)/10,0)*10,[1]Hugst!$R$4:$W$4,0))))</f>
        <v>502.80852638031337</v>
      </c>
      <c r="L22">
        <f ca="1">IF($C22-L$1&lt;År1,0,K21*(1-VLOOKUP($A22,[1]Hugst!$R$5:$W$9,MATCH(ROUNDUP((L$1)/10,0)*10,[1]Hugst!$R$4:$W$4,0))))</f>
        <v>503.31550169399378</v>
      </c>
      <c r="M22">
        <f ca="1">IF($C22-M$1&lt;År1,0,L21*(1-VLOOKUP($A22,[1]Hugst!$R$5:$W$9,MATCH(ROUNDUP((M$1)/10,0)*10,[1]Hugst!$R$4:$W$4,0))))</f>
        <v>503.82502462231758</v>
      </c>
      <c r="N22">
        <f ca="1">IF($C22-N$1&lt;År1,0,M21*(1-VLOOKUP($A22,[1]Hugst!$R$5:$W$9,MATCH(ROUNDUP((N$1)/10,0)*10,[1]Hugst!$R$4:$W$4,0))))</f>
        <v>504.33710796736972</v>
      </c>
      <c r="O22">
        <f ca="1">IF($C22-O$1&lt;År1,0,N21*(1-VLOOKUP($A22,[1]Hugst!$R$5:$W$9,MATCH(ROUNDUP((O$1)/10,0)*10,[1]Hugst!$R$4:$W$4,0))))</f>
        <v>504.85176459555504</v>
      </c>
      <c r="P22">
        <f ca="1">IF($C22-P$1&lt;År1,0,O21*(1-VLOOKUP($A22,[1]Hugst!$R$5:$W$9,MATCH(ROUNDUP((P$1)/10,0)*10,[1]Hugst!$R$4:$W$4,0))))</f>
        <v>359.21612054433638</v>
      </c>
      <c r="Q22">
        <f ca="1">IF($C22-Q$1&lt;År1,0,P21*(1-VLOOKUP($A22,[1]Hugst!$R$5:$W$9,MATCH(ROUNDUP((Q$1)/10,0)*10,[1]Hugst!$R$4:$W$4,0))))</f>
        <v>359.73596259699673</v>
      </c>
      <c r="R22">
        <f ca="1">IF($C22-R$1&lt;År1,0,Q21*(1-VLOOKUP($A22,[1]Hugst!$R$5:$W$9,MATCH(ROUNDUP((R$1)/10,0)*10,[1]Hugst!$R$4:$W$4,0))))</f>
        <v>360.2584169212887</v>
      </c>
      <c r="S22">
        <f ca="1">IF($C22-S$1&lt;År1,0,R21*(1-VLOOKUP($A22,[1]Hugst!$R$5:$W$9,MATCH(ROUNDUP((S$1)/10,0)*10,[1]Hugst!$R$4:$W$4,0))))</f>
        <v>360.7834966441892</v>
      </c>
      <c r="T22">
        <f ca="1">IF($C22-T$1&lt;År1,0,S21*(1-VLOOKUP($A22,[1]Hugst!$R$5:$W$9,MATCH(ROUNDUP((T$1)/10,0)*10,[1]Hugst!$R$4:$W$4,0))))</f>
        <v>361.31121495866228</v>
      </c>
      <c r="U22">
        <f ca="1">IF($C22-U$1&lt;År1,0,T21*(1-VLOOKUP($A22,[1]Hugst!$R$5:$W$9,MATCH(ROUNDUP((U$1)/10,0)*10,[1]Hugst!$R$4:$W$4,0))))</f>
        <v>361.84158512396232</v>
      </c>
      <c r="V22">
        <f ca="1">IF($C22-V$1&lt;År1,0,U21*(1-VLOOKUP($A22,[1]Hugst!$R$5:$W$9,MATCH(ROUNDUP((V$1)/10,0)*10,[1]Hugst!$R$4:$W$4,0))))</f>
        <v>362.37462046597341</v>
      </c>
      <c r="W22">
        <f ca="1">IF($C22-W$1&lt;År1,0,V21*(1-VLOOKUP($A22,[1]Hugst!$R$5:$W$9,MATCH(ROUNDUP((W$1)/10,0)*10,[1]Hugst!$R$4:$W$4,0))))</f>
        <v>362.9103343775422</v>
      </c>
      <c r="X22">
        <f ca="1">IF($C22-X$1&lt;År1,0,W21*(1-VLOOKUP($A22,[1]Hugst!$R$5:$W$9,MATCH(ROUNDUP((X$1)/10,0)*10,[1]Hugst!$R$4:$W$4,0))))</f>
        <v>363.44874031881761</v>
      </c>
      <c r="Y22">
        <f ca="1">IF($C22-Y$1&lt;År1,0,X21*(1-VLOOKUP($A22,[1]Hugst!$R$5:$W$9,MATCH(ROUNDUP((Y$1)/10,0)*10,[1]Hugst!$R$4:$W$4,0))))</f>
        <v>363.98985181758314</v>
      </c>
      <c r="Z22">
        <f ca="1">IF($C22-Z$1&lt;År1,0,Y21*(1-VLOOKUP($A22,[1]Hugst!$R$5:$W$9,MATCH(ROUNDUP((Z$1)/10,0)*10,[1]Hugst!$R$4:$W$4,0))))</f>
        <v>364.53368246961463</v>
      </c>
      <c r="AA22">
        <f>IF($C22-AA$1&lt;År1,0,Z21*(1-VLOOKUP($A22,[1]Hugst!$R$5:$W$9,MATCH(ROUNDUP((AA$1)/10,0)*10,[1]Hugst!$R$4:$W$4,0))))</f>
        <v>0</v>
      </c>
      <c r="AB22">
        <f>IF($C22-AB$1&lt;År1,0,AA21*(1-VLOOKUP($A22,[1]Hugst!$R$5:$W$9,MATCH(ROUNDUP((AB$1)/10,0)*10,[1]Hugst!$R$4:$W$4,0))))</f>
        <v>0</v>
      </c>
      <c r="AC22">
        <f>IF($C22-AC$1&lt;År1,0,AB21*(1-VLOOKUP($A22,[1]Hugst!$R$5:$W$9,MATCH(ROUNDUP((AC$1)/10,0)*10,[1]Hugst!$R$4:$W$4,0))))</f>
        <v>0</v>
      </c>
      <c r="AD22">
        <f>IF($C22-AD$1&lt;År1,0,AC21*(1-VLOOKUP($A22,[1]Hugst!$R$5:$W$9,MATCH(ROUNDUP((AD$1)/10,0)*10,[1]Hugst!$R$4:$W$4,0))))</f>
        <v>0</v>
      </c>
      <c r="AE22">
        <f>IF($C22-AE$1&lt;År1,0,AD21*(1-VLOOKUP($A22,[1]Hugst!$R$5:$W$9,MATCH(ROUNDUP((AE$1)/10,0)*10,[1]Hugst!$R$4:$W$4,0))))</f>
        <v>0</v>
      </c>
      <c r="AF22">
        <f>IF($C22-AF$1&lt;År1,0,AE21*(1-VLOOKUP($A22,[1]Hugst!$R$5:$W$9,MATCH(ROUNDUP((AF$1)/10,0)*10,[1]Hugst!$R$4:$W$4,0))))</f>
        <v>0</v>
      </c>
      <c r="AG22">
        <f>IF($C22-AG$1&lt;År1,0,AF21*(1-VLOOKUP($A22,[1]Hugst!$R$5:$W$9,MATCH(ROUNDUP((AG$1)/10,0)*10,[1]Hugst!$R$4:$W$4,0))))</f>
        <v>0</v>
      </c>
      <c r="AH22">
        <f>IF($C22-AH$1&lt;År1,0,AG21*(1-VLOOKUP($A22,[1]Hugst!$R$5:$W$9,MATCH(ROUNDUP((AH$1)/10,0)*10,[1]Hugst!$R$4:$W$4,0))))</f>
        <v>0</v>
      </c>
      <c r="AI22">
        <f>IF($C22-AI$1&lt;År1,0,AH21*(1-VLOOKUP($A22,[1]Hugst!$R$5:$W$9,MATCH(ROUNDUP((AI$1)/10,0)*10,[1]Hugst!$R$4:$W$4,0))))</f>
        <v>0</v>
      </c>
      <c r="AJ22">
        <f>IF($C22-AJ$1&lt;År1,0,AI21*(1-VLOOKUP($A22,[1]Hugst!$R$5:$W$9,MATCH(ROUNDUP((AJ$1)/10,0)*10,[1]Hugst!$R$4:$W$4,0))))</f>
        <v>0</v>
      </c>
    </row>
    <row r="23" spans="1:38" x14ac:dyDescent="0.25">
      <c r="A23" t="s">
        <v>176</v>
      </c>
      <c r="B23" t="s">
        <v>23</v>
      </c>
      <c r="C23">
        <v>2041</v>
      </c>
      <c r="D23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97.899026556653553</v>
      </c>
      <c r="E23">
        <f t="shared" ca="1" si="0"/>
        <v>0</v>
      </c>
      <c r="F23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499.8194655141296</v>
      </c>
      <c r="G23">
        <f ca="1">IF($C23-G$1&lt;År1,0,F22*(1-VLOOKUP($A23,[1]Hugst!$R$5:$W$9,MATCH(ROUNDUP((G$1)/10,0)*10,[1]Hugst!$R$4:$W$4,0))))</f>
        <v>500.31142042144751</v>
      </c>
      <c r="H23">
        <f ca="1">IF($C23-H$1&lt;År1,0,G22*(1-VLOOKUP($A23,[1]Hugst!$R$5:$W$9,MATCH(ROUNDUP((H$1)/10,0)*10,[1]Hugst!$R$4:$W$4,0))))</f>
        <v>500.80584746397761</v>
      </c>
      <c r="I23">
        <f ca="1">IF($C23-I$1&lt;År1,0,H22*(1-VLOOKUP($A23,[1]Hugst!$R$5:$W$9,MATCH(ROUNDUP((I$1)/10,0)*10,[1]Hugst!$R$4:$W$4,0))))</f>
        <v>501.30275906451851</v>
      </c>
      <c r="J23">
        <f ca="1">IF($C23-J$1&lt;År1,0,I22*(1-VLOOKUP($A23,[1]Hugst!$R$5:$W$9,MATCH(ROUNDUP((J$1)/10,0)*10,[1]Hugst!$R$4:$W$4,0))))</f>
        <v>501.80216770826922</v>
      </c>
      <c r="K23">
        <f ca="1">IF($C23-K$1&lt;År1,0,J22*(1-VLOOKUP($A23,[1]Hugst!$R$5:$W$9,MATCH(ROUNDUP((K$1)/10,0)*10,[1]Hugst!$R$4:$W$4,0))))</f>
        <v>502.30408594319869</v>
      </c>
      <c r="L23">
        <f ca="1">IF($C23-L$1&lt;År1,0,K22*(1-VLOOKUP($A23,[1]Hugst!$R$5:$W$9,MATCH(ROUNDUP((L$1)/10,0)*10,[1]Hugst!$R$4:$W$4,0))))</f>
        <v>502.80852638031337</v>
      </c>
      <c r="M23">
        <f ca="1">IF($C23-M$1&lt;År1,0,L22*(1-VLOOKUP($A23,[1]Hugst!$R$5:$W$9,MATCH(ROUNDUP((M$1)/10,0)*10,[1]Hugst!$R$4:$W$4,0))))</f>
        <v>503.31550169399378</v>
      </c>
      <c r="N23">
        <f ca="1">IF($C23-N$1&lt;År1,0,M22*(1-VLOOKUP($A23,[1]Hugst!$R$5:$W$9,MATCH(ROUNDUP((N$1)/10,0)*10,[1]Hugst!$R$4:$W$4,0))))</f>
        <v>503.82502462231758</v>
      </c>
      <c r="O23">
        <f ca="1">IF($C23-O$1&lt;År1,0,N22*(1-VLOOKUP($A23,[1]Hugst!$R$5:$W$9,MATCH(ROUNDUP((O$1)/10,0)*10,[1]Hugst!$R$4:$W$4,0))))</f>
        <v>504.33710796736972</v>
      </c>
      <c r="P23">
        <f ca="1">IF($C23-P$1&lt;År1,0,O22*(1-VLOOKUP($A23,[1]Hugst!$R$5:$W$9,MATCH(ROUNDUP((P$1)/10,0)*10,[1]Hugst!$R$4:$W$4,0))))</f>
        <v>504.85176459555504</v>
      </c>
      <c r="Q23">
        <f ca="1">IF($C23-Q$1&lt;År1,0,P22*(1-VLOOKUP($A23,[1]Hugst!$R$5:$W$9,MATCH(ROUNDUP((Q$1)/10,0)*10,[1]Hugst!$R$4:$W$4,0))))</f>
        <v>359.21612054433638</v>
      </c>
      <c r="R23">
        <f ca="1">IF($C23-R$1&lt;År1,0,Q22*(1-VLOOKUP($A23,[1]Hugst!$R$5:$W$9,MATCH(ROUNDUP((R$1)/10,0)*10,[1]Hugst!$R$4:$W$4,0))))</f>
        <v>359.73596259699673</v>
      </c>
      <c r="S23">
        <f ca="1">IF($C23-S$1&lt;År1,0,R22*(1-VLOOKUP($A23,[1]Hugst!$R$5:$W$9,MATCH(ROUNDUP((S$1)/10,0)*10,[1]Hugst!$R$4:$W$4,0))))</f>
        <v>360.2584169212887</v>
      </c>
      <c r="T23">
        <f ca="1">IF($C23-T$1&lt;År1,0,S22*(1-VLOOKUP($A23,[1]Hugst!$R$5:$W$9,MATCH(ROUNDUP((T$1)/10,0)*10,[1]Hugst!$R$4:$W$4,0))))</f>
        <v>360.7834966441892</v>
      </c>
      <c r="U23">
        <f ca="1">IF($C23-U$1&lt;År1,0,T22*(1-VLOOKUP($A23,[1]Hugst!$R$5:$W$9,MATCH(ROUNDUP((U$1)/10,0)*10,[1]Hugst!$R$4:$W$4,0))))</f>
        <v>361.31121495866228</v>
      </c>
      <c r="V23">
        <f ca="1">IF($C23-V$1&lt;År1,0,U22*(1-VLOOKUP($A23,[1]Hugst!$R$5:$W$9,MATCH(ROUNDUP((V$1)/10,0)*10,[1]Hugst!$R$4:$W$4,0))))</f>
        <v>361.84158512396232</v>
      </c>
      <c r="W23">
        <f ca="1">IF($C23-W$1&lt;År1,0,V22*(1-VLOOKUP($A23,[1]Hugst!$R$5:$W$9,MATCH(ROUNDUP((W$1)/10,0)*10,[1]Hugst!$R$4:$W$4,0))))</f>
        <v>362.37462046597341</v>
      </c>
      <c r="X23">
        <f ca="1">IF($C23-X$1&lt;År1,0,W22*(1-VLOOKUP($A23,[1]Hugst!$R$5:$W$9,MATCH(ROUNDUP((X$1)/10,0)*10,[1]Hugst!$R$4:$W$4,0))))</f>
        <v>362.9103343775422</v>
      </c>
      <c r="Y23">
        <f ca="1">IF($C23-Y$1&lt;År1,0,X22*(1-VLOOKUP($A23,[1]Hugst!$R$5:$W$9,MATCH(ROUNDUP((Y$1)/10,0)*10,[1]Hugst!$R$4:$W$4,0))))</f>
        <v>363.44874031881761</v>
      </c>
      <c r="Z23">
        <f ca="1">IF($C23-Z$1&lt;År1,0,Y22*(1-VLOOKUP($A23,[1]Hugst!$R$5:$W$9,MATCH(ROUNDUP((Z$1)/10,0)*10,[1]Hugst!$R$4:$W$4,0))))</f>
        <v>363.98985181758314</v>
      </c>
      <c r="AA23">
        <f ca="1">IF($C23-AA$1&lt;År1,0,Z22*(1-VLOOKUP($A23,[1]Hugst!$R$5:$W$9,MATCH(ROUNDUP((AA$1)/10,0)*10,[1]Hugst!$R$4:$W$4,0))))</f>
        <v>364.53368246961463</v>
      </c>
      <c r="AB23">
        <f>IF($C23-AB$1&lt;År1,0,AA22*(1-VLOOKUP($A23,[1]Hugst!$R$5:$W$9,MATCH(ROUNDUP((AB$1)/10,0)*10,[1]Hugst!$R$4:$W$4,0))))</f>
        <v>0</v>
      </c>
      <c r="AC23">
        <f>IF($C23-AC$1&lt;År1,0,AB22*(1-VLOOKUP($A23,[1]Hugst!$R$5:$W$9,MATCH(ROUNDUP((AC$1)/10,0)*10,[1]Hugst!$R$4:$W$4,0))))</f>
        <v>0</v>
      </c>
      <c r="AD23">
        <f>IF($C23-AD$1&lt;År1,0,AC22*(1-VLOOKUP($A23,[1]Hugst!$R$5:$W$9,MATCH(ROUNDUP((AD$1)/10,0)*10,[1]Hugst!$R$4:$W$4,0))))</f>
        <v>0</v>
      </c>
      <c r="AE23">
        <f>IF($C23-AE$1&lt;År1,0,AD22*(1-VLOOKUP($A23,[1]Hugst!$R$5:$W$9,MATCH(ROUNDUP((AE$1)/10,0)*10,[1]Hugst!$R$4:$W$4,0))))</f>
        <v>0</v>
      </c>
      <c r="AF23">
        <f>IF($C23-AF$1&lt;År1,0,AE22*(1-VLOOKUP($A23,[1]Hugst!$R$5:$W$9,MATCH(ROUNDUP((AF$1)/10,0)*10,[1]Hugst!$R$4:$W$4,0))))</f>
        <v>0</v>
      </c>
      <c r="AG23">
        <f>IF($C23-AG$1&lt;År1,0,AF22*(1-VLOOKUP($A23,[1]Hugst!$R$5:$W$9,MATCH(ROUNDUP((AG$1)/10,0)*10,[1]Hugst!$R$4:$W$4,0))))</f>
        <v>0</v>
      </c>
      <c r="AH23">
        <f>IF($C23-AH$1&lt;År1,0,AG22*(1-VLOOKUP($A23,[1]Hugst!$R$5:$W$9,MATCH(ROUNDUP((AH$1)/10,0)*10,[1]Hugst!$R$4:$W$4,0))))</f>
        <v>0</v>
      </c>
      <c r="AI23">
        <f>IF($C23-AI$1&lt;År1,0,AH22*(1-VLOOKUP($A23,[1]Hugst!$R$5:$W$9,MATCH(ROUNDUP((AI$1)/10,0)*10,[1]Hugst!$R$4:$W$4,0))))</f>
        <v>0</v>
      </c>
      <c r="AJ23">
        <f>IF($C23-AJ$1&lt;År1,0,AI22*(1-VLOOKUP($A23,[1]Hugst!$R$5:$W$9,MATCH(ROUNDUP((AJ$1)/10,0)*10,[1]Hugst!$R$4:$W$4,0))))</f>
        <v>0</v>
      </c>
    </row>
    <row r="24" spans="1:38" x14ac:dyDescent="0.25">
      <c r="A24" t="s">
        <v>176</v>
      </c>
      <c r="B24" t="s">
        <v>23</v>
      </c>
      <c r="C24">
        <v>2042</v>
      </c>
      <c r="D24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97.409531423868884</v>
      </c>
      <c r="E24">
        <f t="shared" ca="1" si="0"/>
        <v>0</v>
      </c>
      <c r="F24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499.32997038134494</v>
      </c>
      <c r="G24">
        <f ca="1">IF($C24-G$1&lt;År1,0,F23*(1-VLOOKUP($A24,[1]Hugst!$R$5:$W$9,MATCH(ROUNDUP((G$1)/10,0)*10,[1]Hugst!$R$4:$W$4,0))))</f>
        <v>499.8194655141296</v>
      </c>
      <c r="H24">
        <f ca="1">IF($C24-H$1&lt;År1,0,G23*(1-VLOOKUP($A24,[1]Hugst!$R$5:$W$9,MATCH(ROUNDUP((H$1)/10,0)*10,[1]Hugst!$R$4:$W$4,0))))</f>
        <v>500.31142042144751</v>
      </c>
      <c r="I24">
        <f ca="1">IF($C24-I$1&lt;År1,0,H23*(1-VLOOKUP($A24,[1]Hugst!$R$5:$W$9,MATCH(ROUNDUP((I$1)/10,0)*10,[1]Hugst!$R$4:$W$4,0))))</f>
        <v>500.80584746397761</v>
      </c>
      <c r="J24">
        <f ca="1">IF($C24-J$1&lt;År1,0,I23*(1-VLOOKUP($A24,[1]Hugst!$R$5:$W$9,MATCH(ROUNDUP((J$1)/10,0)*10,[1]Hugst!$R$4:$W$4,0))))</f>
        <v>501.30275906451851</v>
      </c>
      <c r="K24">
        <f ca="1">IF($C24-K$1&lt;År1,0,J23*(1-VLOOKUP($A24,[1]Hugst!$R$5:$W$9,MATCH(ROUNDUP((K$1)/10,0)*10,[1]Hugst!$R$4:$W$4,0))))</f>
        <v>501.80216770826922</v>
      </c>
      <c r="L24">
        <f ca="1">IF($C24-L$1&lt;År1,0,K23*(1-VLOOKUP($A24,[1]Hugst!$R$5:$W$9,MATCH(ROUNDUP((L$1)/10,0)*10,[1]Hugst!$R$4:$W$4,0))))</f>
        <v>502.30408594319869</v>
      </c>
      <c r="M24">
        <f ca="1">IF($C24-M$1&lt;År1,0,L23*(1-VLOOKUP($A24,[1]Hugst!$R$5:$W$9,MATCH(ROUNDUP((M$1)/10,0)*10,[1]Hugst!$R$4:$W$4,0))))</f>
        <v>502.80852638031337</v>
      </c>
      <c r="N24">
        <f ca="1">IF($C24-N$1&lt;År1,0,M23*(1-VLOOKUP($A24,[1]Hugst!$R$5:$W$9,MATCH(ROUNDUP((N$1)/10,0)*10,[1]Hugst!$R$4:$W$4,0))))</f>
        <v>503.31550169399378</v>
      </c>
      <c r="O24">
        <f ca="1">IF($C24-O$1&lt;År1,0,N23*(1-VLOOKUP($A24,[1]Hugst!$R$5:$W$9,MATCH(ROUNDUP((O$1)/10,0)*10,[1]Hugst!$R$4:$W$4,0))))</f>
        <v>503.82502462231758</v>
      </c>
      <c r="P24">
        <f ca="1">IF($C24-P$1&lt;År1,0,O23*(1-VLOOKUP($A24,[1]Hugst!$R$5:$W$9,MATCH(ROUNDUP((P$1)/10,0)*10,[1]Hugst!$R$4:$W$4,0))))</f>
        <v>504.33710796736972</v>
      </c>
      <c r="Q24">
        <f ca="1">IF($C24-Q$1&lt;År1,0,P23*(1-VLOOKUP($A24,[1]Hugst!$R$5:$W$9,MATCH(ROUNDUP((Q$1)/10,0)*10,[1]Hugst!$R$4:$W$4,0))))</f>
        <v>504.85176459555504</v>
      </c>
      <c r="R24">
        <f ca="1">IF($C24-R$1&lt;År1,0,Q23*(1-VLOOKUP($A24,[1]Hugst!$R$5:$W$9,MATCH(ROUNDUP((R$1)/10,0)*10,[1]Hugst!$R$4:$W$4,0))))</f>
        <v>359.21612054433638</v>
      </c>
      <c r="S24">
        <f ca="1">IF($C24-S$1&lt;År1,0,R23*(1-VLOOKUP($A24,[1]Hugst!$R$5:$W$9,MATCH(ROUNDUP((S$1)/10,0)*10,[1]Hugst!$R$4:$W$4,0))))</f>
        <v>359.73596259699673</v>
      </c>
      <c r="T24">
        <f ca="1">IF($C24-T$1&lt;År1,0,S23*(1-VLOOKUP($A24,[1]Hugst!$R$5:$W$9,MATCH(ROUNDUP((T$1)/10,0)*10,[1]Hugst!$R$4:$W$4,0))))</f>
        <v>360.2584169212887</v>
      </c>
      <c r="U24">
        <f ca="1">IF($C24-U$1&lt;År1,0,T23*(1-VLOOKUP($A24,[1]Hugst!$R$5:$W$9,MATCH(ROUNDUP((U$1)/10,0)*10,[1]Hugst!$R$4:$W$4,0))))</f>
        <v>360.7834966441892</v>
      </c>
      <c r="V24">
        <f ca="1">IF($C24-V$1&lt;År1,0,U23*(1-VLOOKUP($A24,[1]Hugst!$R$5:$W$9,MATCH(ROUNDUP((V$1)/10,0)*10,[1]Hugst!$R$4:$W$4,0))))</f>
        <v>361.31121495866228</v>
      </c>
      <c r="W24">
        <f ca="1">IF($C24-W$1&lt;År1,0,V23*(1-VLOOKUP($A24,[1]Hugst!$R$5:$W$9,MATCH(ROUNDUP((W$1)/10,0)*10,[1]Hugst!$R$4:$W$4,0))))</f>
        <v>361.84158512396232</v>
      </c>
      <c r="X24">
        <f ca="1">IF($C24-X$1&lt;År1,0,W23*(1-VLOOKUP($A24,[1]Hugst!$R$5:$W$9,MATCH(ROUNDUP((X$1)/10,0)*10,[1]Hugst!$R$4:$W$4,0))))</f>
        <v>362.37462046597341</v>
      </c>
      <c r="Y24">
        <f ca="1">IF($C24-Y$1&lt;År1,0,X23*(1-VLOOKUP($A24,[1]Hugst!$R$5:$W$9,MATCH(ROUNDUP((Y$1)/10,0)*10,[1]Hugst!$R$4:$W$4,0))))</f>
        <v>362.9103343775422</v>
      </c>
      <c r="Z24">
        <f ca="1">IF($C24-Z$1&lt;År1,0,Y23*(1-VLOOKUP($A24,[1]Hugst!$R$5:$W$9,MATCH(ROUNDUP((Z$1)/10,0)*10,[1]Hugst!$R$4:$W$4,0))))</f>
        <v>363.44874031881761</v>
      </c>
      <c r="AA24">
        <f ca="1">IF($C24-AA$1&lt;År1,0,Z23*(1-VLOOKUP($A24,[1]Hugst!$R$5:$W$9,MATCH(ROUNDUP((AA$1)/10,0)*10,[1]Hugst!$R$4:$W$4,0))))</f>
        <v>363.98985181758314</v>
      </c>
      <c r="AB24">
        <f ca="1">IF($C24-AB$1&lt;År1,0,AA23*(1-VLOOKUP($A24,[1]Hugst!$R$5:$W$9,MATCH(ROUNDUP((AB$1)/10,0)*10,[1]Hugst!$R$4:$W$4,0))))</f>
        <v>364.53368246961463</v>
      </c>
      <c r="AC24">
        <f>IF($C24-AC$1&lt;År1,0,AB23*(1-VLOOKUP($A24,[1]Hugst!$R$5:$W$9,MATCH(ROUNDUP((AC$1)/10,0)*10,[1]Hugst!$R$4:$W$4,0))))</f>
        <v>0</v>
      </c>
      <c r="AD24">
        <f>IF($C24-AD$1&lt;År1,0,AC23*(1-VLOOKUP($A24,[1]Hugst!$R$5:$W$9,MATCH(ROUNDUP((AD$1)/10,0)*10,[1]Hugst!$R$4:$W$4,0))))</f>
        <v>0</v>
      </c>
      <c r="AE24">
        <f>IF($C24-AE$1&lt;År1,0,AD23*(1-VLOOKUP($A24,[1]Hugst!$R$5:$W$9,MATCH(ROUNDUP((AE$1)/10,0)*10,[1]Hugst!$R$4:$W$4,0))))</f>
        <v>0</v>
      </c>
      <c r="AF24">
        <f>IF($C24-AF$1&lt;År1,0,AE23*(1-VLOOKUP($A24,[1]Hugst!$R$5:$W$9,MATCH(ROUNDUP((AF$1)/10,0)*10,[1]Hugst!$R$4:$W$4,0))))</f>
        <v>0</v>
      </c>
      <c r="AG24">
        <f>IF($C24-AG$1&lt;År1,0,AF23*(1-VLOOKUP($A24,[1]Hugst!$R$5:$W$9,MATCH(ROUNDUP((AG$1)/10,0)*10,[1]Hugst!$R$4:$W$4,0))))</f>
        <v>0</v>
      </c>
      <c r="AH24">
        <f>IF($C24-AH$1&lt;År1,0,AG23*(1-VLOOKUP($A24,[1]Hugst!$R$5:$W$9,MATCH(ROUNDUP((AH$1)/10,0)*10,[1]Hugst!$R$4:$W$4,0))))</f>
        <v>0</v>
      </c>
      <c r="AI24">
        <f>IF($C24-AI$1&lt;År1,0,AH23*(1-VLOOKUP($A24,[1]Hugst!$R$5:$W$9,MATCH(ROUNDUP((AI$1)/10,0)*10,[1]Hugst!$R$4:$W$4,0))))</f>
        <v>0</v>
      </c>
      <c r="AJ24">
        <f>IF($C24-AJ$1&lt;År1,0,AI23*(1-VLOOKUP($A24,[1]Hugst!$R$5:$W$9,MATCH(ROUNDUP((AJ$1)/10,0)*10,[1]Hugst!$R$4:$W$4,0))))</f>
        <v>0</v>
      </c>
    </row>
    <row r="25" spans="1:38" x14ac:dyDescent="0.25">
      <c r="A25" t="s">
        <v>176</v>
      </c>
      <c r="B25" t="s">
        <v>23</v>
      </c>
      <c r="C25">
        <v>2043</v>
      </c>
      <c r="D25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96.922483766748428</v>
      </c>
      <c r="E25">
        <f t="shared" ca="1" si="0"/>
        <v>0</v>
      </c>
      <c r="F25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498.84292272422448</v>
      </c>
      <c r="G25">
        <f ca="1">IF($C25-G$1&lt;År1,0,F24*(1-VLOOKUP($A25,[1]Hugst!$R$5:$W$9,MATCH(ROUNDUP((G$1)/10,0)*10,[1]Hugst!$R$4:$W$4,0))))</f>
        <v>499.32997038134494</v>
      </c>
      <c r="H25">
        <f ca="1">IF($C25-H$1&lt;År1,0,G24*(1-VLOOKUP($A25,[1]Hugst!$R$5:$W$9,MATCH(ROUNDUP((H$1)/10,0)*10,[1]Hugst!$R$4:$W$4,0))))</f>
        <v>499.8194655141296</v>
      </c>
      <c r="I25">
        <f ca="1">IF($C25-I$1&lt;År1,0,H24*(1-VLOOKUP($A25,[1]Hugst!$R$5:$W$9,MATCH(ROUNDUP((I$1)/10,0)*10,[1]Hugst!$R$4:$W$4,0))))</f>
        <v>500.31142042144751</v>
      </c>
      <c r="J25">
        <f ca="1">IF($C25-J$1&lt;År1,0,I24*(1-VLOOKUP($A25,[1]Hugst!$R$5:$W$9,MATCH(ROUNDUP((J$1)/10,0)*10,[1]Hugst!$R$4:$W$4,0))))</f>
        <v>500.80584746397761</v>
      </c>
      <c r="K25">
        <f ca="1">IF($C25-K$1&lt;År1,0,J24*(1-VLOOKUP($A25,[1]Hugst!$R$5:$W$9,MATCH(ROUNDUP((K$1)/10,0)*10,[1]Hugst!$R$4:$W$4,0))))</f>
        <v>501.30275906451851</v>
      </c>
      <c r="L25">
        <f ca="1">IF($C25-L$1&lt;År1,0,K24*(1-VLOOKUP($A25,[1]Hugst!$R$5:$W$9,MATCH(ROUNDUP((L$1)/10,0)*10,[1]Hugst!$R$4:$W$4,0))))</f>
        <v>501.80216770826922</v>
      </c>
      <c r="M25">
        <f ca="1">IF($C25-M$1&lt;År1,0,L24*(1-VLOOKUP($A25,[1]Hugst!$R$5:$W$9,MATCH(ROUNDUP((M$1)/10,0)*10,[1]Hugst!$R$4:$W$4,0))))</f>
        <v>502.30408594319869</v>
      </c>
      <c r="N25">
        <f ca="1">IF($C25-N$1&lt;År1,0,M24*(1-VLOOKUP($A25,[1]Hugst!$R$5:$W$9,MATCH(ROUNDUP((N$1)/10,0)*10,[1]Hugst!$R$4:$W$4,0))))</f>
        <v>502.80852638031337</v>
      </c>
      <c r="O25">
        <f ca="1">IF($C25-O$1&lt;År1,0,N24*(1-VLOOKUP($A25,[1]Hugst!$R$5:$W$9,MATCH(ROUNDUP((O$1)/10,0)*10,[1]Hugst!$R$4:$W$4,0))))</f>
        <v>503.31550169399378</v>
      </c>
      <c r="P25">
        <f ca="1">IF($C25-P$1&lt;År1,0,O24*(1-VLOOKUP($A25,[1]Hugst!$R$5:$W$9,MATCH(ROUNDUP((P$1)/10,0)*10,[1]Hugst!$R$4:$W$4,0))))</f>
        <v>503.82502462231758</v>
      </c>
      <c r="Q25">
        <f ca="1">IF($C25-Q$1&lt;År1,0,P24*(1-VLOOKUP($A25,[1]Hugst!$R$5:$W$9,MATCH(ROUNDUP((Q$1)/10,0)*10,[1]Hugst!$R$4:$W$4,0))))</f>
        <v>504.33710796736972</v>
      </c>
      <c r="R25">
        <f ca="1">IF($C25-R$1&lt;År1,0,Q24*(1-VLOOKUP($A25,[1]Hugst!$R$5:$W$9,MATCH(ROUNDUP((R$1)/10,0)*10,[1]Hugst!$R$4:$W$4,0))))</f>
        <v>504.85176459555504</v>
      </c>
      <c r="S25">
        <f ca="1">IF($C25-S$1&lt;År1,0,R24*(1-VLOOKUP($A25,[1]Hugst!$R$5:$W$9,MATCH(ROUNDUP((S$1)/10,0)*10,[1]Hugst!$R$4:$W$4,0))))</f>
        <v>359.21612054433638</v>
      </c>
      <c r="T25">
        <f ca="1">IF($C25-T$1&lt;År1,0,S24*(1-VLOOKUP($A25,[1]Hugst!$R$5:$W$9,MATCH(ROUNDUP((T$1)/10,0)*10,[1]Hugst!$R$4:$W$4,0))))</f>
        <v>359.73596259699673</v>
      </c>
      <c r="U25">
        <f ca="1">IF($C25-U$1&lt;År1,0,T24*(1-VLOOKUP($A25,[1]Hugst!$R$5:$W$9,MATCH(ROUNDUP((U$1)/10,0)*10,[1]Hugst!$R$4:$W$4,0))))</f>
        <v>360.2584169212887</v>
      </c>
      <c r="V25">
        <f ca="1">IF($C25-V$1&lt;År1,0,U24*(1-VLOOKUP($A25,[1]Hugst!$R$5:$W$9,MATCH(ROUNDUP((V$1)/10,0)*10,[1]Hugst!$R$4:$W$4,0))))</f>
        <v>360.7834966441892</v>
      </c>
      <c r="W25">
        <f ca="1">IF($C25-W$1&lt;År1,0,V24*(1-VLOOKUP($A25,[1]Hugst!$R$5:$W$9,MATCH(ROUNDUP((W$1)/10,0)*10,[1]Hugst!$R$4:$W$4,0))))</f>
        <v>361.31121495866228</v>
      </c>
      <c r="X25">
        <f ca="1">IF($C25-X$1&lt;År1,0,W24*(1-VLOOKUP($A25,[1]Hugst!$R$5:$W$9,MATCH(ROUNDUP((X$1)/10,0)*10,[1]Hugst!$R$4:$W$4,0))))</f>
        <v>361.84158512396232</v>
      </c>
      <c r="Y25">
        <f ca="1">IF($C25-Y$1&lt;År1,0,X24*(1-VLOOKUP($A25,[1]Hugst!$R$5:$W$9,MATCH(ROUNDUP((Y$1)/10,0)*10,[1]Hugst!$R$4:$W$4,0))))</f>
        <v>362.37462046597341</v>
      </c>
      <c r="Z25">
        <f ca="1">IF($C25-Z$1&lt;År1,0,Y24*(1-VLOOKUP($A25,[1]Hugst!$R$5:$W$9,MATCH(ROUNDUP((Z$1)/10,0)*10,[1]Hugst!$R$4:$W$4,0))))</f>
        <v>362.9103343775422</v>
      </c>
      <c r="AA25">
        <f ca="1">IF($C25-AA$1&lt;År1,0,Z24*(1-VLOOKUP($A25,[1]Hugst!$R$5:$W$9,MATCH(ROUNDUP((AA$1)/10,0)*10,[1]Hugst!$R$4:$W$4,0))))</f>
        <v>363.44874031881761</v>
      </c>
      <c r="AB25">
        <f ca="1">IF($C25-AB$1&lt;År1,0,AA24*(1-VLOOKUP($A25,[1]Hugst!$R$5:$W$9,MATCH(ROUNDUP((AB$1)/10,0)*10,[1]Hugst!$R$4:$W$4,0))))</f>
        <v>363.98985181758314</v>
      </c>
      <c r="AC25">
        <f ca="1">IF($C25-AC$1&lt;År1,0,AB24*(1-VLOOKUP($A25,[1]Hugst!$R$5:$W$9,MATCH(ROUNDUP((AC$1)/10,0)*10,[1]Hugst!$R$4:$W$4,0))))</f>
        <v>364.53368246961463</v>
      </c>
      <c r="AD25">
        <f>IF($C25-AD$1&lt;År1,0,AC24*(1-VLOOKUP($A25,[1]Hugst!$R$5:$W$9,MATCH(ROUNDUP((AD$1)/10,0)*10,[1]Hugst!$R$4:$W$4,0))))</f>
        <v>0</v>
      </c>
      <c r="AE25">
        <f>IF($C25-AE$1&lt;År1,0,AD24*(1-VLOOKUP($A25,[1]Hugst!$R$5:$W$9,MATCH(ROUNDUP((AE$1)/10,0)*10,[1]Hugst!$R$4:$W$4,0))))</f>
        <v>0</v>
      </c>
      <c r="AF25">
        <f>IF($C25-AF$1&lt;År1,0,AE24*(1-VLOOKUP($A25,[1]Hugst!$R$5:$W$9,MATCH(ROUNDUP((AF$1)/10,0)*10,[1]Hugst!$R$4:$W$4,0))))</f>
        <v>0</v>
      </c>
      <c r="AG25">
        <f>IF($C25-AG$1&lt;År1,0,AF24*(1-VLOOKUP($A25,[1]Hugst!$R$5:$W$9,MATCH(ROUNDUP((AG$1)/10,0)*10,[1]Hugst!$R$4:$W$4,0))))</f>
        <v>0</v>
      </c>
      <c r="AH25">
        <f>IF($C25-AH$1&lt;År1,0,AG24*(1-VLOOKUP($A25,[1]Hugst!$R$5:$W$9,MATCH(ROUNDUP((AH$1)/10,0)*10,[1]Hugst!$R$4:$W$4,0))))</f>
        <v>0</v>
      </c>
      <c r="AI25">
        <f>IF($C25-AI$1&lt;År1,0,AH24*(1-VLOOKUP($A25,[1]Hugst!$R$5:$W$9,MATCH(ROUNDUP((AI$1)/10,0)*10,[1]Hugst!$R$4:$W$4,0))))</f>
        <v>0</v>
      </c>
      <c r="AJ25">
        <f>IF($C25-AJ$1&lt;År1,0,AI24*(1-VLOOKUP($A25,[1]Hugst!$R$5:$W$9,MATCH(ROUNDUP((AJ$1)/10,0)*10,[1]Hugst!$R$4:$W$4,0))))</f>
        <v>0</v>
      </c>
    </row>
    <row r="26" spans="1:38" x14ac:dyDescent="0.25">
      <c r="A26" t="s">
        <v>176</v>
      </c>
      <c r="B26" t="s">
        <v>23</v>
      </c>
      <c r="C26">
        <v>2044</v>
      </c>
      <c r="D26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96.437871347915006</v>
      </c>
      <c r="E26">
        <f t="shared" ca="1" si="0"/>
        <v>0</v>
      </c>
      <c r="F26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498.35831030539106</v>
      </c>
      <c r="G26">
        <f ca="1">IF($C26-G$1&lt;År1,0,F25*(1-VLOOKUP($A26,[1]Hugst!$R$5:$W$9,MATCH(ROUNDUP((G$1)/10,0)*10,[1]Hugst!$R$4:$W$4,0))))</f>
        <v>498.84292272422448</v>
      </c>
      <c r="H26">
        <f ca="1">IF($C26-H$1&lt;År1,0,G25*(1-VLOOKUP($A26,[1]Hugst!$R$5:$W$9,MATCH(ROUNDUP((H$1)/10,0)*10,[1]Hugst!$R$4:$W$4,0))))</f>
        <v>499.32997038134494</v>
      </c>
      <c r="I26">
        <f ca="1">IF($C26-I$1&lt;År1,0,H25*(1-VLOOKUP($A26,[1]Hugst!$R$5:$W$9,MATCH(ROUNDUP((I$1)/10,0)*10,[1]Hugst!$R$4:$W$4,0))))</f>
        <v>499.8194655141296</v>
      </c>
      <c r="J26">
        <f ca="1">IF($C26-J$1&lt;År1,0,I25*(1-VLOOKUP($A26,[1]Hugst!$R$5:$W$9,MATCH(ROUNDUP((J$1)/10,0)*10,[1]Hugst!$R$4:$W$4,0))))</f>
        <v>500.31142042144751</v>
      </c>
      <c r="K26">
        <f ca="1">IF($C26-K$1&lt;År1,0,J25*(1-VLOOKUP($A26,[1]Hugst!$R$5:$W$9,MATCH(ROUNDUP((K$1)/10,0)*10,[1]Hugst!$R$4:$W$4,0))))</f>
        <v>500.80584746397761</v>
      </c>
      <c r="L26">
        <f ca="1">IF($C26-L$1&lt;År1,0,K25*(1-VLOOKUP($A26,[1]Hugst!$R$5:$W$9,MATCH(ROUNDUP((L$1)/10,0)*10,[1]Hugst!$R$4:$W$4,0))))</f>
        <v>501.30275906451851</v>
      </c>
      <c r="M26">
        <f ca="1">IF($C26-M$1&lt;År1,0,L25*(1-VLOOKUP($A26,[1]Hugst!$R$5:$W$9,MATCH(ROUNDUP((M$1)/10,0)*10,[1]Hugst!$R$4:$W$4,0))))</f>
        <v>501.80216770826922</v>
      </c>
      <c r="N26">
        <f ca="1">IF($C26-N$1&lt;År1,0,M25*(1-VLOOKUP($A26,[1]Hugst!$R$5:$W$9,MATCH(ROUNDUP((N$1)/10,0)*10,[1]Hugst!$R$4:$W$4,0))))</f>
        <v>502.30408594319869</v>
      </c>
      <c r="O26">
        <f ca="1">IF($C26-O$1&lt;År1,0,N25*(1-VLOOKUP($A26,[1]Hugst!$R$5:$W$9,MATCH(ROUNDUP((O$1)/10,0)*10,[1]Hugst!$R$4:$W$4,0))))</f>
        <v>502.80852638031337</v>
      </c>
      <c r="P26">
        <f ca="1">IF($C26-P$1&lt;År1,0,O25*(1-VLOOKUP($A26,[1]Hugst!$R$5:$W$9,MATCH(ROUNDUP((P$1)/10,0)*10,[1]Hugst!$R$4:$W$4,0))))</f>
        <v>503.31550169399378</v>
      </c>
      <c r="Q26">
        <f ca="1">IF($C26-Q$1&lt;År1,0,P25*(1-VLOOKUP($A26,[1]Hugst!$R$5:$W$9,MATCH(ROUNDUP((Q$1)/10,0)*10,[1]Hugst!$R$4:$W$4,0))))</f>
        <v>503.82502462231758</v>
      </c>
      <c r="R26">
        <f ca="1">IF($C26-R$1&lt;År1,0,Q25*(1-VLOOKUP($A26,[1]Hugst!$R$5:$W$9,MATCH(ROUNDUP((R$1)/10,0)*10,[1]Hugst!$R$4:$W$4,0))))</f>
        <v>504.33710796736972</v>
      </c>
      <c r="S26">
        <f ca="1">IF($C26-S$1&lt;År1,0,R25*(1-VLOOKUP($A26,[1]Hugst!$R$5:$W$9,MATCH(ROUNDUP((S$1)/10,0)*10,[1]Hugst!$R$4:$W$4,0))))</f>
        <v>504.85176459555504</v>
      </c>
      <c r="T26">
        <f ca="1">IF($C26-T$1&lt;År1,0,S25*(1-VLOOKUP($A26,[1]Hugst!$R$5:$W$9,MATCH(ROUNDUP((T$1)/10,0)*10,[1]Hugst!$R$4:$W$4,0))))</f>
        <v>359.21612054433638</v>
      </c>
      <c r="U26">
        <f ca="1">IF($C26-U$1&lt;År1,0,T25*(1-VLOOKUP($A26,[1]Hugst!$R$5:$W$9,MATCH(ROUNDUP((U$1)/10,0)*10,[1]Hugst!$R$4:$W$4,0))))</f>
        <v>359.73596259699673</v>
      </c>
      <c r="V26">
        <f ca="1">IF($C26-V$1&lt;År1,0,U25*(1-VLOOKUP($A26,[1]Hugst!$R$5:$W$9,MATCH(ROUNDUP((V$1)/10,0)*10,[1]Hugst!$R$4:$W$4,0))))</f>
        <v>360.2584169212887</v>
      </c>
      <c r="W26">
        <f ca="1">IF($C26-W$1&lt;År1,0,V25*(1-VLOOKUP($A26,[1]Hugst!$R$5:$W$9,MATCH(ROUNDUP((W$1)/10,0)*10,[1]Hugst!$R$4:$W$4,0))))</f>
        <v>360.7834966441892</v>
      </c>
      <c r="X26">
        <f ca="1">IF($C26-X$1&lt;År1,0,W25*(1-VLOOKUP($A26,[1]Hugst!$R$5:$W$9,MATCH(ROUNDUP((X$1)/10,0)*10,[1]Hugst!$R$4:$W$4,0))))</f>
        <v>361.31121495866228</v>
      </c>
      <c r="Y26">
        <f ca="1">IF($C26-Y$1&lt;År1,0,X25*(1-VLOOKUP($A26,[1]Hugst!$R$5:$W$9,MATCH(ROUNDUP((Y$1)/10,0)*10,[1]Hugst!$R$4:$W$4,0))))</f>
        <v>361.84158512396232</v>
      </c>
      <c r="Z26">
        <f ca="1">IF($C26-Z$1&lt;År1,0,Y25*(1-VLOOKUP($A26,[1]Hugst!$R$5:$W$9,MATCH(ROUNDUP((Z$1)/10,0)*10,[1]Hugst!$R$4:$W$4,0))))</f>
        <v>362.37462046597341</v>
      </c>
      <c r="AA26">
        <f ca="1">IF($C26-AA$1&lt;År1,0,Z25*(1-VLOOKUP($A26,[1]Hugst!$R$5:$W$9,MATCH(ROUNDUP((AA$1)/10,0)*10,[1]Hugst!$R$4:$W$4,0))))</f>
        <v>362.9103343775422</v>
      </c>
      <c r="AB26">
        <f ca="1">IF($C26-AB$1&lt;År1,0,AA25*(1-VLOOKUP($A26,[1]Hugst!$R$5:$W$9,MATCH(ROUNDUP((AB$1)/10,0)*10,[1]Hugst!$R$4:$W$4,0))))</f>
        <v>363.44874031881761</v>
      </c>
      <c r="AC26">
        <f ca="1">IF($C26-AC$1&lt;År1,0,AB25*(1-VLOOKUP($A26,[1]Hugst!$R$5:$W$9,MATCH(ROUNDUP((AC$1)/10,0)*10,[1]Hugst!$R$4:$W$4,0))))</f>
        <v>363.98985181758314</v>
      </c>
      <c r="AD26">
        <f ca="1">IF($C26-AD$1&lt;År1,0,AC25*(1-VLOOKUP($A26,[1]Hugst!$R$5:$W$9,MATCH(ROUNDUP((AD$1)/10,0)*10,[1]Hugst!$R$4:$W$4,0))))</f>
        <v>364.53368246961463</v>
      </c>
      <c r="AE26">
        <f>IF($C26-AE$1&lt;År1,0,AD25*(1-VLOOKUP($A26,[1]Hugst!$R$5:$W$9,MATCH(ROUNDUP((AE$1)/10,0)*10,[1]Hugst!$R$4:$W$4,0))))</f>
        <v>0</v>
      </c>
      <c r="AF26">
        <f>IF($C26-AF$1&lt;År1,0,AE25*(1-VLOOKUP($A26,[1]Hugst!$R$5:$W$9,MATCH(ROUNDUP((AF$1)/10,0)*10,[1]Hugst!$R$4:$W$4,0))))</f>
        <v>0</v>
      </c>
      <c r="AG26">
        <f>IF($C26-AG$1&lt;År1,0,AF25*(1-VLOOKUP($A26,[1]Hugst!$R$5:$W$9,MATCH(ROUNDUP((AG$1)/10,0)*10,[1]Hugst!$R$4:$W$4,0))))</f>
        <v>0</v>
      </c>
      <c r="AH26">
        <f>IF($C26-AH$1&lt;År1,0,AG25*(1-VLOOKUP($A26,[1]Hugst!$R$5:$W$9,MATCH(ROUNDUP((AH$1)/10,0)*10,[1]Hugst!$R$4:$W$4,0))))</f>
        <v>0</v>
      </c>
      <c r="AI26">
        <f>IF($C26-AI$1&lt;År1,0,AH25*(1-VLOOKUP($A26,[1]Hugst!$R$5:$W$9,MATCH(ROUNDUP((AI$1)/10,0)*10,[1]Hugst!$R$4:$W$4,0))))</f>
        <v>0</v>
      </c>
      <c r="AJ26">
        <f>IF($C26-AJ$1&lt;År1,0,AI25*(1-VLOOKUP($A26,[1]Hugst!$R$5:$W$9,MATCH(ROUNDUP((AJ$1)/10,0)*10,[1]Hugst!$R$4:$W$4,0))))</f>
        <v>0</v>
      </c>
    </row>
    <row r="27" spans="1:38" x14ac:dyDescent="0.25">
      <c r="A27" t="s">
        <v>176</v>
      </c>
      <c r="B27" t="s">
        <v>23</v>
      </c>
      <c r="C27">
        <v>2045</v>
      </c>
      <c r="D27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95.955681991175425</v>
      </c>
      <c r="E27">
        <f t="shared" ca="1" si="0"/>
        <v>0</v>
      </c>
      <c r="F27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497.87612094865148</v>
      </c>
      <c r="G27">
        <f ca="1">IF($C27-G$1&lt;År1,0,F26*(1-VLOOKUP($A27,[1]Hugst!$R$5:$W$9,MATCH(ROUNDUP((G$1)/10,0)*10,[1]Hugst!$R$4:$W$4,0))))</f>
        <v>498.35831030539106</v>
      </c>
      <c r="H27">
        <f ca="1">IF($C27-H$1&lt;År1,0,G26*(1-VLOOKUP($A27,[1]Hugst!$R$5:$W$9,MATCH(ROUNDUP((H$1)/10,0)*10,[1]Hugst!$R$4:$W$4,0))))</f>
        <v>498.84292272422448</v>
      </c>
      <c r="I27">
        <f ca="1">IF($C27-I$1&lt;År1,0,H26*(1-VLOOKUP($A27,[1]Hugst!$R$5:$W$9,MATCH(ROUNDUP((I$1)/10,0)*10,[1]Hugst!$R$4:$W$4,0))))</f>
        <v>499.32997038134494</v>
      </c>
      <c r="J27">
        <f ca="1">IF($C27-J$1&lt;År1,0,I26*(1-VLOOKUP($A27,[1]Hugst!$R$5:$W$9,MATCH(ROUNDUP((J$1)/10,0)*10,[1]Hugst!$R$4:$W$4,0))))</f>
        <v>499.8194655141296</v>
      </c>
      <c r="K27">
        <f ca="1">IF($C27-K$1&lt;År1,0,J26*(1-VLOOKUP($A27,[1]Hugst!$R$5:$W$9,MATCH(ROUNDUP((K$1)/10,0)*10,[1]Hugst!$R$4:$W$4,0))))</f>
        <v>500.31142042144751</v>
      </c>
      <c r="L27">
        <f ca="1">IF($C27-L$1&lt;År1,0,K26*(1-VLOOKUP($A27,[1]Hugst!$R$5:$W$9,MATCH(ROUNDUP((L$1)/10,0)*10,[1]Hugst!$R$4:$W$4,0))))</f>
        <v>500.80584746397761</v>
      </c>
      <c r="M27">
        <f ca="1">IF($C27-M$1&lt;År1,0,L26*(1-VLOOKUP($A27,[1]Hugst!$R$5:$W$9,MATCH(ROUNDUP((M$1)/10,0)*10,[1]Hugst!$R$4:$W$4,0))))</f>
        <v>501.30275906451851</v>
      </c>
      <c r="N27">
        <f ca="1">IF($C27-N$1&lt;År1,0,M26*(1-VLOOKUP($A27,[1]Hugst!$R$5:$W$9,MATCH(ROUNDUP((N$1)/10,0)*10,[1]Hugst!$R$4:$W$4,0))))</f>
        <v>501.80216770826922</v>
      </c>
      <c r="O27">
        <f ca="1">IF($C27-O$1&lt;År1,0,N26*(1-VLOOKUP($A27,[1]Hugst!$R$5:$W$9,MATCH(ROUNDUP((O$1)/10,0)*10,[1]Hugst!$R$4:$W$4,0))))</f>
        <v>502.30408594319869</v>
      </c>
      <c r="P27">
        <f ca="1">IF($C27-P$1&lt;År1,0,O26*(1-VLOOKUP($A27,[1]Hugst!$R$5:$W$9,MATCH(ROUNDUP((P$1)/10,0)*10,[1]Hugst!$R$4:$W$4,0))))</f>
        <v>502.80852638031337</v>
      </c>
      <c r="Q27">
        <f ca="1">IF($C27-Q$1&lt;År1,0,P26*(1-VLOOKUP($A27,[1]Hugst!$R$5:$W$9,MATCH(ROUNDUP((Q$1)/10,0)*10,[1]Hugst!$R$4:$W$4,0))))</f>
        <v>503.31550169399378</v>
      </c>
      <c r="R27">
        <f ca="1">IF($C27-R$1&lt;År1,0,Q26*(1-VLOOKUP($A27,[1]Hugst!$R$5:$W$9,MATCH(ROUNDUP((R$1)/10,0)*10,[1]Hugst!$R$4:$W$4,0))))</f>
        <v>503.82502462231758</v>
      </c>
      <c r="S27">
        <f ca="1">IF($C27-S$1&lt;År1,0,R26*(1-VLOOKUP($A27,[1]Hugst!$R$5:$W$9,MATCH(ROUNDUP((S$1)/10,0)*10,[1]Hugst!$R$4:$W$4,0))))</f>
        <v>504.33710796736972</v>
      </c>
      <c r="T27">
        <f ca="1">IF($C27-T$1&lt;År1,0,S26*(1-VLOOKUP($A27,[1]Hugst!$R$5:$W$9,MATCH(ROUNDUP((T$1)/10,0)*10,[1]Hugst!$R$4:$W$4,0))))</f>
        <v>504.85176459555504</v>
      </c>
      <c r="U27">
        <f ca="1">IF($C27-U$1&lt;År1,0,T26*(1-VLOOKUP($A27,[1]Hugst!$R$5:$W$9,MATCH(ROUNDUP((U$1)/10,0)*10,[1]Hugst!$R$4:$W$4,0))))</f>
        <v>359.21612054433638</v>
      </c>
      <c r="V27">
        <f ca="1">IF($C27-V$1&lt;År1,0,U26*(1-VLOOKUP($A27,[1]Hugst!$R$5:$W$9,MATCH(ROUNDUP((V$1)/10,0)*10,[1]Hugst!$R$4:$W$4,0))))</f>
        <v>359.73596259699673</v>
      </c>
      <c r="W27">
        <f ca="1">IF($C27-W$1&lt;År1,0,V26*(1-VLOOKUP($A27,[1]Hugst!$R$5:$W$9,MATCH(ROUNDUP((W$1)/10,0)*10,[1]Hugst!$R$4:$W$4,0))))</f>
        <v>360.2584169212887</v>
      </c>
      <c r="X27">
        <f ca="1">IF($C27-X$1&lt;År1,0,W26*(1-VLOOKUP($A27,[1]Hugst!$R$5:$W$9,MATCH(ROUNDUP((X$1)/10,0)*10,[1]Hugst!$R$4:$W$4,0))))</f>
        <v>360.7834966441892</v>
      </c>
      <c r="Y27">
        <f ca="1">IF($C27-Y$1&lt;År1,0,X26*(1-VLOOKUP($A27,[1]Hugst!$R$5:$W$9,MATCH(ROUNDUP((Y$1)/10,0)*10,[1]Hugst!$R$4:$W$4,0))))</f>
        <v>361.31121495866228</v>
      </c>
      <c r="Z27">
        <f ca="1">IF($C27-Z$1&lt;År1,0,Y26*(1-VLOOKUP($A27,[1]Hugst!$R$5:$W$9,MATCH(ROUNDUP((Z$1)/10,0)*10,[1]Hugst!$R$4:$W$4,0))))</f>
        <v>361.84158512396232</v>
      </c>
      <c r="AA27">
        <f ca="1">IF($C27-AA$1&lt;År1,0,Z26*(1-VLOOKUP($A27,[1]Hugst!$R$5:$W$9,MATCH(ROUNDUP((AA$1)/10,0)*10,[1]Hugst!$R$4:$W$4,0))))</f>
        <v>362.37462046597341</v>
      </c>
      <c r="AB27">
        <f ca="1">IF($C27-AB$1&lt;År1,0,AA26*(1-VLOOKUP($A27,[1]Hugst!$R$5:$W$9,MATCH(ROUNDUP((AB$1)/10,0)*10,[1]Hugst!$R$4:$W$4,0))))</f>
        <v>362.9103343775422</v>
      </c>
      <c r="AC27">
        <f ca="1">IF($C27-AC$1&lt;År1,0,AB26*(1-VLOOKUP($A27,[1]Hugst!$R$5:$W$9,MATCH(ROUNDUP((AC$1)/10,0)*10,[1]Hugst!$R$4:$W$4,0))))</f>
        <v>363.44874031881761</v>
      </c>
      <c r="AD27">
        <f ca="1">IF($C27-AD$1&lt;År1,0,AC26*(1-VLOOKUP($A27,[1]Hugst!$R$5:$W$9,MATCH(ROUNDUP((AD$1)/10,0)*10,[1]Hugst!$R$4:$W$4,0))))</f>
        <v>363.98985181758314</v>
      </c>
      <c r="AE27">
        <f ca="1">IF($C27-AE$1&lt;År1,0,AD26*(1-VLOOKUP($A27,[1]Hugst!$R$5:$W$9,MATCH(ROUNDUP((AE$1)/10,0)*10,[1]Hugst!$R$4:$W$4,0))))</f>
        <v>364.53368246961463</v>
      </c>
      <c r="AF27">
        <f>IF($C27-AF$1&lt;År1,0,AE26*(1-VLOOKUP($A27,[1]Hugst!$R$5:$W$9,MATCH(ROUNDUP((AF$1)/10,0)*10,[1]Hugst!$R$4:$W$4,0))))</f>
        <v>0</v>
      </c>
      <c r="AG27">
        <f>IF($C27-AG$1&lt;År1,0,AF26*(1-VLOOKUP($A27,[1]Hugst!$R$5:$W$9,MATCH(ROUNDUP((AG$1)/10,0)*10,[1]Hugst!$R$4:$W$4,0))))</f>
        <v>0</v>
      </c>
      <c r="AH27">
        <f>IF($C27-AH$1&lt;År1,0,AG26*(1-VLOOKUP($A27,[1]Hugst!$R$5:$W$9,MATCH(ROUNDUP((AH$1)/10,0)*10,[1]Hugst!$R$4:$W$4,0))))</f>
        <v>0</v>
      </c>
      <c r="AI27">
        <f>IF($C27-AI$1&lt;År1,0,AH26*(1-VLOOKUP($A27,[1]Hugst!$R$5:$W$9,MATCH(ROUNDUP((AI$1)/10,0)*10,[1]Hugst!$R$4:$W$4,0))))</f>
        <v>0</v>
      </c>
      <c r="AJ27">
        <f>IF($C27-AJ$1&lt;År1,0,AI26*(1-VLOOKUP($A27,[1]Hugst!$R$5:$W$9,MATCH(ROUNDUP((AJ$1)/10,0)*10,[1]Hugst!$R$4:$W$4,0))))</f>
        <v>0</v>
      </c>
    </row>
    <row r="28" spans="1:38" x14ac:dyDescent="0.25">
      <c r="A28" t="s">
        <v>176</v>
      </c>
      <c r="B28" t="s">
        <v>23</v>
      </c>
      <c r="C28">
        <v>2046</v>
      </c>
      <c r="D2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95.47590358122261</v>
      </c>
      <c r="E28">
        <f t="shared" ca="1" si="0"/>
        <v>0</v>
      </c>
      <c r="F2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497.39634253869866</v>
      </c>
      <c r="G28">
        <f ca="1">IF($C28-G$1&lt;År1,0,F27*(1-VLOOKUP($A28,[1]Hugst!$R$5:$W$9,MATCH(ROUNDUP((G$1)/10,0)*10,[1]Hugst!$R$4:$W$4,0))))</f>
        <v>497.87612094865148</v>
      </c>
      <c r="H28">
        <f ca="1">IF($C28-H$1&lt;År1,0,G27*(1-VLOOKUP($A28,[1]Hugst!$R$5:$W$9,MATCH(ROUNDUP((H$1)/10,0)*10,[1]Hugst!$R$4:$W$4,0))))</f>
        <v>498.35831030539106</v>
      </c>
      <c r="I28">
        <f ca="1">IF($C28-I$1&lt;År1,0,H27*(1-VLOOKUP($A28,[1]Hugst!$R$5:$W$9,MATCH(ROUNDUP((I$1)/10,0)*10,[1]Hugst!$R$4:$W$4,0))))</f>
        <v>498.84292272422448</v>
      </c>
      <c r="J28">
        <f ca="1">IF($C28-J$1&lt;År1,0,I27*(1-VLOOKUP($A28,[1]Hugst!$R$5:$W$9,MATCH(ROUNDUP((J$1)/10,0)*10,[1]Hugst!$R$4:$W$4,0))))</f>
        <v>499.32997038134494</v>
      </c>
      <c r="K28">
        <f ca="1">IF($C28-K$1&lt;År1,0,J27*(1-VLOOKUP($A28,[1]Hugst!$R$5:$W$9,MATCH(ROUNDUP((K$1)/10,0)*10,[1]Hugst!$R$4:$W$4,0))))</f>
        <v>499.8194655141296</v>
      </c>
      <c r="L28">
        <f ca="1">IF($C28-L$1&lt;År1,0,K27*(1-VLOOKUP($A28,[1]Hugst!$R$5:$W$9,MATCH(ROUNDUP((L$1)/10,0)*10,[1]Hugst!$R$4:$W$4,0))))</f>
        <v>500.31142042144751</v>
      </c>
      <c r="M28">
        <f ca="1">IF($C28-M$1&lt;År1,0,L27*(1-VLOOKUP($A28,[1]Hugst!$R$5:$W$9,MATCH(ROUNDUP((M$1)/10,0)*10,[1]Hugst!$R$4:$W$4,0))))</f>
        <v>500.80584746397761</v>
      </c>
      <c r="N28">
        <f ca="1">IF($C28-N$1&lt;År1,0,M27*(1-VLOOKUP($A28,[1]Hugst!$R$5:$W$9,MATCH(ROUNDUP((N$1)/10,0)*10,[1]Hugst!$R$4:$W$4,0))))</f>
        <v>501.30275906451851</v>
      </c>
      <c r="O28">
        <f ca="1">IF($C28-O$1&lt;År1,0,N27*(1-VLOOKUP($A28,[1]Hugst!$R$5:$W$9,MATCH(ROUNDUP((O$1)/10,0)*10,[1]Hugst!$R$4:$W$4,0))))</f>
        <v>501.80216770826922</v>
      </c>
      <c r="P28">
        <f ca="1">IF($C28-P$1&lt;År1,0,O27*(1-VLOOKUP($A28,[1]Hugst!$R$5:$W$9,MATCH(ROUNDUP((P$1)/10,0)*10,[1]Hugst!$R$4:$W$4,0))))</f>
        <v>502.30408594319869</v>
      </c>
      <c r="Q28">
        <f ca="1">IF($C28-Q$1&lt;År1,0,P27*(1-VLOOKUP($A28,[1]Hugst!$R$5:$W$9,MATCH(ROUNDUP((Q$1)/10,0)*10,[1]Hugst!$R$4:$W$4,0))))</f>
        <v>502.80852638031337</v>
      </c>
      <c r="R28">
        <f ca="1">IF($C28-R$1&lt;År1,0,Q27*(1-VLOOKUP($A28,[1]Hugst!$R$5:$W$9,MATCH(ROUNDUP((R$1)/10,0)*10,[1]Hugst!$R$4:$W$4,0))))</f>
        <v>503.31550169399378</v>
      </c>
      <c r="S28">
        <f ca="1">IF($C28-S$1&lt;År1,0,R27*(1-VLOOKUP($A28,[1]Hugst!$R$5:$W$9,MATCH(ROUNDUP((S$1)/10,0)*10,[1]Hugst!$R$4:$W$4,0))))</f>
        <v>503.82502462231758</v>
      </c>
      <c r="T28">
        <f ca="1">IF($C28-T$1&lt;År1,0,S27*(1-VLOOKUP($A28,[1]Hugst!$R$5:$W$9,MATCH(ROUNDUP((T$1)/10,0)*10,[1]Hugst!$R$4:$W$4,0))))</f>
        <v>504.33710796736972</v>
      </c>
      <c r="U28">
        <f ca="1">IF($C28-U$1&lt;År1,0,T27*(1-VLOOKUP($A28,[1]Hugst!$R$5:$W$9,MATCH(ROUNDUP((U$1)/10,0)*10,[1]Hugst!$R$4:$W$4,0))))</f>
        <v>504.85176459555504</v>
      </c>
      <c r="V28">
        <f ca="1">IF($C28-V$1&lt;År1,0,U27*(1-VLOOKUP($A28,[1]Hugst!$R$5:$W$9,MATCH(ROUNDUP((V$1)/10,0)*10,[1]Hugst!$R$4:$W$4,0))))</f>
        <v>359.21612054433638</v>
      </c>
      <c r="W28">
        <f ca="1">IF($C28-W$1&lt;År1,0,V27*(1-VLOOKUP($A28,[1]Hugst!$R$5:$W$9,MATCH(ROUNDUP((W$1)/10,0)*10,[1]Hugst!$R$4:$W$4,0))))</f>
        <v>359.73596259699673</v>
      </c>
      <c r="X28">
        <f ca="1">IF($C28-X$1&lt;År1,0,W27*(1-VLOOKUP($A28,[1]Hugst!$R$5:$W$9,MATCH(ROUNDUP((X$1)/10,0)*10,[1]Hugst!$R$4:$W$4,0))))</f>
        <v>360.2584169212887</v>
      </c>
      <c r="Y28">
        <f ca="1">IF($C28-Y$1&lt;År1,0,X27*(1-VLOOKUP($A28,[1]Hugst!$R$5:$W$9,MATCH(ROUNDUP((Y$1)/10,0)*10,[1]Hugst!$R$4:$W$4,0))))</f>
        <v>360.7834966441892</v>
      </c>
      <c r="Z28">
        <f ca="1">IF($C28-Z$1&lt;År1,0,Y27*(1-VLOOKUP($A28,[1]Hugst!$R$5:$W$9,MATCH(ROUNDUP((Z$1)/10,0)*10,[1]Hugst!$R$4:$W$4,0))))</f>
        <v>361.31121495866228</v>
      </c>
      <c r="AA28">
        <f ca="1">IF($C28-AA$1&lt;År1,0,Z27*(1-VLOOKUP($A28,[1]Hugst!$R$5:$W$9,MATCH(ROUNDUP((AA$1)/10,0)*10,[1]Hugst!$R$4:$W$4,0))))</f>
        <v>361.84158512396232</v>
      </c>
      <c r="AB28">
        <f ca="1">IF($C28-AB$1&lt;År1,0,AA27*(1-VLOOKUP($A28,[1]Hugst!$R$5:$W$9,MATCH(ROUNDUP((AB$1)/10,0)*10,[1]Hugst!$R$4:$W$4,0))))</f>
        <v>362.37462046597341</v>
      </c>
      <c r="AC28">
        <f ca="1">IF($C28-AC$1&lt;År1,0,AB27*(1-VLOOKUP($A28,[1]Hugst!$R$5:$W$9,MATCH(ROUNDUP((AC$1)/10,0)*10,[1]Hugst!$R$4:$W$4,0))))</f>
        <v>362.9103343775422</v>
      </c>
      <c r="AD28">
        <f ca="1">IF($C28-AD$1&lt;År1,0,AC27*(1-VLOOKUP($A28,[1]Hugst!$R$5:$W$9,MATCH(ROUNDUP((AD$1)/10,0)*10,[1]Hugst!$R$4:$W$4,0))))</f>
        <v>363.44874031881761</v>
      </c>
      <c r="AE28">
        <f ca="1">IF($C28-AE$1&lt;År1,0,AD27*(1-VLOOKUP($A28,[1]Hugst!$R$5:$W$9,MATCH(ROUNDUP((AE$1)/10,0)*10,[1]Hugst!$R$4:$W$4,0))))</f>
        <v>363.98985181758314</v>
      </c>
      <c r="AF28">
        <f ca="1">IF($C28-AF$1&lt;År1,0,AE27*(1-VLOOKUP($A28,[1]Hugst!$R$5:$W$9,MATCH(ROUNDUP((AF$1)/10,0)*10,[1]Hugst!$R$4:$W$4,0))))</f>
        <v>364.53368246961463</v>
      </c>
      <c r="AG28">
        <f>IF($C28-AG$1&lt;År1,0,AF27*(1-VLOOKUP($A28,[1]Hugst!$R$5:$W$9,MATCH(ROUNDUP((AG$1)/10,0)*10,[1]Hugst!$R$4:$W$4,0))))</f>
        <v>0</v>
      </c>
      <c r="AH28">
        <f>IF($C28-AH$1&lt;År1,0,AG27*(1-VLOOKUP($A28,[1]Hugst!$R$5:$W$9,MATCH(ROUNDUP((AH$1)/10,0)*10,[1]Hugst!$R$4:$W$4,0))))</f>
        <v>0</v>
      </c>
      <c r="AI28">
        <f>IF($C28-AI$1&lt;År1,0,AH27*(1-VLOOKUP($A28,[1]Hugst!$R$5:$W$9,MATCH(ROUNDUP((AI$1)/10,0)*10,[1]Hugst!$R$4:$W$4,0))))</f>
        <v>0</v>
      </c>
      <c r="AJ28">
        <f>IF($C28-AJ$1&lt;År1,0,AI27*(1-VLOOKUP($A28,[1]Hugst!$R$5:$W$9,MATCH(ROUNDUP((AJ$1)/10,0)*10,[1]Hugst!$R$4:$W$4,0))))</f>
        <v>0</v>
      </c>
    </row>
    <row r="29" spans="1:38" x14ac:dyDescent="0.25">
      <c r="A29" t="s">
        <v>176</v>
      </c>
      <c r="B29" t="s">
        <v>23</v>
      </c>
      <c r="C29">
        <v>2047</v>
      </c>
      <c r="D29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94.99852406331047</v>
      </c>
      <c r="E29">
        <f t="shared" ca="1" si="0"/>
        <v>0</v>
      </c>
      <c r="F2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496.91896302078652</v>
      </c>
      <c r="G29">
        <f ca="1">IF($C29-G$1&lt;År1,0,F28*(1-VLOOKUP($A29,[1]Hugst!$R$5:$W$9,MATCH(ROUNDUP((G$1)/10,0)*10,[1]Hugst!$R$4:$W$4,0))))</f>
        <v>497.39634253869866</v>
      </c>
      <c r="H29">
        <f ca="1">IF($C29-H$1&lt;År1,0,G28*(1-VLOOKUP($A29,[1]Hugst!$R$5:$W$9,MATCH(ROUNDUP((H$1)/10,0)*10,[1]Hugst!$R$4:$W$4,0))))</f>
        <v>497.87612094865148</v>
      </c>
      <c r="I29">
        <f ca="1">IF($C29-I$1&lt;År1,0,H28*(1-VLOOKUP($A29,[1]Hugst!$R$5:$W$9,MATCH(ROUNDUP((I$1)/10,0)*10,[1]Hugst!$R$4:$W$4,0))))</f>
        <v>498.35831030539106</v>
      </c>
      <c r="J29">
        <f ca="1">IF($C29-J$1&lt;År1,0,I28*(1-VLOOKUP($A29,[1]Hugst!$R$5:$W$9,MATCH(ROUNDUP((J$1)/10,0)*10,[1]Hugst!$R$4:$W$4,0))))</f>
        <v>498.84292272422448</v>
      </c>
      <c r="K29">
        <f ca="1">IF($C29-K$1&lt;År1,0,J28*(1-VLOOKUP($A29,[1]Hugst!$R$5:$W$9,MATCH(ROUNDUP((K$1)/10,0)*10,[1]Hugst!$R$4:$W$4,0))))</f>
        <v>499.32997038134494</v>
      </c>
      <c r="L29">
        <f ca="1">IF($C29-L$1&lt;År1,0,K28*(1-VLOOKUP($A29,[1]Hugst!$R$5:$W$9,MATCH(ROUNDUP((L$1)/10,0)*10,[1]Hugst!$R$4:$W$4,0))))</f>
        <v>499.8194655141296</v>
      </c>
      <c r="M29">
        <f ca="1">IF($C29-M$1&lt;År1,0,L28*(1-VLOOKUP($A29,[1]Hugst!$R$5:$W$9,MATCH(ROUNDUP((M$1)/10,0)*10,[1]Hugst!$R$4:$W$4,0))))</f>
        <v>500.31142042144751</v>
      </c>
      <c r="N29">
        <f ca="1">IF($C29-N$1&lt;År1,0,M28*(1-VLOOKUP($A29,[1]Hugst!$R$5:$W$9,MATCH(ROUNDUP((N$1)/10,0)*10,[1]Hugst!$R$4:$W$4,0))))</f>
        <v>500.80584746397761</v>
      </c>
      <c r="O29">
        <f ca="1">IF($C29-O$1&lt;År1,0,N28*(1-VLOOKUP($A29,[1]Hugst!$R$5:$W$9,MATCH(ROUNDUP((O$1)/10,0)*10,[1]Hugst!$R$4:$W$4,0))))</f>
        <v>501.30275906451851</v>
      </c>
      <c r="P29">
        <f ca="1">IF($C29-P$1&lt;År1,0,O28*(1-VLOOKUP($A29,[1]Hugst!$R$5:$W$9,MATCH(ROUNDUP((P$1)/10,0)*10,[1]Hugst!$R$4:$W$4,0))))</f>
        <v>501.80216770826922</v>
      </c>
      <c r="Q29">
        <f ca="1">IF($C29-Q$1&lt;År1,0,P28*(1-VLOOKUP($A29,[1]Hugst!$R$5:$W$9,MATCH(ROUNDUP((Q$1)/10,0)*10,[1]Hugst!$R$4:$W$4,0))))</f>
        <v>502.30408594319869</v>
      </c>
      <c r="R29">
        <f ca="1">IF($C29-R$1&lt;År1,0,Q28*(1-VLOOKUP($A29,[1]Hugst!$R$5:$W$9,MATCH(ROUNDUP((R$1)/10,0)*10,[1]Hugst!$R$4:$W$4,0))))</f>
        <v>502.80852638031337</v>
      </c>
      <c r="S29">
        <f ca="1">IF($C29-S$1&lt;År1,0,R28*(1-VLOOKUP($A29,[1]Hugst!$R$5:$W$9,MATCH(ROUNDUP((S$1)/10,0)*10,[1]Hugst!$R$4:$W$4,0))))</f>
        <v>503.31550169399378</v>
      </c>
      <c r="T29">
        <f ca="1">IF($C29-T$1&lt;År1,0,S28*(1-VLOOKUP($A29,[1]Hugst!$R$5:$W$9,MATCH(ROUNDUP((T$1)/10,0)*10,[1]Hugst!$R$4:$W$4,0))))</f>
        <v>503.82502462231758</v>
      </c>
      <c r="U29">
        <f ca="1">IF($C29-U$1&lt;År1,0,T28*(1-VLOOKUP($A29,[1]Hugst!$R$5:$W$9,MATCH(ROUNDUP((U$1)/10,0)*10,[1]Hugst!$R$4:$W$4,0))))</f>
        <v>504.33710796736972</v>
      </c>
      <c r="V29">
        <f ca="1">IF($C29-V$1&lt;År1,0,U28*(1-VLOOKUP($A29,[1]Hugst!$R$5:$W$9,MATCH(ROUNDUP((V$1)/10,0)*10,[1]Hugst!$R$4:$W$4,0))))</f>
        <v>504.85176459555504</v>
      </c>
      <c r="W29">
        <f ca="1">IF($C29-W$1&lt;År1,0,V28*(1-VLOOKUP($A29,[1]Hugst!$R$5:$W$9,MATCH(ROUNDUP((W$1)/10,0)*10,[1]Hugst!$R$4:$W$4,0))))</f>
        <v>359.21612054433638</v>
      </c>
      <c r="X29">
        <f ca="1">IF($C29-X$1&lt;År1,0,W28*(1-VLOOKUP($A29,[1]Hugst!$R$5:$W$9,MATCH(ROUNDUP((X$1)/10,0)*10,[1]Hugst!$R$4:$W$4,0))))</f>
        <v>359.73596259699673</v>
      </c>
      <c r="Y29">
        <f ca="1">IF($C29-Y$1&lt;År1,0,X28*(1-VLOOKUP($A29,[1]Hugst!$R$5:$W$9,MATCH(ROUNDUP((Y$1)/10,0)*10,[1]Hugst!$R$4:$W$4,0))))</f>
        <v>360.2584169212887</v>
      </c>
      <c r="Z29">
        <f ca="1">IF($C29-Z$1&lt;År1,0,Y28*(1-VLOOKUP($A29,[1]Hugst!$R$5:$W$9,MATCH(ROUNDUP((Z$1)/10,0)*10,[1]Hugst!$R$4:$W$4,0))))</f>
        <v>360.7834966441892</v>
      </c>
      <c r="AA29">
        <f ca="1">IF($C29-AA$1&lt;År1,0,Z28*(1-VLOOKUP($A29,[1]Hugst!$R$5:$W$9,MATCH(ROUNDUP((AA$1)/10,0)*10,[1]Hugst!$R$4:$W$4,0))))</f>
        <v>361.31121495866228</v>
      </c>
      <c r="AB29">
        <f ca="1">IF($C29-AB$1&lt;År1,0,AA28*(1-VLOOKUP($A29,[1]Hugst!$R$5:$W$9,MATCH(ROUNDUP((AB$1)/10,0)*10,[1]Hugst!$R$4:$W$4,0))))</f>
        <v>361.84158512396232</v>
      </c>
      <c r="AC29">
        <f ca="1">IF($C29-AC$1&lt;År1,0,AB28*(1-VLOOKUP($A29,[1]Hugst!$R$5:$W$9,MATCH(ROUNDUP((AC$1)/10,0)*10,[1]Hugst!$R$4:$W$4,0))))</f>
        <v>362.37462046597341</v>
      </c>
      <c r="AD29">
        <f ca="1">IF($C29-AD$1&lt;År1,0,AC28*(1-VLOOKUP($A29,[1]Hugst!$R$5:$W$9,MATCH(ROUNDUP((AD$1)/10,0)*10,[1]Hugst!$R$4:$W$4,0))))</f>
        <v>362.9103343775422</v>
      </c>
      <c r="AE29">
        <f ca="1">IF($C29-AE$1&lt;År1,0,AD28*(1-VLOOKUP($A29,[1]Hugst!$R$5:$W$9,MATCH(ROUNDUP((AE$1)/10,0)*10,[1]Hugst!$R$4:$W$4,0))))</f>
        <v>363.44874031881761</v>
      </c>
      <c r="AF29">
        <f ca="1">IF($C29-AF$1&lt;År1,0,AE28*(1-VLOOKUP($A29,[1]Hugst!$R$5:$W$9,MATCH(ROUNDUP((AF$1)/10,0)*10,[1]Hugst!$R$4:$W$4,0))))</f>
        <v>363.98985181758314</v>
      </c>
      <c r="AG29">
        <f ca="1">IF($C29-AG$1&lt;År1,0,AF28*(1-VLOOKUP($A29,[1]Hugst!$R$5:$W$9,MATCH(ROUNDUP((AG$1)/10,0)*10,[1]Hugst!$R$4:$W$4,0))))</f>
        <v>364.53368246961463</v>
      </c>
      <c r="AH29">
        <f>IF($C29-AH$1&lt;År1,0,AG28*(1-VLOOKUP($A29,[1]Hugst!$R$5:$W$9,MATCH(ROUNDUP((AH$1)/10,0)*10,[1]Hugst!$R$4:$W$4,0))))</f>
        <v>0</v>
      </c>
      <c r="AI29">
        <f>IF($C29-AI$1&lt;År1,0,AH28*(1-VLOOKUP($A29,[1]Hugst!$R$5:$W$9,MATCH(ROUNDUP((AI$1)/10,0)*10,[1]Hugst!$R$4:$W$4,0))))</f>
        <v>0</v>
      </c>
      <c r="AJ29">
        <f>IF($C29-AJ$1&lt;År1,0,AI28*(1-VLOOKUP($A29,[1]Hugst!$R$5:$W$9,MATCH(ROUNDUP((AJ$1)/10,0)*10,[1]Hugst!$R$4:$W$4,0))))</f>
        <v>0</v>
      </c>
    </row>
    <row r="30" spans="1:38" x14ac:dyDescent="0.25">
      <c r="A30" t="s">
        <v>176</v>
      </c>
      <c r="B30" t="s">
        <v>23</v>
      </c>
      <c r="C30">
        <v>2048</v>
      </c>
      <c r="D30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94.523531442996955</v>
      </c>
      <c r="E30">
        <f t="shared" ca="1" si="0"/>
        <v>0</v>
      </c>
      <c r="F30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496.44397040047301</v>
      </c>
      <c r="G30">
        <f ca="1">IF($C30-G$1&lt;År1,0,F29*(1-VLOOKUP($A30,[1]Hugst!$R$5:$W$9,MATCH(ROUNDUP((G$1)/10,0)*10,[1]Hugst!$R$4:$W$4,0))))</f>
        <v>496.91896302078652</v>
      </c>
      <c r="H30">
        <f ca="1">IF($C30-H$1&lt;År1,0,G29*(1-VLOOKUP($A30,[1]Hugst!$R$5:$W$9,MATCH(ROUNDUP((H$1)/10,0)*10,[1]Hugst!$R$4:$W$4,0))))</f>
        <v>497.39634253869866</v>
      </c>
      <c r="I30">
        <f ca="1">IF($C30-I$1&lt;År1,0,H29*(1-VLOOKUP($A30,[1]Hugst!$R$5:$W$9,MATCH(ROUNDUP((I$1)/10,0)*10,[1]Hugst!$R$4:$W$4,0))))</f>
        <v>497.87612094865148</v>
      </c>
      <c r="J30">
        <f ca="1">IF($C30-J$1&lt;År1,0,I29*(1-VLOOKUP($A30,[1]Hugst!$R$5:$W$9,MATCH(ROUNDUP((J$1)/10,0)*10,[1]Hugst!$R$4:$W$4,0))))</f>
        <v>498.35831030539106</v>
      </c>
      <c r="K30">
        <f ca="1">IF($C30-K$1&lt;År1,0,J29*(1-VLOOKUP($A30,[1]Hugst!$R$5:$W$9,MATCH(ROUNDUP((K$1)/10,0)*10,[1]Hugst!$R$4:$W$4,0))))</f>
        <v>498.84292272422448</v>
      </c>
      <c r="L30">
        <f ca="1">IF($C30-L$1&lt;År1,0,K29*(1-VLOOKUP($A30,[1]Hugst!$R$5:$W$9,MATCH(ROUNDUP((L$1)/10,0)*10,[1]Hugst!$R$4:$W$4,0))))</f>
        <v>499.32997038134494</v>
      </c>
      <c r="M30">
        <f ca="1">IF($C30-M$1&lt;År1,0,L29*(1-VLOOKUP($A30,[1]Hugst!$R$5:$W$9,MATCH(ROUNDUP((M$1)/10,0)*10,[1]Hugst!$R$4:$W$4,0))))</f>
        <v>499.8194655141296</v>
      </c>
      <c r="N30">
        <f ca="1">IF($C30-N$1&lt;År1,0,M29*(1-VLOOKUP($A30,[1]Hugst!$R$5:$W$9,MATCH(ROUNDUP((N$1)/10,0)*10,[1]Hugst!$R$4:$W$4,0))))</f>
        <v>500.31142042144751</v>
      </c>
      <c r="O30">
        <f ca="1">IF($C30-O$1&lt;År1,0,N29*(1-VLOOKUP($A30,[1]Hugst!$R$5:$W$9,MATCH(ROUNDUP((O$1)/10,0)*10,[1]Hugst!$R$4:$W$4,0))))</f>
        <v>500.80584746397761</v>
      </c>
      <c r="P30">
        <f ca="1">IF($C30-P$1&lt;År1,0,O29*(1-VLOOKUP($A30,[1]Hugst!$R$5:$W$9,MATCH(ROUNDUP((P$1)/10,0)*10,[1]Hugst!$R$4:$W$4,0))))</f>
        <v>501.30275906451851</v>
      </c>
      <c r="Q30">
        <f ca="1">IF($C30-Q$1&lt;År1,0,P29*(1-VLOOKUP($A30,[1]Hugst!$R$5:$W$9,MATCH(ROUNDUP((Q$1)/10,0)*10,[1]Hugst!$R$4:$W$4,0))))</f>
        <v>501.80216770826922</v>
      </c>
      <c r="R30">
        <f ca="1">IF($C30-R$1&lt;År1,0,Q29*(1-VLOOKUP($A30,[1]Hugst!$R$5:$W$9,MATCH(ROUNDUP((R$1)/10,0)*10,[1]Hugst!$R$4:$W$4,0))))</f>
        <v>502.30408594319869</v>
      </c>
      <c r="S30">
        <f ca="1">IF($C30-S$1&lt;År1,0,R29*(1-VLOOKUP($A30,[1]Hugst!$R$5:$W$9,MATCH(ROUNDUP((S$1)/10,0)*10,[1]Hugst!$R$4:$W$4,0))))</f>
        <v>502.80852638031337</v>
      </c>
      <c r="T30">
        <f ca="1">IF($C30-T$1&lt;År1,0,S29*(1-VLOOKUP($A30,[1]Hugst!$R$5:$W$9,MATCH(ROUNDUP((T$1)/10,0)*10,[1]Hugst!$R$4:$W$4,0))))</f>
        <v>503.31550169399378</v>
      </c>
      <c r="U30">
        <f ca="1">IF($C30-U$1&lt;År1,0,T29*(1-VLOOKUP($A30,[1]Hugst!$R$5:$W$9,MATCH(ROUNDUP((U$1)/10,0)*10,[1]Hugst!$R$4:$W$4,0))))</f>
        <v>503.82502462231758</v>
      </c>
      <c r="V30">
        <f ca="1">IF($C30-V$1&lt;År1,0,U29*(1-VLOOKUP($A30,[1]Hugst!$R$5:$W$9,MATCH(ROUNDUP((V$1)/10,0)*10,[1]Hugst!$R$4:$W$4,0))))</f>
        <v>504.33710796736972</v>
      </c>
      <c r="W30">
        <f ca="1">IF($C30-W$1&lt;År1,0,V29*(1-VLOOKUP($A30,[1]Hugst!$R$5:$W$9,MATCH(ROUNDUP((W$1)/10,0)*10,[1]Hugst!$R$4:$W$4,0))))</f>
        <v>504.85176459555504</v>
      </c>
      <c r="X30">
        <f ca="1">IF($C30-X$1&lt;År1,0,W29*(1-VLOOKUP($A30,[1]Hugst!$R$5:$W$9,MATCH(ROUNDUP((X$1)/10,0)*10,[1]Hugst!$R$4:$W$4,0))))</f>
        <v>359.21612054433638</v>
      </c>
      <c r="Y30">
        <f ca="1">IF($C30-Y$1&lt;År1,0,X29*(1-VLOOKUP($A30,[1]Hugst!$R$5:$W$9,MATCH(ROUNDUP((Y$1)/10,0)*10,[1]Hugst!$R$4:$W$4,0))))</f>
        <v>359.73596259699673</v>
      </c>
      <c r="Z30">
        <f ca="1">IF($C30-Z$1&lt;År1,0,Y29*(1-VLOOKUP($A30,[1]Hugst!$R$5:$W$9,MATCH(ROUNDUP((Z$1)/10,0)*10,[1]Hugst!$R$4:$W$4,0))))</f>
        <v>360.2584169212887</v>
      </c>
      <c r="AA30">
        <f ca="1">IF($C30-AA$1&lt;År1,0,Z29*(1-VLOOKUP($A30,[1]Hugst!$R$5:$W$9,MATCH(ROUNDUP((AA$1)/10,0)*10,[1]Hugst!$R$4:$W$4,0))))</f>
        <v>360.7834966441892</v>
      </c>
      <c r="AB30">
        <f ca="1">IF($C30-AB$1&lt;År1,0,AA29*(1-VLOOKUP($A30,[1]Hugst!$R$5:$W$9,MATCH(ROUNDUP((AB$1)/10,0)*10,[1]Hugst!$R$4:$W$4,0))))</f>
        <v>361.31121495866228</v>
      </c>
      <c r="AC30">
        <f ca="1">IF($C30-AC$1&lt;År1,0,AB29*(1-VLOOKUP($A30,[1]Hugst!$R$5:$W$9,MATCH(ROUNDUP((AC$1)/10,0)*10,[1]Hugst!$R$4:$W$4,0))))</f>
        <v>361.84158512396232</v>
      </c>
      <c r="AD30">
        <f ca="1">IF($C30-AD$1&lt;År1,0,AC29*(1-VLOOKUP($A30,[1]Hugst!$R$5:$W$9,MATCH(ROUNDUP((AD$1)/10,0)*10,[1]Hugst!$R$4:$W$4,0))))</f>
        <v>362.37462046597341</v>
      </c>
      <c r="AE30">
        <f ca="1">IF($C30-AE$1&lt;År1,0,AD29*(1-VLOOKUP($A30,[1]Hugst!$R$5:$W$9,MATCH(ROUNDUP((AE$1)/10,0)*10,[1]Hugst!$R$4:$W$4,0))))</f>
        <v>362.9103343775422</v>
      </c>
      <c r="AF30">
        <f ca="1">IF($C30-AF$1&lt;År1,0,AE29*(1-VLOOKUP($A30,[1]Hugst!$R$5:$W$9,MATCH(ROUNDUP((AF$1)/10,0)*10,[1]Hugst!$R$4:$W$4,0))))</f>
        <v>363.44874031881761</v>
      </c>
      <c r="AG30">
        <f ca="1">IF($C30-AG$1&lt;År1,0,AF29*(1-VLOOKUP($A30,[1]Hugst!$R$5:$W$9,MATCH(ROUNDUP((AG$1)/10,0)*10,[1]Hugst!$R$4:$W$4,0))))</f>
        <v>363.98985181758314</v>
      </c>
      <c r="AH30">
        <f ca="1">IF($C30-AH$1&lt;År1,0,AG29*(1-VLOOKUP($A30,[1]Hugst!$R$5:$W$9,MATCH(ROUNDUP((AH$1)/10,0)*10,[1]Hugst!$R$4:$W$4,0))))</f>
        <v>364.53368246961463</v>
      </c>
      <c r="AI30">
        <f>IF($C30-AI$1&lt;År1,0,AH29*(1-VLOOKUP($A30,[1]Hugst!$R$5:$W$9,MATCH(ROUNDUP((AI$1)/10,0)*10,[1]Hugst!$R$4:$W$4,0))))</f>
        <v>0</v>
      </c>
      <c r="AJ30">
        <f>IF($C30-AJ$1&lt;År1,0,AI29*(1-VLOOKUP($A30,[1]Hugst!$R$5:$W$9,MATCH(ROUNDUP((AJ$1)/10,0)*10,[1]Hugst!$R$4:$W$4,0))))</f>
        <v>0</v>
      </c>
    </row>
    <row r="31" spans="1:38" x14ac:dyDescent="0.25">
      <c r="A31" t="s">
        <v>176</v>
      </c>
      <c r="B31" t="s">
        <v>23</v>
      </c>
      <c r="C31">
        <v>2049</v>
      </c>
      <c r="D31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94.050913785782086</v>
      </c>
      <c r="E31">
        <f t="shared" ca="1" si="0"/>
        <v>0</v>
      </c>
      <c r="F31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495.97135274325814</v>
      </c>
      <c r="G31">
        <f ca="1">IF($C31-G$1&lt;År1,0,F30*(1-VLOOKUP($A31,[1]Hugst!$R$5:$W$9,MATCH(ROUNDUP((G$1)/10,0)*10,[1]Hugst!$R$4:$W$4,0))))</f>
        <v>496.44397040047301</v>
      </c>
      <c r="H31">
        <f ca="1">IF($C31-H$1&lt;År1,0,G30*(1-VLOOKUP($A31,[1]Hugst!$R$5:$W$9,MATCH(ROUNDUP((H$1)/10,0)*10,[1]Hugst!$R$4:$W$4,0))))</f>
        <v>496.91896302078652</v>
      </c>
      <c r="I31">
        <f ca="1">IF($C31-I$1&lt;År1,0,H30*(1-VLOOKUP($A31,[1]Hugst!$R$5:$W$9,MATCH(ROUNDUP((I$1)/10,0)*10,[1]Hugst!$R$4:$W$4,0))))</f>
        <v>497.39634253869866</v>
      </c>
      <c r="J31">
        <f ca="1">IF($C31-J$1&lt;År1,0,I30*(1-VLOOKUP($A31,[1]Hugst!$R$5:$W$9,MATCH(ROUNDUP((J$1)/10,0)*10,[1]Hugst!$R$4:$W$4,0))))</f>
        <v>497.87612094865148</v>
      </c>
      <c r="K31">
        <f ca="1">IF($C31-K$1&lt;År1,0,J30*(1-VLOOKUP($A31,[1]Hugst!$R$5:$W$9,MATCH(ROUNDUP((K$1)/10,0)*10,[1]Hugst!$R$4:$W$4,0))))</f>
        <v>498.35831030539106</v>
      </c>
      <c r="L31">
        <f ca="1">IF($C31-L$1&lt;År1,0,K30*(1-VLOOKUP($A31,[1]Hugst!$R$5:$W$9,MATCH(ROUNDUP((L$1)/10,0)*10,[1]Hugst!$R$4:$W$4,0))))</f>
        <v>498.84292272422448</v>
      </c>
      <c r="M31">
        <f ca="1">IF($C31-M$1&lt;År1,0,L30*(1-VLOOKUP($A31,[1]Hugst!$R$5:$W$9,MATCH(ROUNDUP((M$1)/10,0)*10,[1]Hugst!$R$4:$W$4,0))))</f>
        <v>499.32997038134494</v>
      </c>
      <c r="N31">
        <f ca="1">IF($C31-N$1&lt;År1,0,M30*(1-VLOOKUP($A31,[1]Hugst!$R$5:$W$9,MATCH(ROUNDUP((N$1)/10,0)*10,[1]Hugst!$R$4:$W$4,0))))</f>
        <v>499.8194655141296</v>
      </c>
      <c r="O31">
        <f ca="1">IF($C31-O$1&lt;År1,0,N30*(1-VLOOKUP($A31,[1]Hugst!$R$5:$W$9,MATCH(ROUNDUP((O$1)/10,0)*10,[1]Hugst!$R$4:$W$4,0))))</f>
        <v>500.31142042144751</v>
      </c>
      <c r="P31">
        <f ca="1">IF($C31-P$1&lt;År1,0,O30*(1-VLOOKUP($A31,[1]Hugst!$R$5:$W$9,MATCH(ROUNDUP((P$1)/10,0)*10,[1]Hugst!$R$4:$W$4,0))))</f>
        <v>500.80584746397761</v>
      </c>
      <c r="Q31">
        <f ca="1">IF($C31-Q$1&lt;År1,0,P30*(1-VLOOKUP($A31,[1]Hugst!$R$5:$W$9,MATCH(ROUNDUP((Q$1)/10,0)*10,[1]Hugst!$R$4:$W$4,0))))</f>
        <v>501.30275906451851</v>
      </c>
      <c r="R31">
        <f ca="1">IF($C31-R$1&lt;År1,0,Q30*(1-VLOOKUP($A31,[1]Hugst!$R$5:$W$9,MATCH(ROUNDUP((R$1)/10,0)*10,[1]Hugst!$R$4:$W$4,0))))</f>
        <v>501.80216770826922</v>
      </c>
      <c r="S31">
        <f ca="1">IF($C31-S$1&lt;År1,0,R30*(1-VLOOKUP($A31,[1]Hugst!$R$5:$W$9,MATCH(ROUNDUP((S$1)/10,0)*10,[1]Hugst!$R$4:$W$4,0))))</f>
        <v>502.30408594319869</v>
      </c>
      <c r="T31">
        <f ca="1">IF($C31-T$1&lt;År1,0,S30*(1-VLOOKUP($A31,[1]Hugst!$R$5:$W$9,MATCH(ROUNDUP((T$1)/10,0)*10,[1]Hugst!$R$4:$W$4,0))))</f>
        <v>502.80852638031337</v>
      </c>
      <c r="U31">
        <f ca="1">IF($C31-U$1&lt;År1,0,T30*(1-VLOOKUP($A31,[1]Hugst!$R$5:$W$9,MATCH(ROUNDUP((U$1)/10,0)*10,[1]Hugst!$R$4:$W$4,0))))</f>
        <v>503.31550169399378</v>
      </c>
      <c r="V31">
        <f ca="1">IF($C31-V$1&lt;År1,0,U30*(1-VLOOKUP($A31,[1]Hugst!$R$5:$W$9,MATCH(ROUNDUP((V$1)/10,0)*10,[1]Hugst!$R$4:$W$4,0))))</f>
        <v>503.82502462231758</v>
      </c>
      <c r="W31">
        <f ca="1">IF($C31-W$1&lt;År1,0,V30*(1-VLOOKUP($A31,[1]Hugst!$R$5:$W$9,MATCH(ROUNDUP((W$1)/10,0)*10,[1]Hugst!$R$4:$W$4,0))))</f>
        <v>504.33710796736972</v>
      </c>
      <c r="X31">
        <f ca="1">IF($C31-X$1&lt;År1,0,W30*(1-VLOOKUP($A31,[1]Hugst!$R$5:$W$9,MATCH(ROUNDUP((X$1)/10,0)*10,[1]Hugst!$R$4:$W$4,0))))</f>
        <v>504.85176459555504</v>
      </c>
      <c r="Y31">
        <f ca="1">IF($C31-Y$1&lt;År1,0,X30*(1-VLOOKUP($A31,[1]Hugst!$R$5:$W$9,MATCH(ROUNDUP((Y$1)/10,0)*10,[1]Hugst!$R$4:$W$4,0))))</f>
        <v>359.21612054433638</v>
      </c>
      <c r="Z31">
        <f ca="1">IF($C31-Z$1&lt;År1,0,Y30*(1-VLOOKUP($A31,[1]Hugst!$R$5:$W$9,MATCH(ROUNDUP((Z$1)/10,0)*10,[1]Hugst!$R$4:$W$4,0))))</f>
        <v>359.73596259699673</v>
      </c>
      <c r="AA31">
        <f ca="1">IF($C31-AA$1&lt;År1,0,Z30*(1-VLOOKUP($A31,[1]Hugst!$R$5:$W$9,MATCH(ROUNDUP((AA$1)/10,0)*10,[1]Hugst!$R$4:$W$4,0))))</f>
        <v>360.2584169212887</v>
      </c>
      <c r="AB31">
        <f ca="1">IF($C31-AB$1&lt;År1,0,AA30*(1-VLOOKUP($A31,[1]Hugst!$R$5:$W$9,MATCH(ROUNDUP((AB$1)/10,0)*10,[1]Hugst!$R$4:$W$4,0))))</f>
        <v>360.7834966441892</v>
      </c>
      <c r="AC31">
        <f ca="1">IF($C31-AC$1&lt;År1,0,AB30*(1-VLOOKUP($A31,[1]Hugst!$R$5:$W$9,MATCH(ROUNDUP((AC$1)/10,0)*10,[1]Hugst!$R$4:$W$4,0))))</f>
        <v>361.31121495866228</v>
      </c>
      <c r="AD31">
        <f ca="1">IF($C31-AD$1&lt;År1,0,AC30*(1-VLOOKUP($A31,[1]Hugst!$R$5:$W$9,MATCH(ROUNDUP((AD$1)/10,0)*10,[1]Hugst!$R$4:$W$4,0))))</f>
        <v>361.84158512396232</v>
      </c>
      <c r="AE31">
        <f ca="1">IF($C31-AE$1&lt;År1,0,AD30*(1-VLOOKUP($A31,[1]Hugst!$R$5:$W$9,MATCH(ROUNDUP((AE$1)/10,0)*10,[1]Hugst!$R$4:$W$4,0))))</f>
        <v>362.37462046597341</v>
      </c>
      <c r="AF31">
        <f ca="1">IF($C31-AF$1&lt;År1,0,AE30*(1-VLOOKUP($A31,[1]Hugst!$R$5:$W$9,MATCH(ROUNDUP((AF$1)/10,0)*10,[1]Hugst!$R$4:$W$4,0))))</f>
        <v>362.9103343775422</v>
      </c>
      <c r="AG31">
        <f ca="1">IF($C31-AG$1&lt;År1,0,AF30*(1-VLOOKUP($A31,[1]Hugst!$R$5:$W$9,MATCH(ROUNDUP((AG$1)/10,0)*10,[1]Hugst!$R$4:$W$4,0))))</f>
        <v>363.44874031881761</v>
      </c>
      <c r="AH31">
        <f ca="1">IF($C31-AH$1&lt;År1,0,AG30*(1-VLOOKUP($A31,[1]Hugst!$R$5:$W$9,MATCH(ROUNDUP((AH$1)/10,0)*10,[1]Hugst!$R$4:$W$4,0))))</f>
        <v>363.98985181758314</v>
      </c>
      <c r="AI31">
        <f ca="1">IF($C31-AI$1&lt;År1,0,AH30*(1-VLOOKUP($A31,[1]Hugst!$R$5:$W$9,MATCH(ROUNDUP((AI$1)/10,0)*10,[1]Hugst!$R$4:$W$4,0))))</f>
        <v>364.53368246961463</v>
      </c>
      <c r="AJ31">
        <f>IF($C31-AJ$1&lt;År1,0,AI30*(1-VLOOKUP($A31,[1]Hugst!$R$5:$W$9,MATCH(ROUNDUP((AJ$1)/10,0)*10,[1]Hugst!$R$4:$W$4,0))))</f>
        <v>0</v>
      </c>
    </row>
    <row r="32" spans="1:38" x14ac:dyDescent="0.25">
      <c r="A32" t="s">
        <v>176</v>
      </c>
      <c r="B32" t="s">
        <v>23</v>
      </c>
      <c r="C32">
        <v>2050</v>
      </c>
      <c r="D32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93.580659216854656</v>
      </c>
      <c r="E32">
        <f t="shared" ca="1" si="0"/>
        <v>1.2021855485709239</v>
      </c>
      <c r="F32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496.70328372290163</v>
      </c>
      <c r="G32">
        <f ca="1">IF($C32-G$1&lt;År1,0,F31*(1-VLOOKUP($A32,[1]Hugst!$R$5:$W$9,MATCH(ROUNDUP((G$1)/10,0)*10,[1]Hugst!$R$4:$W$4,0))))</f>
        <v>495.97135274325814</v>
      </c>
      <c r="H32">
        <f ca="1">IF($C32-H$1&lt;År1,0,G31*(1-VLOOKUP($A32,[1]Hugst!$R$5:$W$9,MATCH(ROUNDUP((H$1)/10,0)*10,[1]Hugst!$R$4:$W$4,0))))</f>
        <v>496.44397040047301</v>
      </c>
      <c r="I32">
        <f ca="1">IF($C32-I$1&lt;År1,0,H31*(1-VLOOKUP($A32,[1]Hugst!$R$5:$W$9,MATCH(ROUNDUP((I$1)/10,0)*10,[1]Hugst!$R$4:$W$4,0))))</f>
        <v>496.91896302078652</v>
      </c>
      <c r="J32">
        <f ca="1">IF($C32-J$1&lt;År1,0,I31*(1-VLOOKUP($A32,[1]Hugst!$R$5:$W$9,MATCH(ROUNDUP((J$1)/10,0)*10,[1]Hugst!$R$4:$W$4,0))))</f>
        <v>497.39634253869866</v>
      </c>
      <c r="K32">
        <f ca="1">IF($C32-K$1&lt;År1,0,J31*(1-VLOOKUP($A32,[1]Hugst!$R$5:$W$9,MATCH(ROUNDUP((K$1)/10,0)*10,[1]Hugst!$R$4:$W$4,0))))</f>
        <v>497.87612094865148</v>
      </c>
      <c r="L32">
        <f ca="1">IF($C32-L$1&lt;År1,0,K31*(1-VLOOKUP($A32,[1]Hugst!$R$5:$W$9,MATCH(ROUNDUP((L$1)/10,0)*10,[1]Hugst!$R$4:$W$4,0))))</f>
        <v>498.35831030539106</v>
      </c>
      <c r="M32">
        <f ca="1">IF($C32-M$1&lt;År1,0,L31*(1-VLOOKUP($A32,[1]Hugst!$R$5:$W$9,MATCH(ROUNDUP((M$1)/10,0)*10,[1]Hugst!$R$4:$W$4,0))))</f>
        <v>498.84292272422448</v>
      </c>
      <c r="N32">
        <f ca="1">IF($C32-N$1&lt;År1,0,M31*(1-VLOOKUP($A32,[1]Hugst!$R$5:$W$9,MATCH(ROUNDUP((N$1)/10,0)*10,[1]Hugst!$R$4:$W$4,0))))</f>
        <v>499.32997038134494</v>
      </c>
      <c r="O32">
        <f ca="1">IF($C32-O$1&lt;År1,0,N31*(1-VLOOKUP($A32,[1]Hugst!$R$5:$W$9,MATCH(ROUNDUP((O$1)/10,0)*10,[1]Hugst!$R$4:$W$4,0))))</f>
        <v>499.8194655141296</v>
      </c>
      <c r="P32">
        <f ca="1">IF($C32-P$1&lt;År1,0,O31*(1-VLOOKUP($A32,[1]Hugst!$R$5:$W$9,MATCH(ROUNDUP((P$1)/10,0)*10,[1]Hugst!$R$4:$W$4,0))))</f>
        <v>500.31142042144751</v>
      </c>
      <c r="Q32">
        <f ca="1">IF($C32-Q$1&lt;År1,0,P31*(1-VLOOKUP($A32,[1]Hugst!$R$5:$W$9,MATCH(ROUNDUP((Q$1)/10,0)*10,[1]Hugst!$R$4:$W$4,0))))</f>
        <v>500.80584746397761</v>
      </c>
      <c r="R32">
        <f ca="1">IF($C32-R$1&lt;År1,0,Q31*(1-VLOOKUP($A32,[1]Hugst!$R$5:$W$9,MATCH(ROUNDUP((R$1)/10,0)*10,[1]Hugst!$R$4:$W$4,0))))</f>
        <v>501.30275906451851</v>
      </c>
      <c r="S32">
        <f ca="1">IF($C32-S$1&lt;År1,0,R31*(1-VLOOKUP($A32,[1]Hugst!$R$5:$W$9,MATCH(ROUNDUP((S$1)/10,0)*10,[1]Hugst!$R$4:$W$4,0))))</f>
        <v>501.80216770826922</v>
      </c>
      <c r="T32">
        <f ca="1">IF($C32-T$1&lt;År1,0,S31*(1-VLOOKUP($A32,[1]Hugst!$R$5:$W$9,MATCH(ROUNDUP((T$1)/10,0)*10,[1]Hugst!$R$4:$W$4,0))))</f>
        <v>502.30408594319869</v>
      </c>
      <c r="U32">
        <f ca="1">IF($C32-U$1&lt;År1,0,T31*(1-VLOOKUP($A32,[1]Hugst!$R$5:$W$9,MATCH(ROUNDUP((U$1)/10,0)*10,[1]Hugst!$R$4:$W$4,0))))</f>
        <v>502.80852638031337</v>
      </c>
      <c r="V32">
        <f ca="1">IF($C32-V$1&lt;År1,0,U31*(1-VLOOKUP($A32,[1]Hugst!$R$5:$W$9,MATCH(ROUNDUP((V$1)/10,0)*10,[1]Hugst!$R$4:$W$4,0))))</f>
        <v>503.31550169399378</v>
      </c>
      <c r="W32">
        <f ca="1">IF($C32-W$1&lt;År1,0,V31*(1-VLOOKUP($A32,[1]Hugst!$R$5:$W$9,MATCH(ROUNDUP((W$1)/10,0)*10,[1]Hugst!$R$4:$W$4,0))))</f>
        <v>503.82502462231758</v>
      </c>
      <c r="X32">
        <f ca="1">IF($C32-X$1&lt;År1,0,W31*(1-VLOOKUP($A32,[1]Hugst!$R$5:$W$9,MATCH(ROUNDUP((X$1)/10,0)*10,[1]Hugst!$R$4:$W$4,0))))</f>
        <v>504.33710796736972</v>
      </c>
      <c r="Y32">
        <f ca="1">IF($C32-Y$1&lt;År1,0,X31*(1-VLOOKUP($A32,[1]Hugst!$R$5:$W$9,MATCH(ROUNDUP((Y$1)/10,0)*10,[1]Hugst!$R$4:$W$4,0))))</f>
        <v>504.85176459555504</v>
      </c>
      <c r="Z32">
        <f ca="1">IF($C32-Z$1&lt;År1,0,Y31*(1-VLOOKUP($A32,[1]Hugst!$R$5:$W$9,MATCH(ROUNDUP((Z$1)/10,0)*10,[1]Hugst!$R$4:$W$4,0))))</f>
        <v>359.21612054433638</v>
      </c>
      <c r="AA32">
        <f ca="1">IF($C32-AA$1&lt;År1,0,Z31*(1-VLOOKUP($A32,[1]Hugst!$R$5:$W$9,MATCH(ROUNDUP((AA$1)/10,0)*10,[1]Hugst!$R$4:$W$4,0))))</f>
        <v>359.73596259699673</v>
      </c>
      <c r="AB32">
        <f ca="1">IF($C32-AB$1&lt;År1,0,AA31*(1-VLOOKUP($A32,[1]Hugst!$R$5:$W$9,MATCH(ROUNDUP((AB$1)/10,0)*10,[1]Hugst!$R$4:$W$4,0))))</f>
        <v>360.2584169212887</v>
      </c>
      <c r="AC32">
        <f ca="1">IF($C32-AC$1&lt;År1,0,AB31*(1-VLOOKUP($A32,[1]Hugst!$R$5:$W$9,MATCH(ROUNDUP((AC$1)/10,0)*10,[1]Hugst!$R$4:$W$4,0))))</f>
        <v>360.7834966441892</v>
      </c>
      <c r="AD32">
        <f ca="1">IF($C32-AD$1&lt;År1,0,AC31*(1-VLOOKUP($A32,[1]Hugst!$R$5:$W$9,MATCH(ROUNDUP((AD$1)/10,0)*10,[1]Hugst!$R$4:$W$4,0))))</f>
        <v>361.31121495866228</v>
      </c>
      <c r="AE32">
        <f ca="1">IF($C32-AE$1&lt;År1,0,AD31*(1-VLOOKUP($A32,[1]Hugst!$R$5:$W$9,MATCH(ROUNDUP((AE$1)/10,0)*10,[1]Hugst!$R$4:$W$4,0))))</f>
        <v>361.84158512396232</v>
      </c>
      <c r="AF32">
        <f ca="1">IF($C32-AF$1&lt;År1,0,AE31*(1-VLOOKUP($A32,[1]Hugst!$R$5:$W$9,MATCH(ROUNDUP((AF$1)/10,0)*10,[1]Hugst!$R$4:$W$4,0))))</f>
        <v>362.37462046597341</v>
      </c>
      <c r="AG32">
        <f ca="1">IF($C32-AG$1&lt;År1,0,AF31*(1-VLOOKUP($A32,[1]Hugst!$R$5:$W$9,MATCH(ROUNDUP((AG$1)/10,0)*10,[1]Hugst!$R$4:$W$4,0))))</f>
        <v>362.9103343775422</v>
      </c>
      <c r="AH32">
        <f ca="1">IF($C32-AH$1&lt;År1,0,AG31*(1-VLOOKUP($A32,[1]Hugst!$R$5:$W$9,MATCH(ROUNDUP((AH$1)/10,0)*10,[1]Hugst!$R$4:$W$4,0))))</f>
        <v>363.44874031881761</v>
      </c>
      <c r="AI32">
        <f ca="1">IF($C32-AI$1&lt;År1,0,AH31*(1-VLOOKUP($A32,[1]Hugst!$R$5:$W$9,MATCH(ROUNDUP((AI$1)/10,0)*10,[1]Hugst!$R$4:$W$4,0))))</f>
        <v>363.98985181758314</v>
      </c>
      <c r="AJ32">
        <f ca="1">IF($C32-AJ$1&lt;År1,0,AI31*(1-VLOOKUP($A32,[1]Hugst!$R$5:$W$9,MATCH(ROUNDUP((AJ$1)/10,0)*10,[1]Hugst!$R$4:$W$4,0))))</f>
        <v>363.33149692104462</v>
      </c>
      <c r="AL32">
        <f ca="1">SUM(F32:AJ32)</f>
        <v>13982.526748851215</v>
      </c>
    </row>
    <row r="33" spans="1:36" x14ac:dyDescent="0.25">
      <c r="A33" t="s">
        <v>176</v>
      </c>
      <c r="B33" t="s">
        <v>24</v>
      </c>
      <c r="C33">
        <v>2020</v>
      </c>
      <c r="D33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31.83636959423384</v>
      </c>
      <c r="E33">
        <f t="shared" si="0"/>
        <v>0</v>
      </c>
      <c r="F33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70.681612143180047</v>
      </c>
      <c r="G33">
        <f>IF($C33-G$1&lt;År1,0,F32*(1-VLOOKUP($A33,[1]Hugst!$R$5:$W$9,MATCH(ROUNDUP((G$1)/10,0)*10,[1]Hugst!$R$4:$W$4,0))))</f>
        <v>0</v>
      </c>
      <c r="H33">
        <f>IF($C33-H$1&lt;År1,0,G32*(1-VLOOKUP($A33,[1]Hugst!$R$5:$W$9,MATCH(ROUNDUP((H$1)/10,0)*10,[1]Hugst!$R$4:$W$4,0))))</f>
        <v>0</v>
      </c>
      <c r="I33">
        <f>IF($C33-I$1&lt;År1,0,H32*(1-VLOOKUP($A33,[1]Hugst!$R$5:$W$9,MATCH(ROUNDUP((I$1)/10,0)*10,[1]Hugst!$R$4:$W$4,0))))</f>
        <v>0</v>
      </c>
      <c r="J33">
        <f>IF($C33-J$1&lt;År1,0,I32*(1-VLOOKUP($A33,[1]Hugst!$R$5:$W$9,MATCH(ROUNDUP((J$1)/10,0)*10,[1]Hugst!$R$4:$W$4,0))))</f>
        <v>0</v>
      </c>
      <c r="K33">
        <f>IF($C33-K$1&lt;År1,0,J32*(1-VLOOKUP($A33,[1]Hugst!$R$5:$W$9,MATCH(ROUNDUP((K$1)/10,0)*10,[1]Hugst!$R$4:$W$4,0))))</f>
        <v>0</v>
      </c>
      <c r="L33">
        <f>IF($C33-L$1&lt;År1,0,K32*(1-VLOOKUP($A33,[1]Hugst!$R$5:$W$9,MATCH(ROUNDUP((L$1)/10,0)*10,[1]Hugst!$R$4:$W$4,0))))</f>
        <v>0</v>
      </c>
      <c r="M33">
        <f>IF($C33-M$1&lt;År1,0,L32*(1-VLOOKUP($A33,[1]Hugst!$R$5:$W$9,MATCH(ROUNDUP((M$1)/10,0)*10,[1]Hugst!$R$4:$W$4,0))))</f>
        <v>0</v>
      </c>
      <c r="N33">
        <f>IF($C33-N$1&lt;År1,0,M32*(1-VLOOKUP($A33,[1]Hugst!$R$5:$W$9,MATCH(ROUNDUP((N$1)/10,0)*10,[1]Hugst!$R$4:$W$4,0))))</f>
        <v>0</v>
      </c>
      <c r="O33">
        <f>IF($C33-O$1&lt;År1,0,N32*(1-VLOOKUP($A33,[1]Hugst!$R$5:$W$9,MATCH(ROUNDUP((O$1)/10,0)*10,[1]Hugst!$R$4:$W$4,0))))</f>
        <v>0</v>
      </c>
      <c r="P33">
        <f>IF($C33-P$1&lt;År1,0,O32*(1-VLOOKUP($A33,[1]Hugst!$R$5:$W$9,MATCH(ROUNDUP((P$1)/10,0)*10,[1]Hugst!$R$4:$W$4,0))))</f>
        <v>0</v>
      </c>
      <c r="Q33">
        <f>IF($C33-Q$1&lt;År1,0,P32*(1-VLOOKUP($A33,[1]Hugst!$R$5:$W$9,MATCH(ROUNDUP((Q$1)/10,0)*10,[1]Hugst!$R$4:$W$4,0))))</f>
        <v>0</v>
      </c>
      <c r="R33">
        <f>IF($C33-R$1&lt;År1,0,Q32*(1-VLOOKUP($A33,[1]Hugst!$R$5:$W$9,MATCH(ROUNDUP((R$1)/10,0)*10,[1]Hugst!$R$4:$W$4,0))))</f>
        <v>0</v>
      </c>
      <c r="S33">
        <f>IF($C33-S$1&lt;År1,0,R32*(1-VLOOKUP($A33,[1]Hugst!$R$5:$W$9,MATCH(ROUNDUP((S$1)/10,0)*10,[1]Hugst!$R$4:$W$4,0))))</f>
        <v>0</v>
      </c>
      <c r="T33">
        <f>IF($C33-T$1&lt;År1,0,S32*(1-VLOOKUP($A33,[1]Hugst!$R$5:$W$9,MATCH(ROUNDUP((T$1)/10,0)*10,[1]Hugst!$R$4:$W$4,0))))</f>
        <v>0</v>
      </c>
      <c r="U33">
        <f>IF($C33-U$1&lt;År1,0,T32*(1-VLOOKUP($A33,[1]Hugst!$R$5:$W$9,MATCH(ROUNDUP((U$1)/10,0)*10,[1]Hugst!$R$4:$W$4,0))))</f>
        <v>0</v>
      </c>
      <c r="V33">
        <f>IF($C33-V$1&lt;År1,0,U32*(1-VLOOKUP($A33,[1]Hugst!$R$5:$W$9,MATCH(ROUNDUP((V$1)/10,0)*10,[1]Hugst!$R$4:$W$4,0))))</f>
        <v>0</v>
      </c>
      <c r="W33">
        <f>IF($C33-W$1&lt;År1,0,V32*(1-VLOOKUP($A33,[1]Hugst!$R$5:$W$9,MATCH(ROUNDUP((W$1)/10,0)*10,[1]Hugst!$R$4:$W$4,0))))</f>
        <v>0</v>
      </c>
      <c r="X33">
        <f>IF($C33-X$1&lt;År1,0,W32*(1-VLOOKUP($A33,[1]Hugst!$R$5:$W$9,MATCH(ROUNDUP((X$1)/10,0)*10,[1]Hugst!$R$4:$W$4,0))))</f>
        <v>0</v>
      </c>
      <c r="Y33">
        <f>IF($C33-Y$1&lt;År1,0,X32*(1-VLOOKUP($A33,[1]Hugst!$R$5:$W$9,MATCH(ROUNDUP((Y$1)/10,0)*10,[1]Hugst!$R$4:$W$4,0))))</f>
        <v>0</v>
      </c>
      <c r="Z33">
        <f>IF($C33-Z$1&lt;År1,0,Y32*(1-VLOOKUP($A33,[1]Hugst!$R$5:$W$9,MATCH(ROUNDUP((Z$1)/10,0)*10,[1]Hugst!$R$4:$W$4,0))))</f>
        <v>0</v>
      </c>
      <c r="AA33">
        <f>IF($C33-AA$1&lt;År1,0,Z32*(1-VLOOKUP($A33,[1]Hugst!$R$5:$W$9,MATCH(ROUNDUP((AA$1)/10,0)*10,[1]Hugst!$R$4:$W$4,0))))</f>
        <v>0</v>
      </c>
      <c r="AB33">
        <f>IF($C33-AB$1&lt;År1,0,AA32*(1-VLOOKUP($A33,[1]Hugst!$R$5:$W$9,MATCH(ROUNDUP((AB$1)/10,0)*10,[1]Hugst!$R$4:$W$4,0))))</f>
        <v>0</v>
      </c>
      <c r="AC33">
        <f>IF($C33-AC$1&lt;År1,0,AB32*(1-VLOOKUP($A33,[1]Hugst!$R$5:$W$9,MATCH(ROUNDUP((AC$1)/10,0)*10,[1]Hugst!$R$4:$W$4,0))))</f>
        <v>0</v>
      </c>
      <c r="AD33">
        <f>IF($C33-AD$1&lt;År1,0,AC32*(1-VLOOKUP($A33,[1]Hugst!$R$5:$W$9,MATCH(ROUNDUP((AD$1)/10,0)*10,[1]Hugst!$R$4:$W$4,0))))</f>
        <v>0</v>
      </c>
      <c r="AE33">
        <f>IF($C33-AE$1&lt;År1,0,AD32*(1-VLOOKUP($A33,[1]Hugst!$R$5:$W$9,MATCH(ROUNDUP((AE$1)/10,0)*10,[1]Hugst!$R$4:$W$4,0))))</f>
        <v>0</v>
      </c>
      <c r="AF33">
        <f>IF($C33-AF$1&lt;År1,0,AE32*(1-VLOOKUP($A33,[1]Hugst!$R$5:$W$9,MATCH(ROUNDUP((AF$1)/10,0)*10,[1]Hugst!$R$4:$W$4,0))))</f>
        <v>0</v>
      </c>
      <c r="AG33">
        <f>IF($C33-AG$1&lt;År1,0,AF32*(1-VLOOKUP($A33,[1]Hugst!$R$5:$W$9,MATCH(ROUNDUP((AG$1)/10,0)*10,[1]Hugst!$R$4:$W$4,0))))</f>
        <v>0</v>
      </c>
      <c r="AH33">
        <f>IF($C33-AH$1&lt;År1,0,AG32*(1-VLOOKUP($A33,[1]Hugst!$R$5:$W$9,MATCH(ROUNDUP((AH$1)/10,0)*10,[1]Hugst!$R$4:$W$4,0))))</f>
        <v>0</v>
      </c>
      <c r="AI33">
        <f>IF($C33-AI$1&lt;År1,0,AH32*(1-VLOOKUP($A33,[1]Hugst!$R$5:$W$9,MATCH(ROUNDUP((AI$1)/10,0)*10,[1]Hugst!$R$4:$W$4,0))))</f>
        <v>0</v>
      </c>
      <c r="AJ33">
        <f>IF($C33-AJ$1&lt;År1,0,AI32*(1-VLOOKUP($A33,[1]Hugst!$R$5:$W$9,MATCH(ROUNDUP((AJ$1)/10,0)*10,[1]Hugst!$R$4:$W$4,0))))</f>
        <v>0</v>
      </c>
    </row>
    <row r="34" spans="1:36" x14ac:dyDescent="0.25">
      <c r="A34" t="s">
        <v>176</v>
      </c>
      <c r="B34" t="s">
        <v>24</v>
      </c>
      <c r="C34">
        <v>2021</v>
      </c>
      <c r="D34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31.677187746262643</v>
      </c>
      <c r="E34">
        <f t="shared" ca="1" si="0"/>
        <v>0</v>
      </c>
      <c r="F34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70.522430295208849</v>
      </c>
      <c r="G34">
        <f ca="1">IF($C34-G$1&lt;År1,0,F33*(1-VLOOKUP($A34,[1]Hugst!$R$5:$W$9,MATCH(ROUNDUP((G$1)/10,0)*10,[1]Hugst!$R$4:$W$4,0))))</f>
        <v>70.681612143180047</v>
      </c>
      <c r="H34">
        <f>IF($C34-H$1&lt;År1,0,G33*(1-VLOOKUP($A34,[1]Hugst!$R$5:$W$9,MATCH(ROUNDUP((H$1)/10,0)*10,[1]Hugst!$R$4:$W$4,0))))</f>
        <v>0</v>
      </c>
      <c r="I34">
        <f>IF($C34-I$1&lt;År1,0,H33*(1-VLOOKUP($A34,[1]Hugst!$R$5:$W$9,MATCH(ROUNDUP((I$1)/10,0)*10,[1]Hugst!$R$4:$W$4,0))))</f>
        <v>0</v>
      </c>
      <c r="J34">
        <f>IF($C34-J$1&lt;År1,0,I33*(1-VLOOKUP($A34,[1]Hugst!$R$5:$W$9,MATCH(ROUNDUP((J$1)/10,0)*10,[1]Hugst!$R$4:$W$4,0))))</f>
        <v>0</v>
      </c>
      <c r="K34">
        <f>IF($C34-K$1&lt;År1,0,J33*(1-VLOOKUP($A34,[1]Hugst!$R$5:$W$9,MATCH(ROUNDUP((K$1)/10,0)*10,[1]Hugst!$R$4:$W$4,0))))</f>
        <v>0</v>
      </c>
      <c r="L34">
        <f>IF($C34-L$1&lt;År1,0,K33*(1-VLOOKUP($A34,[1]Hugst!$R$5:$W$9,MATCH(ROUNDUP((L$1)/10,0)*10,[1]Hugst!$R$4:$W$4,0))))</f>
        <v>0</v>
      </c>
      <c r="M34">
        <f>IF($C34-M$1&lt;År1,0,L33*(1-VLOOKUP($A34,[1]Hugst!$R$5:$W$9,MATCH(ROUNDUP((M$1)/10,0)*10,[1]Hugst!$R$4:$W$4,0))))</f>
        <v>0</v>
      </c>
      <c r="N34">
        <f>IF($C34-N$1&lt;År1,0,M33*(1-VLOOKUP($A34,[1]Hugst!$R$5:$W$9,MATCH(ROUNDUP((N$1)/10,0)*10,[1]Hugst!$R$4:$W$4,0))))</f>
        <v>0</v>
      </c>
      <c r="O34">
        <f>IF($C34-O$1&lt;År1,0,N33*(1-VLOOKUP($A34,[1]Hugst!$R$5:$W$9,MATCH(ROUNDUP((O$1)/10,0)*10,[1]Hugst!$R$4:$W$4,0))))</f>
        <v>0</v>
      </c>
      <c r="P34">
        <f>IF($C34-P$1&lt;År1,0,O33*(1-VLOOKUP($A34,[1]Hugst!$R$5:$W$9,MATCH(ROUNDUP((P$1)/10,0)*10,[1]Hugst!$R$4:$W$4,0))))</f>
        <v>0</v>
      </c>
      <c r="Q34">
        <f>IF($C34-Q$1&lt;År1,0,P33*(1-VLOOKUP($A34,[1]Hugst!$R$5:$W$9,MATCH(ROUNDUP((Q$1)/10,0)*10,[1]Hugst!$R$4:$W$4,0))))</f>
        <v>0</v>
      </c>
      <c r="R34">
        <f>IF($C34-R$1&lt;År1,0,Q33*(1-VLOOKUP($A34,[1]Hugst!$R$5:$W$9,MATCH(ROUNDUP((R$1)/10,0)*10,[1]Hugst!$R$4:$W$4,0))))</f>
        <v>0</v>
      </c>
      <c r="S34">
        <f>IF($C34-S$1&lt;År1,0,R33*(1-VLOOKUP($A34,[1]Hugst!$R$5:$W$9,MATCH(ROUNDUP((S$1)/10,0)*10,[1]Hugst!$R$4:$W$4,0))))</f>
        <v>0</v>
      </c>
      <c r="T34">
        <f>IF($C34-T$1&lt;År1,0,S33*(1-VLOOKUP($A34,[1]Hugst!$R$5:$W$9,MATCH(ROUNDUP((T$1)/10,0)*10,[1]Hugst!$R$4:$W$4,0))))</f>
        <v>0</v>
      </c>
      <c r="U34">
        <f>IF($C34-U$1&lt;År1,0,T33*(1-VLOOKUP($A34,[1]Hugst!$R$5:$W$9,MATCH(ROUNDUP((U$1)/10,0)*10,[1]Hugst!$R$4:$W$4,0))))</f>
        <v>0</v>
      </c>
      <c r="V34">
        <f>IF($C34-V$1&lt;År1,0,U33*(1-VLOOKUP($A34,[1]Hugst!$R$5:$W$9,MATCH(ROUNDUP((V$1)/10,0)*10,[1]Hugst!$R$4:$W$4,0))))</f>
        <v>0</v>
      </c>
      <c r="W34">
        <f>IF($C34-W$1&lt;År1,0,V33*(1-VLOOKUP($A34,[1]Hugst!$R$5:$W$9,MATCH(ROUNDUP((W$1)/10,0)*10,[1]Hugst!$R$4:$W$4,0))))</f>
        <v>0</v>
      </c>
      <c r="X34">
        <f>IF($C34-X$1&lt;År1,0,W33*(1-VLOOKUP($A34,[1]Hugst!$R$5:$W$9,MATCH(ROUNDUP((X$1)/10,0)*10,[1]Hugst!$R$4:$W$4,0))))</f>
        <v>0</v>
      </c>
      <c r="Y34">
        <f>IF($C34-Y$1&lt;År1,0,X33*(1-VLOOKUP($A34,[1]Hugst!$R$5:$W$9,MATCH(ROUNDUP((Y$1)/10,0)*10,[1]Hugst!$R$4:$W$4,0))))</f>
        <v>0</v>
      </c>
      <c r="Z34">
        <f>IF($C34-Z$1&lt;År1,0,Y33*(1-VLOOKUP($A34,[1]Hugst!$R$5:$W$9,MATCH(ROUNDUP((Z$1)/10,0)*10,[1]Hugst!$R$4:$W$4,0))))</f>
        <v>0</v>
      </c>
      <c r="AA34">
        <f>IF($C34-AA$1&lt;År1,0,Z33*(1-VLOOKUP($A34,[1]Hugst!$R$5:$W$9,MATCH(ROUNDUP((AA$1)/10,0)*10,[1]Hugst!$R$4:$W$4,0))))</f>
        <v>0</v>
      </c>
      <c r="AB34">
        <f>IF($C34-AB$1&lt;År1,0,AA33*(1-VLOOKUP($A34,[1]Hugst!$R$5:$W$9,MATCH(ROUNDUP((AB$1)/10,0)*10,[1]Hugst!$R$4:$W$4,0))))</f>
        <v>0</v>
      </c>
      <c r="AC34">
        <f>IF($C34-AC$1&lt;År1,0,AB33*(1-VLOOKUP($A34,[1]Hugst!$R$5:$W$9,MATCH(ROUNDUP((AC$1)/10,0)*10,[1]Hugst!$R$4:$W$4,0))))</f>
        <v>0</v>
      </c>
      <c r="AD34">
        <f>IF($C34-AD$1&lt;År1,0,AC33*(1-VLOOKUP($A34,[1]Hugst!$R$5:$W$9,MATCH(ROUNDUP((AD$1)/10,0)*10,[1]Hugst!$R$4:$W$4,0))))</f>
        <v>0</v>
      </c>
      <c r="AE34">
        <f>IF($C34-AE$1&lt;År1,0,AD33*(1-VLOOKUP($A34,[1]Hugst!$R$5:$W$9,MATCH(ROUNDUP((AE$1)/10,0)*10,[1]Hugst!$R$4:$W$4,0))))</f>
        <v>0</v>
      </c>
      <c r="AF34">
        <f>IF($C34-AF$1&lt;År1,0,AE33*(1-VLOOKUP($A34,[1]Hugst!$R$5:$W$9,MATCH(ROUNDUP((AF$1)/10,0)*10,[1]Hugst!$R$4:$W$4,0))))</f>
        <v>0</v>
      </c>
      <c r="AG34">
        <f>IF($C34-AG$1&lt;År1,0,AF33*(1-VLOOKUP($A34,[1]Hugst!$R$5:$W$9,MATCH(ROUNDUP((AG$1)/10,0)*10,[1]Hugst!$R$4:$W$4,0))))</f>
        <v>0</v>
      </c>
      <c r="AH34">
        <f>IF($C34-AH$1&lt;År1,0,AG33*(1-VLOOKUP($A34,[1]Hugst!$R$5:$W$9,MATCH(ROUNDUP((AH$1)/10,0)*10,[1]Hugst!$R$4:$W$4,0))))</f>
        <v>0</v>
      </c>
      <c r="AI34">
        <f>IF($C34-AI$1&lt;År1,0,AH33*(1-VLOOKUP($A34,[1]Hugst!$R$5:$W$9,MATCH(ROUNDUP((AI$1)/10,0)*10,[1]Hugst!$R$4:$W$4,0))))</f>
        <v>0</v>
      </c>
      <c r="AJ34">
        <f>IF($C34-AJ$1&lt;År1,0,AI33*(1-VLOOKUP($A34,[1]Hugst!$R$5:$W$9,MATCH(ROUNDUP((AJ$1)/10,0)*10,[1]Hugst!$R$4:$W$4,0))))</f>
        <v>0</v>
      </c>
    </row>
    <row r="35" spans="1:36" x14ac:dyDescent="0.25">
      <c r="A35" t="s">
        <v>176</v>
      </c>
      <c r="B35" t="s">
        <v>24</v>
      </c>
      <c r="C35">
        <v>2022</v>
      </c>
      <c r="D35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31.518801807531425</v>
      </c>
      <c r="E35">
        <f t="shared" ca="1" si="0"/>
        <v>0</v>
      </c>
      <c r="F35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70.364044356477635</v>
      </c>
      <c r="G35">
        <f ca="1">IF($C35-G$1&lt;År1,0,F34*(1-VLOOKUP($A35,[1]Hugst!$R$5:$W$9,MATCH(ROUNDUP((G$1)/10,0)*10,[1]Hugst!$R$4:$W$4,0))))</f>
        <v>70.522430295208849</v>
      </c>
      <c r="H35">
        <f ca="1">IF($C35-H$1&lt;År1,0,G34*(1-VLOOKUP($A35,[1]Hugst!$R$5:$W$9,MATCH(ROUNDUP((H$1)/10,0)*10,[1]Hugst!$R$4:$W$4,0))))</f>
        <v>70.681612143180047</v>
      </c>
      <c r="I35">
        <f>IF($C35-I$1&lt;År1,0,H34*(1-VLOOKUP($A35,[1]Hugst!$R$5:$W$9,MATCH(ROUNDUP((I$1)/10,0)*10,[1]Hugst!$R$4:$W$4,0))))</f>
        <v>0</v>
      </c>
      <c r="J35">
        <f>IF($C35-J$1&lt;År1,0,I34*(1-VLOOKUP($A35,[1]Hugst!$R$5:$W$9,MATCH(ROUNDUP((J$1)/10,0)*10,[1]Hugst!$R$4:$W$4,0))))</f>
        <v>0</v>
      </c>
      <c r="K35">
        <f>IF($C35-K$1&lt;År1,0,J34*(1-VLOOKUP($A35,[1]Hugst!$R$5:$W$9,MATCH(ROUNDUP((K$1)/10,0)*10,[1]Hugst!$R$4:$W$4,0))))</f>
        <v>0</v>
      </c>
      <c r="L35">
        <f>IF($C35-L$1&lt;År1,0,K34*(1-VLOOKUP($A35,[1]Hugst!$R$5:$W$9,MATCH(ROUNDUP((L$1)/10,0)*10,[1]Hugst!$R$4:$W$4,0))))</f>
        <v>0</v>
      </c>
      <c r="M35">
        <f>IF($C35-M$1&lt;År1,0,L34*(1-VLOOKUP($A35,[1]Hugst!$R$5:$W$9,MATCH(ROUNDUP((M$1)/10,0)*10,[1]Hugst!$R$4:$W$4,0))))</f>
        <v>0</v>
      </c>
      <c r="N35">
        <f>IF($C35-N$1&lt;År1,0,M34*(1-VLOOKUP($A35,[1]Hugst!$R$5:$W$9,MATCH(ROUNDUP((N$1)/10,0)*10,[1]Hugst!$R$4:$W$4,0))))</f>
        <v>0</v>
      </c>
      <c r="O35">
        <f>IF($C35-O$1&lt;År1,0,N34*(1-VLOOKUP($A35,[1]Hugst!$R$5:$W$9,MATCH(ROUNDUP((O$1)/10,0)*10,[1]Hugst!$R$4:$W$4,0))))</f>
        <v>0</v>
      </c>
      <c r="P35">
        <f>IF($C35-P$1&lt;År1,0,O34*(1-VLOOKUP($A35,[1]Hugst!$R$5:$W$9,MATCH(ROUNDUP((P$1)/10,0)*10,[1]Hugst!$R$4:$W$4,0))))</f>
        <v>0</v>
      </c>
      <c r="Q35">
        <f>IF($C35-Q$1&lt;År1,0,P34*(1-VLOOKUP($A35,[1]Hugst!$R$5:$W$9,MATCH(ROUNDUP((Q$1)/10,0)*10,[1]Hugst!$R$4:$W$4,0))))</f>
        <v>0</v>
      </c>
      <c r="R35">
        <f>IF($C35-R$1&lt;År1,0,Q34*(1-VLOOKUP($A35,[1]Hugst!$R$5:$W$9,MATCH(ROUNDUP((R$1)/10,0)*10,[1]Hugst!$R$4:$W$4,0))))</f>
        <v>0</v>
      </c>
      <c r="S35">
        <f>IF($C35-S$1&lt;År1,0,R34*(1-VLOOKUP($A35,[1]Hugst!$R$5:$W$9,MATCH(ROUNDUP((S$1)/10,0)*10,[1]Hugst!$R$4:$W$4,0))))</f>
        <v>0</v>
      </c>
      <c r="T35">
        <f>IF($C35-T$1&lt;År1,0,S34*(1-VLOOKUP($A35,[1]Hugst!$R$5:$W$9,MATCH(ROUNDUP((T$1)/10,0)*10,[1]Hugst!$R$4:$W$4,0))))</f>
        <v>0</v>
      </c>
      <c r="U35">
        <f>IF($C35-U$1&lt;År1,0,T34*(1-VLOOKUP($A35,[1]Hugst!$R$5:$W$9,MATCH(ROUNDUP((U$1)/10,0)*10,[1]Hugst!$R$4:$W$4,0))))</f>
        <v>0</v>
      </c>
      <c r="V35">
        <f>IF($C35-V$1&lt;År1,0,U34*(1-VLOOKUP($A35,[1]Hugst!$R$5:$W$9,MATCH(ROUNDUP((V$1)/10,0)*10,[1]Hugst!$R$4:$W$4,0))))</f>
        <v>0</v>
      </c>
      <c r="W35">
        <f>IF($C35-W$1&lt;År1,0,V34*(1-VLOOKUP($A35,[1]Hugst!$R$5:$W$9,MATCH(ROUNDUP((W$1)/10,0)*10,[1]Hugst!$R$4:$W$4,0))))</f>
        <v>0</v>
      </c>
      <c r="X35">
        <f>IF($C35-X$1&lt;År1,0,W34*(1-VLOOKUP($A35,[1]Hugst!$R$5:$W$9,MATCH(ROUNDUP((X$1)/10,0)*10,[1]Hugst!$R$4:$W$4,0))))</f>
        <v>0</v>
      </c>
      <c r="Y35">
        <f>IF($C35-Y$1&lt;År1,0,X34*(1-VLOOKUP($A35,[1]Hugst!$R$5:$W$9,MATCH(ROUNDUP((Y$1)/10,0)*10,[1]Hugst!$R$4:$W$4,0))))</f>
        <v>0</v>
      </c>
      <c r="Z35">
        <f>IF($C35-Z$1&lt;År1,0,Y34*(1-VLOOKUP($A35,[1]Hugst!$R$5:$W$9,MATCH(ROUNDUP((Z$1)/10,0)*10,[1]Hugst!$R$4:$W$4,0))))</f>
        <v>0</v>
      </c>
      <c r="AA35">
        <f>IF($C35-AA$1&lt;År1,0,Z34*(1-VLOOKUP($A35,[1]Hugst!$R$5:$W$9,MATCH(ROUNDUP((AA$1)/10,0)*10,[1]Hugst!$R$4:$W$4,0))))</f>
        <v>0</v>
      </c>
      <c r="AB35">
        <f>IF($C35-AB$1&lt;År1,0,AA34*(1-VLOOKUP($A35,[1]Hugst!$R$5:$W$9,MATCH(ROUNDUP((AB$1)/10,0)*10,[1]Hugst!$R$4:$W$4,0))))</f>
        <v>0</v>
      </c>
      <c r="AC35">
        <f>IF($C35-AC$1&lt;År1,0,AB34*(1-VLOOKUP($A35,[1]Hugst!$R$5:$W$9,MATCH(ROUNDUP((AC$1)/10,0)*10,[1]Hugst!$R$4:$W$4,0))))</f>
        <v>0</v>
      </c>
      <c r="AD35">
        <f>IF($C35-AD$1&lt;År1,0,AC34*(1-VLOOKUP($A35,[1]Hugst!$R$5:$W$9,MATCH(ROUNDUP((AD$1)/10,0)*10,[1]Hugst!$R$4:$W$4,0))))</f>
        <v>0</v>
      </c>
      <c r="AE35">
        <f>IF($C35-AE$1&lt;År1,0,AD34*(1-VLOOKUP($A35,[1]Hugst!$R$5:$W$9,MATCH(ROUNDUP((AE$1)/10,0)*10,[1]Hugst!$R$4:$W$4,0))))</f>
        <v>0</v>
      </c>
      <c r="AF35">
        <f>IF($C35-AF$1&lt;År1,0,AE34*(1-VLOOKUP($A35,[1]Hugst!$R$5:$W$9,MATCH(ROUNDUP((AF$1)/10,0)*10,[1]Hugst!$R$4:$W$4,0))))</f>
        <v>0</v>
      </c>
      <c r="AG35">
        <f>IF($C35-AG$1&lt;År1,0,AF34*(1-VLOOKUP($A35,[1]Hugst!$R$5:$W$9,MATCH(ROUNDUP((AG$1)/10,0)*10,[1]Hugst!$R$4:$W$4,0))))</f>
        <v>0</v>
      </c>
      <c r="AH35">
        <f>IF($C35-AH$1&lt;År1,0,AG34*(1-VLOOKUP($A35,[1]Hugst!$R$5:$W$9,MATCH(ROUNDUP((AH$1)/10,0)*10,[1]Hugst!$R$4:$W$4,0))))</f>
        <v>0</v>
      </c>
      <c r="AI35">
        <f>IF($C35-AI$1&lt;År1,0,AH34*(1-VLOOKUP($A35,[1]Hugst!$R$5:$W$9,MATCH(ROUNDUP((AI$1)/10,0)*10,[1]Hugst!$R$4:$W$4,0))))</f>
        <v>0</v>
      </c>
      <c r="AJ35">
        <f>IF($C35-AJ$1&lt;År1,0,AI34*(1-VLOOKUP($A35,[1]Hugst!$R$5:$W$9,MATCH(ROUNDUP((AJ$1)/10,0)*10,[1]Hugst!$R$4:$W$4,0))))</f>
        <v>0</v>
      </c>
    </row>
    <row r="36" spans="1:36" x14ac:dyDescent="0.25">
      <c r="A36" t="s">
        <v>176</v>
      </c>
      <c r="B36" t="s">
        <v>24</v>
      </c>
      <c r="C36">
        <v>2023</v>
      </c>
      <c r="D36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31.36120779849297</v>
      </c>
      <c r="E36">
        <f t="shared" ca="1" si="0"/>
        <v>0</v>
      </c>
      <c r="F36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70.206450347439187</v>
      </c>
      <c r="G36">
        <f ca="1">IF($C36-G$1&lt;År1,0,F35*(1-VLOOKUP($A36,[1]Hugst!$R$5:$W$9,MATCH(ROUNDUP((G$1)/10,0)*10,[1]Hugst!$R$4:$W$4,0))))</f>
        <v>70.364044356477635</v>
      </c>
      <c r="H36">
        <f ca="1">IF($C36-H$1&lt;År1,0,G35*(1-VLOOKUP($A36,[1]Hugst!$R$5:$W$9,MATCH(ROUNDUP((H$1)/10,0)*10,[1]Hugst!$R$4:$W$4,0))))</f>
        <v>70.522430295208849</v>
      </c>
      <c r="I36">
        <f ca="1">IF($C36-I$1&lt;År1,0,H35*(1-VLOOKUP($A36,[1]Hugst!$R$5:$W$9,MATCH(ROUNDUP((I$1)/10,0)*10,[1]Hugst!$R$4:$W$4,0))))</f>
        <v>70.681612143180047</v>
      </c>
      <c r="J36">
        <f>IF($C36-J$1&lt;År1,0,I35*(1-VLOOKUP($A36,[1]Hugst!$R$5:$W$9,MATCH(ROUNDUP((J$1)/10,0)*10,[1]Hugst!$R$4:$W$4,0))))</f>
        <v>0</v>
      </c>
      <c r="K36">
        <f>IF($C36-K$1&lt;År1,0,J35*(1-VLOOKUP($A36,[1]Hugst!$R$5:$W$9,MATCH(ROUNDUP((K$1)/10,0)*10,[1]Hugst!$R$4:$W$4,0))))</f>
        <v>0</v>
      </c>
      <c r="L36">
        <f>IF($C36-L$1&lt;År1,0,K35*(1-VLOOKUP($A36,[1]Hugst!$R$5:$W$9,MATCH(ROUNDUP((L$1)/10,0)*10,[1]Hugst!$R$4:$W$4,0))))</f>
        <v>0</v>
      </c>
      <c r="M36">
        <f>IF($C36-M$1&lt;År1,0,L35*(1-VLOOKUP($A36,[1]Hugst!$R$5:$W$9,MATCH(ROUNDUP((M$1)/10,0)*10,[1]Hugst!$R$4:$W$4,0))))</f>
        <v>0</v>
      </c>
      <c r="N36">
        <f>IF($C36-N$1&lt;År1,0,M35*(1-VLOOKUP($A36,[1]Hugst!$R$5:$W$9,MATCH(ROUNDUP((N$1)/10,0)*10,[1]Hugst!$R$4:$W$4,0))))</f>
        <v>0</v>
      </c>
      <c r="O36">
        <f>IF($C36-O$1&lt;År1,0,N35*(1-VLOOKUP($A36,[1]Hugst!$R$5:$W$9,MATCH(ROUNDUP((O$1)/10,0)*10,[1]Hugst!$R$4:$W$4,0))))</f>
        <v>0</v>
      </c>
      <c r="P36">
        <f>IF($C36-P$1&lt;År1,0,O35*(1-VLOOKUP($A36,[1]Hugst!$R$5:$W$9,MATCH(ROUNDUP((P$1)/10,0)*10,[1]Hugst!$R$4:$W$4,0))))</f>
        <v>0</v>
      </c>
      <c r="Q36">
        <f>IF($C36-Q$1&lt;År1,0,P35*(1-VLOOKUP($A36,[1]Hugst!$R$5:$W$9,MATCH(ROUNDUP((Q$1)/10,0)*10,[1]Hugst!$R$4:$W$4,0))))</f>
        <v>0</v>
      </c>
      <c r="R36">
        <f>IF($C36-R$1&lt;År1,0,Q35*(1-VLOOKUP($A36,[1]Hugst!$R$5:$W$9,MATCH(ROUNDUP((R$1)/10,0)*10,[1]Hugst!$R$4:$W$4,0))))</f>
        <v>0</v>
      </c>
      <c r="S36">
        <f>IF($C36-S$1&lt;År1,0,R35*(1-VLOOKUP($A36,[1]Hugst!$R$5:$W$9,MATCH(ROUNDUP((S$1)/10,0)*10,[1]Hugst!$R$4:$W$4,0))))</f>
        <v>0</v>
      </c>
      <c r="T36">
        <f>IF($C36-T$1&lt;År1,0,S35*(1-VLOOKUP($A36,[1]Hugst!$R$5:$W$9,MATCH(ROUNDUP((T$1)/10,0)*10,[1]Hugst!$R$4:$W$4,0))))</f>
        <v>0</v>
      </c>
      <c r="U36">
        <f>IF($C36-U$1&lt;År1,0,T35*(1-VLOOKUP($A36,[1]Hugst!$R$5:$W$9,MATCH(ROUNDUP((U$1)/10,0)*10,[1]Hugst!$R$4:$W$4,0))))</f>
        <v>0</v>
      </c>
      <c r="V36">
        <f>IF($C36-V$1&lt;År1,0,U35*(1-VLOOKUP($A36,[1]Hugst!$R$5:$W$9,MATCH(ROUNDUP((V$1)/10,0)*10,[1]Hugst!$R$4:$W$4,0))))</f>
        <v>0</v>
      </c>
      <c r="W36">
        <f>IF($C36-W$1&lt;År1,0,V35*(1-VLOOKUP($A36,[1]Hugst!$R$5:$W$9,MATCH(ROUNDUP((W$1)/10,0)*10,[1]Hugst!$R$4:$W$4,0))))</f>
        <v>0</v>
      </c>
      <c r="X36">
        <f>IF($C36-X$1&lt;År1,0,W35*(1-VLOOKUP($A36,[1]Hugst!$R$5:$W$9,MATCH(ROUNDUP((X$1)/10,0)*10,[1]Hugst!$R$4:$W$4,0))))</f>
        <v>0</v>
      </c>
      <c r="Y36">
        <f>IF($C36-Y$1&lt;År1,0,X35*(1-VLOOKUP($A36,[1]Hugst!$R$5:$W$9,MATCH(ROUNDUP((Y$1)/10,0)*10,[1]Hugst!$R$4:$W$4,0))))</f>
        <v>0</v>
      </c>
      <c r="Z36">
        <f>IF($C36-Z$1&lt;År1,0,Y35*(1-VLOOKUP($A36,[1]Hugst!$R$5:$W$9,MATCH(ROUNDUP((Z$1)/10,0)*10,[1]Hugst!$R$4:$W$4,0))))</f>
        <v>0</v>
      </c>
      <c r="AA36">
        <f>IF($C36-AA$1&lt;År1,0,Z35*(1-VLOOKUP($A36,[1]Hugst!$R$5:$W$9,MATCH(ROUNDUP((AA$1)/10,0)*10,[1]Hugst!$R$4:$W$4,0))))</f>
        <v>0</v>
      </c>
      <c r="AB36">
        <f>IF($C36-AB$1&lt;År1,0,AA35*(1-VLOOKUP($A36,[1]Hugst!$R$5:$W$9,MATCH(ROUNDUP((AB$1)/10,0)*10,[1]Hugst!$R$4:$W$4,0))))</f>
        <v>0</v>
      </c>
      <c r="AC36">
        <f>IF($C36-AC$1&lt;År1,0,AB35*(1-VLOOKUP($A36,[1]Hugst!$R$5:$W$9,MATCH(ROUNDUP((AC$1)/10,0)*10,[1]Hugst!$R$4:$W$4,0))))</f>
        <v>0</v>
      </c>
      <c r="AD36">
        <f>IF($C36-AD$1&lt;År1,0,AC35*(1-VLOOKUP($A36,[1]Hugst!$R$5:$W$9,MATCH(ROUNDUP((AD$1)/10,0)*10,[1]Hugst!$R$4:$W$4,0))))</f>
        <v>0</v>
      </c>
      <c r="AE36">
        <f>IF($C36-AE$1&lt;År1,0,AD35*(1-VLOOKUP($A36,[1]Hugst!$R$5:$W$9,MATCH(ROUNDUP((AE$1)/10,0)*10,[1]Hugst!$R$4:$W$4,0))))</f>
        <v>0</v>
      </c>
      <c r="AF36">
        <f>IF($C36-AF$1&lt;År1,0,AE35*(1-VLOOKUP($A36,[1]Hugst!$R$5:$W$9,MATCH(ROUNDUP((AF$1)/10,0)*10,[1]Hugst!$R$4:$W$4,0))))</f>
        <v>0</v>
      </c>
      <c r="AG36">
        <f>IF($C36-AG$1&lt;År1,0,AF35*(1-VLOOKUP($A36,[1]Hugst!$R$5:$W$9,MATCH(ROUNDUP((AG$1)/10,0)*10,[1]Hugst!$R$4:$W$4,0))))</f>
        <v>0</v>
      </c>
      <c r="AH36">
        <f>IF($C36-AH$1&lt;År1,0,AG35*(1-VLOOKUP($A36,[1]Hugst!$R$5:$W$9,MATCH(ROUNDUP((AH$1)/10,0)*10,[1]Hugst!$R$4:$W$4,0))))</f>
        <v>0</v>
      </c>
      <c r="AI36">
        <f>IF($C36-AI$1&lt;År1,0,AH35*(1-VLOOKUP($A36,[1]Hugst!$R$5:$W$9,MATCH(ROUNDUP((AI$1)/10,0)*10,[1]Hugst!$R$4:$W$4,0))))</f>
        <v>0</v>
      </c>
      <c r="AJ36">
        <f>IF($C36-AJ$1&lt;År1,0,AI35*(1-VLOOKUP($A36,[1]Hugst!$R$5:$W$9,MATCH(ROUNDUP((AJ$1)/10,0)*10,[1]Hugst!$R$4:$W$4,0))))</f>
        <v>0</v>
      </c>
    </row>
    <row r="37" spans="1:36" x14ac:dyDescent="0.25">
      <c r="A37" t="s">
        <v>176</v>
      </c>
      <c r="B37" t="s">
        <v>24</v>
      </c>
      <c r="C37">
        <v>2024</v>
      </c>
      <c r="D37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31.204401759501366</v>
      </c>
      <c r="E37">
        <f t="shared" ca="1" si="0"/>
        <v>0</v>
      </c>
      <c r="F37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70.049644308447569</v>
      </c>
      <c r="G37">
        <f ca="1">IF($C37-G$1&lt;År1,0,F36*(1-VLOOKUP($A37,[1]Hugst!$R$5:$W$9,MATCH(ROUNDUP((G$1)/10,0)*10,[1]Hugst!$R$4:$W$4,0))))</f>
        <v>70.206450347439187</v>
      </c>
      <c r="H37">
        <f ca="1">IF($C37-H$1&lt;År1,0,G36*(1-VLOOKUP($A37,[1]Hugst!$R$5:$W$9,MATCH(ROUNDUP((H$1)/10,0)*10,[1]Hugst!$R$4:$W$4,0))))</f>
        <v>70.364044356477635</v>
      </c>
      <c r="I37">
        <f ca="1">IF($C37-I$1&lt;År1,0,H36*(1-VLOOKUP($A37,[1]Hugst!$R$5:$W$9,MATCH(ROUNDUP((I$1)/10,0)*10,[1]Hugst!$R$4:$W$4,0))))</f>
        <v>70.522430295208849</v>
      </c>
      <c r="J37">
        <f ca="1">IF($C37-J$1&lt;År1,0,I36*(1-VLOOKUP($A37,[1]Hugst!$R$5:$W$9,MATCH(ROUNDUP((J$1)/10,0)*10,[1]Hugst!$R$4:$W$4,0))))</f>
        <v>70.681612143180047</v>
      </c>
      <c r="K37">
        <f>IF($C37-K$1&lt;År1,0,J36*(1-VLOOKUP($A37,[1]Hugst!$R$5:$W$9,MATCH(ROUNDUP((K$1)/10,0)*10,[1]Hugst!$R$4:$W$4,0))))</f>
        <v>0</v>
      </c>
      <c r="L37">
        <f>IF($C37-L$1&lt;År1,0,K36*(1-VLOOKUP($A37,[1]Hugst!$R$5:$W$9,MATCH(ROUNDUP((L$1)/10,0)*10,[1]Hugst!$R$4:$W$4,0))))</f>
        <v>0</v>
      </c>
      <c r="M37">
        <f>IF($C37-M$1&lt;År1,0,L36*(1-VLOOKUP($A37,[1]Hugst!$R$5:$W$9,MATCH(ROUNDUP((M$1)/10,0)*10,[1]Hugst!$R$4:$W$4,0))))</f>
        <v>0</v>
      </c>
      <c r="N37">
        <f>IF($C37-N$1&lt;År1,0,M36*(1-VLOOKUP($A37,[1]Hugst!$R$5:$W$9,MATCH(ROUNDUP((N$1)/10,0)*10,[1]Hugst!$R$4:$W$4,0))))</f>
        <v>0</v>
      </c>
      <c r="O37">
        <f>IF($C37-O$1&lt;År1,0,N36*(1-VLOOKUP($A37,[1]Hugst!$R$5:$W$9,MATCH(ROUNDUP((O$1)/10,0)*10,[1]Hugst!$R$4:$W$4,0))))</f>
        <v>0</v>
      </c>
      <c r="P37">
        <f>IF($C37-P$1&lt;År1,0,O36*(1-VLOOKUP($A37,[1]Hugst!$R$5:$W$9,MATCH(ROUNDUP((P$1)/10,0)*10,[1]Hugst!$R$4:$W$4,0))))</f>
        <v>0</v>
      </c>
      <c r="Q37">
        <f>IF($C37-Q$1&lt;År1,0,P36*(1-VLOOKUP($A37,[1]Hugst!$R$5:$W$9,MATCH(ROUNDUP((Q$1)/10,0)*10,[1]Hugst!$R$4:$W$4,0))))</f>
        <v>0</v>
      </c>
      <c r="R37">
        <f>IF($C37-R$1&lt;År1,0,Q36*(1-VLOOKUP($A37,[1]Hugst!$R$5:$W$9,MATCH(ROUNDUP((R$1)/10,0)*10,[1]Hugst!$R$4:$W$4,0))))</f>
        <v>0</v>
      </c>
      <c r="S37">
        <f>IF($C37-S$1&lt;År1,0,R36*(1-VLOOKUP($A37,[1]Hugst!$R$5:$W$9,MATCH(ROUNDUP((S$1)/10,0)*10,[1]Hugst!$R$4:$W$4,0))))</f>
        <v>0</v>
      </c>
      <c r="T37">
        <f>IF($C37-T$1&lt;År1,0,S36*(1-VLOOKUP($A37,[1]Hugst!$R$5:$W$9,MATCH(ROUNDUP((T$1)/10,0)*10,[1]Hugst!$R$4:$W$4,0))))</f>
        <v>0</v>
      </c>
      <c r="U37">
        <f>IF($C37-U$1&lt;År1,0,T36*(1-VLOOKUP($A37,[1]Hugst!$R$5:$W$9,MATCH(ROUNDUP((U$1)/10,0)*10,[1]Hugst!$R$4:$W$4,0))))</f>
        <v>0</v>
      </c>
      <c r="V37">
        <f>IF($C37-V$1&lt;År1,0,U36*(1-VLOOKUP($A37,[1]Hugst!$R$5:$W$9,MATCH(ROUNDUP((V$1)/10,0)*10,[1]Hugst!$R$4:$W$4,0))))</f>
        <v>0</v>
      </c>
      <c r="W37">
        <f>IF($C37-W$1&lt;År1,0,V36*(1-VLOOKUP($A37,[1]Hugst!$R$5:$W$9,MATCH(ROUNDUP((W$1)/10,0)*10,[1]Hugst!$R$4:$W$4,0))))</f>
        <v>0</v>
      </c>
      <c r="X37">
        <f>IF($C37-X$1&lt;År1,0,W36*(1-VLOOKUP($A37,[1]Hugst!$R$5:$W$9,MATCH(ROUNDUP((X$1)/10,0)*10,[1]Hugst!$R$4:$W$4,0))))</f>
        <v>0</v>
      </c>
      <c r="Y37">
        <f>IF($C37-Y$1&lt;År1,0,X36*(1-VLOOKUP($A37,[1]Hugst!$R$5:$W$9,MATCH(ROUNDUP((Y$1)/10,0)*10,[1]Hugst!$R$4:$W$4,0))))</f>
        <v>0</v>
      </c>
      <c r="Z37">
        <f>IF($C37-Z$1&lt;År1,0,Y36*(1-VLOOKUP($A37,[1]Hugst!$R$5:$W$9,MATCH(ROUNDUP((Z$1)/10,0)*10,[1]Hugst!$R$4:$W$4,0))))</f>
        <v>0</v>
      </c>
      <c r="AA37">
        <f>IF($C37-AA$1&lt;År1,0,Z36*(1-VLOOKUP($A37,[1]Hugst!$R$5:$W$9,MATCH(ROUNDUP((AA$1)/10,0)*10,[1]Hugst!$R$4:$W$4,0))))</f>
        <v>0</v>
      </c>
      <c r="AB37">
        <f>IF($C37-AB$1&lt;År1,0,AA36*(1-VLOOKUP($A37,[1]Hugst!$R$5:$W$9,MATCH(ROUNDUP((AB$1)/10,0)*10,[1]Hugst!$R$4:$W$4,0))))</f>
        <v>0</v>
      </c>
      <c r="AC37">
        <f>IF($C37-AC$1&lt;År1,0,AB36*(1-VLOOKUP($A37,[1]Hugst!$R$5:$W$9,MATCH(ROUNDUP((AC$1)/10,0)*10,[1]Hugst!$R$4:$W$4,0))))</f>
        <v>0</v>
      </c>
      <c r="AD37">
        <f>IF($C37-AD$1&lt;År1,0,AC36*(1-VLOOKUP($A37,[1]Hugst!$R$5:$W$9,MATCH(ROUNDUP((AD$1)/10,0)*10,[1]Hugst!$R$4:$W$4,0))))</f>
        <v>0</v>
      </c>
      <c r="AE37">
        <f>IF($C37-AE$1&lt;År1,0,AD36*(1-VLOOKUP($A37,[1]Hugst!$R$5:$W$9,MATCH(ROUNDUP((AE$1)/10,0)*10,[1]Hugst!$R$4:$W$4,0))))</f>
        <v>0</v>
      </c>
      <c r="AF37">
        <f>IF($C37-AF$1&lt;År1,0,AE36*(1-VLOOKUP($A37,[1]Hugst!$R$5:$W$9,MATCH(ROUNDUP((AF$1)/10,0)*10,[1]Hugst!$R$4:$W$4,0))))</f>
        <v>0</v>
      </c>
      <c r="AG37">
        <f>IF($C37-AG$1&lt;År1,0,AF36*(1-VLOOKUP($A37,[1]Hugst!$R$5:$W$9,MATCH(ROUNDUP((AG$1)/10,0)*10,[1]Hugst!$R$4:$W$4,0))))</f>
        <v>0</v>
      </c>
      <c r="AH37">
        <f>IF($C37-AH$1&lt;År1,0,AG36*(1-VLOOKUP($A37,[1]Hugst!$R$5:$W$9,MATCH(ROUNDUP((AH$1)/10,0)*10,[1]Hugst!$R$4:$W$4,0))))</f>
        <v>0</v>
      </c>
      <c r="AI37">
        <f>IF($C37-AI$1&lt;År1,0,AH36*(1-VLOOKUP($A37,[1]Hugst!$R$5:$W$9,MATCH(ROUNDUP((AI$1)/10,0)*10,[1]Hugst!$R$4:$W$4,0))))</f>
        <v>0</v>
      </c>
      <c r="AJ37">
        <f>IF($C37-AJ$1&lt;År1,0,AI36*(1-VLOOKUP($A37,[1]Hugst!$R$5:$W$9,MATCH(ROUNDUP((AJ$1)/10,0)*10,[1]Hugst!$R$4:$W$4,0))))</f>
        <v>0</v>
      </c>
    </row>
    <row r="38" spans="1:36" x14ac:dyDescent="0.25">
      <c r="A38" t="s">
        <v>176</v>
      </c>
      <c r="B38" t="s">
        <v>24</v>
      </c>
      <c r="C38">
        <v>2025</v>
      </c>
      <c r="D3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31.048379750703305</v>
      </c>
      <c r="E38">
        <f t="shared" ca="1" si="0"/>
        <v>0</v>
      </c>
      <c r="F3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69.893622299649508</v>
      </c>
      <c r="G38">
        <f ca="1">IF($C38-G$1&lt;År1,0,F37*(1-VLOOKUP($A38,[1]Hugst!$R$5:$W$9,MATCH(ROUNDUP((G$1)/10,0)*10,[1]Hugst!$R$4:$W$4,0))))</f>
        <v>70.049644308447569</v>
      </c>
      <c r="H38">
        <f ca="1">IF($C38-H$1&lt;År1,0,G37*(1-VLOOKUP($A38,[1]Hugst!$R$5:$W$9,MATCH(ROUNDUP((H$1)/10,0)*10,[1]Hugst!$R$4:$W$4,0))))</f>
        <v>70.206450347439187</v>
      </c>
      <c r="I38">
        <f ca="1">IF($C38-I$1&lt;År1,0,H37*(1-VLOOKUP($A38,[1]Hugst!$R$5:$W$9,MATCH(ROUNDUP((I$1)/10,0)*10,[1]Hugst!$R$4:$W$4,0))))</f>
        <v>70.364044356477635</v>
      </c>
      <c r="J38">
        <f ca="1">IF($C38-J$1&lt;År1,0,I37*(1-VLOOKUP($A38,[1]Hugst!$R$5:$W$9,MATCH(ROUNDUP((J$1)/10,0)*10,[1]Hugst!$R$4:$W$4,0))))</f>
        <v>70.522430295208849</v>
      </c>
      <c r="K38">
        <f ca="1">IF($C38-K$1&lt;År1,0,J37*(1-VLOOKUP($A38,[1]Hugst!$R$5:$W$9,MATCH(ROUNDUP((K$1)/10,0)*10,[1]Hugst!$R$4:$W$4,0))))</f>
        <v>70.681612143180047</v>
      </c>
      <c r="L38">
        <f>IF($C38-L$1&lt;År1,0,K37*(1-VLOOKUP($A38,[1]Hugst!$R$5:$W$9,MATCH(ROUNDUP((L$1)/10,0)*10,[1]Hugst!$R$4:$W$4,0))))</f>
        <v>0</v>
      </c>
      <c r="M38">
        <f>IF($C38-M$1&lt;År1,0,L37*(1-VLOOKUP($A38,[1]Hugst!$R$5:$W$9,MATCH(ROUNDUP((M$1)/10,0)*10,[1]Hugst!$R$4:$W$4,0))))</f>
        <v>0</v>
      </c>
      <c r="N38">
        <f>IF($C38-N$1&lt;År1,0,M37*(1-VLOOKUP($A38,[1]Hugst!$R$5:$W$9,MATCH(ROUNDUP((N$1)/10,0)*10,[1]Hugst!$R$4:$W$4,0))))</f>
        <v>0</v>
      </c>
      <c r="O38">
        <f>IF($C38-O$1&lt;År1,0,N37*(1-VLOOKUP($A38,[1]Hugst!$R$5:$W$9,MATCH(ROUNDUP((O$1)/10,0)*10,[1]Hugst!$R$4:$W$4,0))))</f>
        <v>0</v>
      </c>
      <c r="P38">
        <f>IF($C38-P$1&lt;År1,0,O37*(1-VLOOKUP($A38,[1]Hugst!$R$5:$W$9,MATCH(ROUNDUP((P$1)/10,0)*10,[1]Hugst!$R$4:$W$4,0))))</f>
        <v>0</v>
      </c>
      <c r="Q38">
        <f>IF($C38-Q$1&lt;År1,0,P37*(1-VLOOKUP($A38,[1]Hugst!$R$5:$W$9,MATCH(ROUNDUP((Q$1)/10,0)*10,[1]Hugst!$R$4:$W$4,0))))</f>
        <v>0</v>
      </c>
      <c r="R38">
        <f>IF($C38-R$1&lt;År1,0,Q37*(1-VLOOKUP($A38,[1]Hugst!$R$5:$W$9,MATCH(ROUNDUP((R$1)/10,0)*10,[1]Hugst!$R$4:$W$4,0))))</f>
        <v>0</v>
      </c>
      <c r="S38">
        <f>IF($C38-S$1&lt;År1,0,R37*(1-VLOOKUP($A38,[1]Hugst!$R$5:$W$9,MATCH(ROUNDUP((S$1)/10,0)*10,[1]Hugst!$R$4:$W$4,0))))</f>
        <v>0</v>
      </c>
      <c r="T38">
        <f>IF($C38-T$1&lt;År1,0,S37*(1-VLOOKUP($A38,[1]Hugst!$R$5:$W$9,MATCH(ROUNDUP((T$1)/10,0)*10,[1]Hugst!$R$4:$W$4,0))))</f>
        <v>0</v>
      </c>
      <c r="U38">
        <f>IF($C38-U$1&lt;År1,0,T37*(1-VLOOKUP($A38,[1]Hugst!$R$5:$W$9,MATCH(ROUNDUP((U$1)/10,0)*10,[1]Hugst!$R$4:$W$4,0))))</f>
        <v>0</v>
      </c>
      <c r="V38">
        <f>IF($C38-V$1&lt;År1,0,U37*(1-VLOOKUP($A38,[1]Hugst!$R$5:$W$9,MATCH(ROUNDUP((V$1)/10,0)*10,[1]Hugst!$R$4:$W$4,0))))</f>
        <v>0</v>
      </c>
      <c r="W38">
        <f>IF($C38-W$1&lt;År1,0,V37*(1-VLOOKUP($A38,[1]Hugst!$R$5:$W$9,MATCH(ROUNDUP((W$1)/10,0)*10,[1]Hugst!$R$4:$W$4,0))))</f>
        <v>0</v>
      </c>
      <c r="X38">
        <f>IF($C38-X$1&lt;År1,0,W37*(1-VLOOKUP($A38,[1]Hugst!$R$5:$W$9,MATCH(ROUNDUP((X$1)/10,0)*10,[1]Hugst!$R$4:$W$4,0))))</f>
        <v>0</v>
      </c>
      <c r="Y38">
        <f>IF($C38-Y$1&lt;År1,0,X37*(1-VLOOKUP($A38,[1]Hugst!$R$5:$W$9,MATCH(ROUNDUP((Y$1)/10,0)*10,[1]Hugst!$R$4:$W$4,0))))</f>
        <v>0</v>
      </c>
      <c r="Z38">
        <f>IF($C38-Z$1&lt;År1,0,Y37*(1-VLOOKUP($A38,[1]Hugst!$R$5:$W$9,MATCH(ROUNDUP((Z$1)/10,0)*10,[1]Hugst!$R$4:$W$4,0))))</f>
        <v>0</v>
      </c>
      <c r="AA38">
        <f>IF($C38-AA$1&lt;År1,0,Z37*(1-VLOOKUP($A38,[1]Hugst!$R$5:$W$9,MATCH(ROUNDUP((AA$1)/10,0)*10,[1]Hugst!$R$4:$W$4,0))))</f>
        <v>0</v>
      </c>
      <c r="AB38">
        <f>IF($C38-AB$1&lt;År1,0,AA37*(1-VLOOKUP($A38,[1]Hugst!$R$5:$W$9,MATCH(ROUNDUP((AB$1)/10,0)*10,[1]Hugst!$R$4:$W$4,0))))</f>
        <v>0</v>
      </c>
      <c r="AC38">
        <f>IF($C38-AC$1&lt;År1,0,AB37*(1-VLOOKUP($A38,[1]Hugst!$R$5:$W$9,MATCH(ROUNDUP((AC$1)/10,0)*10,[1]Hugst!$R$4:$W$4,0))))</f>
        <v>0</v>
      </c>
      <c r="AD38">
        <f>IF($C38-AD$1&lt;År1,0,AC37*(1-VLOOKUP($A38,[1]Hugst!$R$5:$W$9,MATCH(ROUNDUP((AD$1)/10,0)*10,[1]Hugst!$R$4:$W$4,0))))</f>
        <v>0</v>
      </c>
      <c r="AE38">
        <f>IF($C38-AE$1&lt;År1,0,AD37*(1-VLOOKUP($A38,[1]Hugst!$R$5:$W$9,MATCH(ROUNDUP((AE$1)/10,0)*10,[1]Hugst!$R$4:$W$4,0))))</f>
        <v>0</v>
      </c>
      <c r="AF38">
        <f>IF($C38-AF$1&lt;År1,0,AE37*(1-VLOOKUP($A38,[1]Hugst!$R$5:$W$9,MATCH(ROUNDUP((AF$1)/10,0)*10,[1]Hugst!$R$4:$W$4,0))))</f>
        <v>0</v>
      </c>
      <c r="AG38">
        <f>IF($C38-AG$1&lt;År1,0,AF37*(1-VLOOKUP($A38,[1]Hugst!$R$5:$W$9,MATCH(ROUNDUP((AG$1)/10,0)*10,[1]Hugst!$R$4:$W$4,0))))</f>
        <v>0</v>
      </c>
      <c r="AH38">
        <f>IF($C38-AH$1&lt;År1,0,AG37*(1-VLOOKUP($A38,[1]Hugst!$R$5:$W$9,MATCH(ROUNDUP((AH$1)/10,0)*10,[1]Hugst!$R$4:$W$4,0))))</f>
        <v>0</v>
      </c>
      <c r="AI38">
        <f>IF($C38-AI$1&lt;År1,0,AH37*(1-VLOOKUP($A38,[1]Hugst!$R$5:$W$9,MATCH(ROUNDUP((AI$1)/10,0)*10,[1]Hugst!$R$4:$W$4,0))))</f>
        <v>0</v>
      </c>
      <c r="AJ38">
        <f>IF($C38-AJ$1&lt;År1,0,AI37*(1-VLOOKUP($A38,[1]Hugst!$R$5:$W$9,MATCH(ROUNDUP((AJ$1)/10,0)*10,[1]Hugst!$R$4:$W$4,0))))</f>
        <v>0</v>
      </c>
    </row>
    <row r="39" spans="1:36" x14ac:dyDescent="0.25">
      <c r="A39" t="s">
        <v>176</v>
      </c>
      <c r="B39" t="s">
        <v>24</v>
      </c>
      <c r="C39">
        <v>2026</v>
      </c>
      <c r="D39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30.893137851951167</v>
      </c>
      <c r="E39">
        <f t="shared" ca="1" si="0"/>
        <v>0</v>
      </c>
      <c r="F3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69.73838040089737</v>
      </c>
      <c r="G39">
        <f ca="1">IF($C39-G$1&lt;År1,0,F38*(1-VLOOKUP($A39,[1]Hugst!$R$5:$W$9,MATCH(ROUNDUP((G$1)/10,0)*10,[1]Hugst!$R$4:$W$4,0))))</f>
        <v>69.893622299649508</v>
      </c>
      <c r="H39">
        <f ca="1">IF($C39-H$1&lt;År1,0,G38*(1-VLOOKUP($A39,[1]Hugst!$R$5:$W$9,MATCH(ROUNDUP((H$1)/10,0)*10,[1]Hugst!$R$4:$W$4,0))))</f>
        <v>70.049644308447569</v>
      </c>
      <c r="I39">
        <f ca="1">IF($C39-I$1&lt;År1,0,H38*(1-VLOOKUP($A39,[1]Hugst!$R$5:$W$9,MATCH(ROUNDUP((I$1)/10,0)*10,[1]Hugst!$R$4:$W$4,0))))</f>
        <v>70.206450347439187</v>
      </c>
      <c r="J39">
        <f ca="1">IF($C39-J$1&lt;År1,0,I38*(1-VLOOKUP($A39,[1]Hugst!$R$5:$W$9,MATCH(ROUNDUP((J$1)/10,0)*10,[1]Hugst!$R$4:$W$4,0))))</f>
        <v>70.364044356477635</v>
      </c>
      <c r="K39">
        <f ca="1">IF($C39-K$1&lt;År1,0,J38*(1-VLOOKUP($A39,[1]Hugst!$R$5:$W$9,MATCH(ROUNDUP((K$1)/10,0)*10,[1]Hugst!$R$4:$W$4,0))))</f>
        <v>70.522430295208849</v>
      </c>
      <c r="L39">
        <f ca="1">IF($C39-L$1&lt;År1,0,K38*(1-VLOOKUP($A39,[1]Hugst!$R$5:$W$9,MATCH(ROUNDUP((L$1)/10,0)*10,[1]Hugst!$R$4:$W$4,0))))</f>
        <v>70.681612143180047</v>
      </c>
      <c r="M39">
        <f>IF($C39-M$1&lt;År1,0,L38*(1-VLOOKUP($A39,[1]Hugst!$R$5:$W$9,MATCH(ROUNDUP((M$1)/10,0)*10,[1]Hugst!$R$4:$W$4,0))))</f>
        <v>0</v>
      </c>
      <c r="N39">
        <f>IF($C39-N$1&lt;År1,0,M38*(1-VLOOKUP($A39,[1]Hugst!$R$5:$W$9,MATCH(ROUNDUP((N$1)/10,0)*10,[1]Hugst!$R$4:$W$4,0))))</f>
        <v>0</v>
      </c>
      <c r="O39">
        <f>IF($C39-O$1&lt;År1,0,N38*(1-VLOOKUP($A39,[1]Hugst!$R$5:$W$9,MATCH(ROUNDUP((O$1)/10,0)*10,[1]Hugst!$R$4:$W$4,0))))</f>
        <v>0</v>
      </c>
      <c r="P39">
        <f>IF($C39-P$1&lt;År1,0,O38*(1-VLOOKUP($A39,[1]Hugst!$R$5:$W$9,MATCH(ROUNDUP((P$1)/10,0)*10,[1]Hugst!$R$4:$W$4,0))))</f>
        <v>0</v>
      </c>
      <c r="Q39">
        <f>IF($C39-Q$1&lt;År1,0,P38*(1-VLOOKUP($A39,[1]Hugst!$R$5:$W$9,MATCH(ROUNDUP((Q$1)/10,0)*10,[1]Hugst!$R$4:$W$4,0))))</f>
        <v>0</v>
      </c>
      <c r="R39">
        <f>IF($C39-R$1&lt;År1,0,Q38*(1-VLOOKUP($A39,[1]Hugst!$R$5:$W$9,MATCH(ROUNDUP((R$1)/10,0)*10,[1]Hugst!$R$4:$W$4,0))))</f>
        <v>0</v>
      </c>
      <c r="S39">
        <f>IF($C39-S$1&lt;År1,0,R38*(1-VLOOKUP($A39,[1]Hugst!$R$5:$W$9,MATCH(ROUNDUP((S$1)/10,0)*10,[1]Hugst!$R$4:$W$4,0))))</f>
        <v>0</v>
      </c>
      <c r="T39">
        <f>IF($C39-T$1&lt;År1,0,S38*(1-VLOOKUP($A39,[1]Hugst!$R$5:$W$9,MATCH(ROUNDUP((T$1)/10,0)*10,[1]Hugst!$R$4:$W$4,0))))</f>
        <v>0</v>
      </c>
      <c r="U39">
        <f>IF($C39-U$1&lt;År1,0,T38*(1-VLOOKUP($A39,[1]Hugst!$R$5:$W$9,MATCH(ROUNDUP((U$1)/10,0)*10,[1]Hugst!$R$4:$W$4,0))))</f>
        <v>0</v>
      </c>
      <c r="V39">
        <f>IF($C39-V$1&lt;År1,0,U38*(1-VLOOKUP($A39,[1]Hugst!$R$5:$W$9,MATCH(ROUNDUP((V$1)/10,0)*10,[1]Hugst!$R$4:$W$4,0))))</f>
        <v>0</v>
      </c>
      <c r="W39">
        <f>IF($C39-W$1&lt;År1,0,V38*(1-VLOOKUP($A39,[1]Hugst!$R$5:$W$9,MATCH(ROUNDUP((W$1)/10,0)*10,[1]Hugst!$R$4:$W$4,0))))</f>
        <v>0</v>
      </c>
      <c r="X39">
        <f>IF($C39-X$1&lt;År1,0,W38*(1-VLOOKUP($A39,[1]Hugst!$R$5:$W$9,MATCH(ROUNDUP((X$1)/10,0)*10,[1]Hugst!$R$4:$W$4,0))))</f>
        <v>0</v>
      </c>
      <c r="Y39">
        <f>IF($C39-Y$1&lt;År1,0,X38*(1-VLOOKUP($A39,[1]Hugst!$R$5:$W$9,MATCH(ROUNDUP((Y$1)/10,0)*10,[1]Hugst!$R$4:$W$4,0))))</f>
        <v>0</v>
      </c>
      <c r="Z39">
        <f>IF($C39-Z$1&lt;År1,0,Y38*(1-VLOOKUP($A39,[1]Hugst!$R$5:$W$9,MATCH(ROUNDUP((Z$1)/10,0)*10,[1]Hugst!$R$4:$W$4,0))))</f>
        <v>0</v>
      </c>
      <c r="AA39">
        <f>IF($C39-AA$1&lt;År1,0,Z38*(1-VLOOKUP($A39,[1]Hugst!$R$5:$W$9,MATCH(ROUNDUP((AA$1)/10,0)*10,[1]Hugst!$R$4:$W$4,0))))</f>
        <v>0</v>
      </c>
      <c r="AB39">
        <f>IF($C39-AB$1&lt;År1,0,AA38*(1-VLOOKUP($A39,[1]Hugst!$R$5:$W$9,MATCH(ROUNDUP((AB$1)/10,0)*10,[1]Hugst!$R$4:$W$4,0))))</f>
        <v>0</v>
      </c>
      <c r="AC39">
        <f>IF($C39-AC$1&lt;År1,0,AB38*(1-VLOOKUP($A39,[1]Hugst!$R$5:$W$9,MATCH(ROUNDUP((AC$1)/10,0)*10,[1]Hugst!$R$4:$W$4,0))))</f>
        <v>0</v>
      </c>
      <c r="AD39">
        <f>IF($C39-AD$1&lt;År1,0,AC38*(1-VLOOKUP($A39,[1]Hugst!$R$5:$W$9,MATCH(ROUNDUP((AD$1)/10,0)*10,[1]Hugst!$R$4:$W$4,0))))</f>
        <v>0</v>
      </c>
      <c r="AE39">
        <f>IF($C39-AE$1&lt;År1,0,AD38*(1-VLOOKUP($A39,[1]Hugst!$R$5:$W$9,MATCH(ROUNDUP((AE$1)/10,0)*10,[1]Hugst!$R$4:$W$4,0))))</f>
        <v>0</v>
      </c>
      <c r="AF39">
        <f>IF($C39-AF$1&lt;År1,0,AE38*(1-VLOOKUP($A39,[1]Hugst!$R$5:$W$9,MATCH(ROUNDUP((AF$1)/10,0)*10,[1]Hugst!$R$4:$W$4,0))))</f>
        <v>0</v>
      </c>
      <c r="AG39">
        <f>IF($C39-AG$1&lt;År1,0,AF38*(1-VLOOKUP($A39,[1]Hugst!$R$5:$W$9,MATCH(ROUNDUP((AG$1)/10,0)*10,[1]Hugst!$R$4:$W$4,0))))</f>
        <v>0</v>
      </c>
      <c r="AH39">
        <f>IF($C39-AH$1&lt;År1,0,AG38*(1-VLOOKUP($A39,[1]Hugst!$R$5:$W$9,MATCH(ROUNDUP((AH$1)/10,0)*10,[1]Hugst!$R$4:$W$4,0))))</f>
        <v>0</v>
      </c>
      <c r="AI39">
        <f>IF($C39-AI$1&lt;År1,0,AH38*(1-VLOOKUP($A39,[1]Hugst!$R$5:$W$9,MATCH(ROUNDUP((AI$1)/10,0)*10,[1]Hugst!$R$4:$W$4,0))))</f>
        <v>0</v>
      </c>
      <c r="AJ39">
        <f>IF($C39-AJ$1&lt;År1,0,AI38*(1-VLOOKUP($A39,[1]Hugst!$R$5:$W$9,MATCH(ROUNDUP((AJ$1)/10,0)*10,[1]Hugst!$R$4:$W$4,0))))</f>
        <v>0</v>
      </c>
    </row>
    <row r="40" spans="1:36" x14ac:dyDescent="0.25">
      <c r="A40" t="s">
        <v>176</v>
      </c>
      <c r="B40" t="s">
        <v>24</v>
      </c>
      <c r="C40">
        <v>2027</v>
      </c>
      <c r="D40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30.738672162689909</v>
      </c>
      <c r="E40">
        <f t="shared" ca="1" si="0"/>
        <v>0</v>
      </c>
      <c r="F40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69.583914711636112</v>
      </c>
      <c r="G40">
        <f ca="1">IF($C40-G$1&lt;År1,0,F39*(1-VLOOKUP($A40,[1]Hugst!$R$5:$W$9,MATCH(ROUNDUP((G$1)/10,0)*10,[1]Hugst!$R$4:$W$4,0))))</f>
        <v>69.73838040089737</v>
      </c>
      <c r="H40">
        <f ca="1">IF($C40-H$1&lt;År1,0,G39*(1-VLOOKUP($A40,[1]Hugst!$R$5:$W$9,MATCH(ROUNDUP((H$1)/10,0)*10,[1]Hugst!$R$4:$W$4,0))))</f>
        <v>69.893622299649508</v>
      </c>
      <c r="I40">
        <f ca="1">IF($C40-I$1&lt;År1,0,H39*(1-VLOOKUP($A40,[1]Hugst!$R$5:$W$9,MATCH(ROUNDUP((I$1)/10,0)*10,[1]Hugst!$R$4:$W$4,0))))</f>
        <v>70.049644308447569</v>
      </c>
      <c r="J40">
        <f ca="1">IF($C40-J$1&lt;År1,0,I39*(1-VLOOKUP($A40,[1]Hugst!$R$5:$W$9,MATCH(ROUNDUP((J$1)/10,0)*10,[1]Hugst!$R$4:$W$4,0))))</f>
        <v>70.206450347439187</v>
      </c>
      <c r="K40">
        <f ca="1">IF($C40-K$1&lt;År1,0,J39*(1-VLOOKUP($A40,[1]Hugst!$R$5:$W$9,MATCH(ROUNDUP((K$1)/10,0)*10,[1]Hugst!$R$4:$W$4,0))))</f>
        <v>70.364044356477635</v>
      </c>
      <c r="L40">
        <f ca="1">IF($C40-L$1&lt;År1,0,K39*(1-VLOOKUP($A40,[1]Hugst!$R$5:$W$9,MATCH(ROUNDUP((L$1)/10,0)*10,[1]Hugst!$R$4:$W$4,0))))</f>
        <v>70.522430295208849</v>
      </c>
      <c r="M40">
        <f ca="1">IF($C40-M$1&lt;År1,0,L39*(1-VLOOKUP($A40,[1]Hugst!$R$5:$W$9,MATCH(ROUNDUP((M$1)/10,0)*10,[1]Hugst!$R$4:$W$4,0))))</f>
        <v>70.681612143180047</v>
      </c>
      <c r="N40">
        <f>IF($C40-N$1&lt;År1,0,M39*(1-VLOOKUP($A40,[1]Hugst!$R$5:$W$9,MATCH(ROUNDUP((N$1)/10,0)*10,[1]Hugst!$R$4:$W$4,0))))</f>
        <v>0</v>
      </c>
      <c r="O40">
        <f>IF($C40-O$1&lt;År1,0,N39*(1-VLOOKUP($A40,[1]Hugst!$R$5:$W$9,MATCH(ROUNDUP((O$1)/10,0)*10,[1]Hugst!$R$4:$W$4,0))))</f>
        <v>0</v>
      </c>
      <c r="P40">
        <f>IF($C40-P$1&lt;År1,0,O39*(1-VLOOKUP($A40,[1]Hugst!$R$5:$W$9,MATCH(ROUNDUP((P$1)/10,0)*10,[1]Hugst!$R$4:$W$4,0))))</f>
        <v>0</v>
      </c>
      <c r="Q40">
        <f>IF($C40-Q$1&lt;År1,0,P39*(1-VLOOKUP($A40,[1]Hugst!$R$5:$W$9,MATCH(ROUNDUP((Q$1)/10,0)*10,[1]Hugst!$R$4:$W$4,0))))</f>
        <v>0</v>
      </c>
      <c r="R40">
        <f>IF($C40-R$1&lt;År1,0,Q39*(1-VLOOKUP($A40,[1]Hugst!$R$5:$W$9,MATCH(ROUNDUP((R$1)/10,0)*10,[1]Hugst!$R$4:$W$4,0))))</f>
        <v>0</v>
      </c>
      <c r="S40">
        <f>IF($C40-S$1&lt;År1,0,R39*(1-VLOOKUP($A40,[1]Hugst!$R$5:$W$9,MATCH(ROUNDUP((S$1)/10,0)*10,[1]Hugst!$R$4:$W$4,0))))</f>
        <v>0</v>
      </c>
      <c r="T40">
        <f>IF($C40-T$1&lt;År1,0,S39*(1-VLOOKUP($A40,[1]Hugst!$R$5:$W$9,MATCH(ROUNDUP((T$1)/10,0)*10,[1]Hugst!$R$4:$W$4,0))))</f>
        <v>0</v>
      </c>
      <c r="U40">
        <f>IF($C40-U$1&lt;År1,0,T39*(1-VLOOKUP($A40,[1]Hugst!$R$5:$W$9,MATCH(ROUNDUP((U$1)/10,0)*10,[1]Hugst!$R$4:$W$4,0))))</f>
        <v>0</v>
      </c>
      <c r="V40">
        <f>IF($C40-V$1&lt;År1,0,U39*(1-VLOOKUP($A40,[1]Hugst!$R$5:$W$9,MATCH(ROUNDUP((V$1)/10,0)*10,[1]Hugst!$R$4:$W$4,0))))</f>
        <v>0</v>
      </c>
      <c r="W40">
        <f>IF($C40-W$1&lt;År1,0,V39*(1-VLOOKUP($A40,[1]Hugst!$R$5:$W$9,MATCH(ROUNDUP((W$1)/10,0)*10,[1]Hugst!$R$4:$W$4,0))))</f>
        <v>0</v>
      </c>
      <c r="X40">
        <f>IF($C40-X$1&lt;År1,0,W39*(1-VLOOKUP($A40,[1]Hugst!$R$5:$W$9,MATCH(ROUNDUP((X$1)/10,0)*10,[1]Hugst!$R$4:$W$4,0))))</f>
        <v>0</v>
      </c>
      <c r="Y40">
        <f>IF($C40-Y$1&lt;År1,0,X39*(1-VLOOKUP($A40,[1]Hugst!$R$5:$W$9,MATCH(ROUNDUP((Y$1)/10,0)*10,[1]Hugst!$R$4:$W$4,0))))</f>
        <v>0</v>
      </c>
      <c r="Z40">
        <f>IF($C40-Z$1&lt;År1,0,Y39*(1-VLOOKUP($A40,[1]Hugst!$R$5:$W$9,MATCH(ROUNDUP((Z$1)/10,0)*10,[1]Hugst!$R$4:$W$4,0))))</f>
        <v>0</v>
      </c>
      <c r="AA40">
        <f>IF($C40-AA$1&lt;År1,0,Z39*(1-VLOOKUP($A40,[1]Hugst!$R$5:$W$9,MATCH(ROUNDUP((AA$1)/10,0)*10,[1]Hugst!$R$4:$W$4,0))))</f>
        <v>0</v>
      </c>
      <c r="AB40">
        <f>IF($C40-AB$1&lt;År1,0,AA39*(1-VLOOKUP($A40,[1]Hugst!$R$5:$W$9,MATCH(ROUNDUP((AB$1)/10,0)*10,[1]Hugst!$R$4:$W$4,0))))</f>
        <v>0</v>
      </c>
      <c r="AC40">
        <f>IF($C40-AC$1&lt;År1,0,AB39*(1-VLOOKUP($A40,[1]Hugst!$R$5:$W$9,MATCH(ROUNDUP((AC$1)/10,0)*10,[1]Hugst!$R$4:$W$4,0))))</f>
        <v>0</v>
      </c>
      <c r="AD40">
        <f>IF($C40-AD$1&lt;År1,0,AC39*(1-VLOOKUP($A40,[1]Hugst!$R$5:$W$9,MATCH(ROUNDUP((AD$1)/10,0)*10,[1]Hugst!$R$4:$W$4,0))))</f>
        <v>0</v>
      </c>
      <c r="AE40">
        <f>IF($C40-AE$1&lt;År1,0,AD39*(1-VLOOKUP($A40,[1]Hugst!$R$5:$W$9,MATCH(ROUNDUP((AE$1)/10,0)*10,[1]Hugst!$R$4:$W$4,0))))</f>
        <v>0</v>
      </c>
      <c r="AF40">
        <f>IF($C40-AF$1&lt;År1,0,AE39*(1-VLOOKUP($A40,[1]Hugst!$R$5:$W$9,MATCH(ROUNDUP((AF$1)/10,0)*10,[1]Hugst!$R$4:$W$4,0))))</f>
        <v>0</v>
      </c>
      <c r="AG40">
        <f>IF($C40-AG$1&lt;År1,0,AF39*(1-VLOOKUP($A40,[1]Hugst!$R$5:$W$9,MATCH(ROUNDUP((AG$1)/10,0)*10,[1]Hugst!$R$4:$W$4,0))))</f>
        <v>0</v>
      </c>
      <c r="AH40">
        <f>IF($C40-AH$1&lt;År1,0,AG39*(1-VLOOKUP($A40,[1]Hugst!$R$5:$W$9,MATCH(ROUNDUP((AH$1)/10,0)*10,[1]Hugst!$R$4:$W$4,0))))</f>
        <v>0</v>
      </c>
      <c r="AI40">
        <f>IF($C40-AI$1&lt;År1,0,AH39*(1-VLOOKUP($A40,[1]Hugst!$R$5:$W$9,MATCH(ROUNDUP((AI$1)/10,0)*10,[1]Hugst!$R$4:$W$4,0))))</f>
        <v>0</v>
      </c>
      <c r="AJ40">
        <f>IF($C40-AJ$1&lt;År1,0,AI39*(1-VLOOKUP($A40,[1]Hugst!$R$5:$W$9,MATCH(ROUNDUP((AJ$1)/10,0)*10,[1]Hugst!$R$4:$W$4,0))))</f>
        <v>0</v>
      </c>
    </row>
    <row r="41" spans="1:36" x14ac:dyDescent="0.25">
      <c r="A41" t="s">
        <v>176</v>
      </c>
      <c r="B41" t="s">
        <v>24</v>
      </c>
      <c r="C41">
        <v>2028</v>
      </c>
      <c r="D41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30.584978801877185</v>
      </c>
      <c r="E41">
        <f t="shared" ca="1" si="0"/>
        <v>0</v>
      </c>
      <c r="F41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69.430221350823388</v>
      </c>
      <c r="G41">
        <f ca="1">IF($C41-G$1&lt;År1,0,F40*(1-VLOOKUP($A41,[1]Hugst!$R$5:$W$9,MATCH(ROUNDUP((G$1)/10,0)*10,[1]Hugst!$R$4:$W$4,0))))</f>
        <v>69.583914711636112</v>
      </c>
      <c r="H41">
        <f ca="1">IF($C41-H$1&lt;År1,0,G40*(1-VLOOKUP($A41,[1]Hugst!$R$5:$W$9,MATCH(ROUNDUP((H$1)/10,0)*10,[1]Hugst!$R$4:$W$4,0))))</f>
        <v>69.73838040089737</v>
      </c>
      <c r="I41">
        <f ca="1">IF($C41-I$1&lt;År1,0,H40*(1-VLOOKUP($A41,[1]Hugst!$R$5:$W$9,MATCH(ROUNDUP((I$1)/10,0)*10,[1]Hugst!$R$4:$W$4,0))))</f>
        <v>69.893622299649508</v>
      </c>
      <c r="J41">
        <f ca="1">IF($C41-J$1&lt;År1,0,I40*(1-VLOOKUP($A41,[1]Hugst!$R$5:$W$9,MATCH(ROUNDUP((J$1)/10,0)*10,[1]Hugst!$R$4:$W$4,0))))</f>
        <v>70.049644308447569</v>
      </c>
      <c r="K41">
        <f ca="1">IF($C41-K$1&lt;År1,0,J40*(1-VLOOKUP($A41,[1]Hugst!$R$5:$W$9,MATCH(ROUNDUP((K$1)/10,0)*10,[1]Hugst!$R$4:$W$4,0))))</f>
        <v>70.206450347439187</v>
      </c>
      <c r="L41">
        <f ca="1">IF($C41-L$1&lt;År1,0,K40*(1-VLOOKUP($A41,[1]Hugst!$R$5:$W$9,MATCH(ROUNDUP((L$1)/10,0)*10,[1]Hugst!$R$4:$W$4,0))))</f>
        <v>70.364044356477635</v>
      </c>
      <c r="M41">
        <f ca="1">IF($C41-M$1&lt;År1,0,L40*(1-VLOOKUP($A41,[1]Hugst!$R$5:$W$9,MATCH(ROUNDUP((M$1)/10,0)*10,[1]Hugst!$R$4:$W$4,0))))</f>
        <v>70.522430295208849</v>
      </c>
      <c r="N41">
        <f ca="1">IF($C41-N$1&lt;År1,0,M40*(1-VLOOKUP($A41,[1]Hugst!$R$5:$W$9,MATCH(ROUNDUP((N$1)/10,0)*10,[1]Hugst!$R$4:$W$4,0))))</f>
        <v>70.681612143180047</v>
      </c>
      <c r="O41">
        <f>IF($C41-O$1&lt;År1,0,N40*(1-VLOOKUP($A41,[1]Hugst!$R$5:$W$9,MATCH(ROUNDUP((O$1)/10,0)*10,[1]Hugst!$R$4:$W$4,0))))</f>
        <v>0</v>
      </c>
      <c r="P41">
        <f>IF($C41-P$1&lt;År1,0,O40*(1-VLOOKUP($A41,[1]Hugst!$R$5:$W$9,MATCH(ROUNDUP((P$1)/10,0)*10,[1]Hugst!$R$4:$W$4,0))))</f>
        <v>0</v>
      </c>
      <c r="Q41">
        <f>IF($C41-Q$1&lt;År1,0,P40*(1-VLOOKUP($A41,[1]Hugst!$R$5:$W$9,MATCH(ROUNDUP((Q$1)/10,0)*10,[1]Hugst!$R$4:$W$4,0))))</f>
        <v>0</v>
      </c>
      <c r="R41">
        <f>IF($C41-R$1&lt;År1,0,Q40*(1-VLOOKUP($A41,[1]Hugst!$R$5:$W$9,MATCH(ROUNDUP((R$1)/10,0)*10,[1]Hugst!$R$4:$W$4,0))))</f>
        <v>0</v>
      </c>
      <c r="S41">
        <f>IF($C41-S$1&lt;År1,0,R40*(1-VLOOKUP($A41,[1]Hugst!$R$5:$W$9,MATCH(ROUNDUP((S$1)/10,0)*10,[1]Hugst!$R$4:$W$4,0))))</f>
        <v>0</v>
      </c>
      <c r="T41">
        <f>IF($C41-T$1&lt;År1,0,S40*(1-VLOOKUP($A41,[1]Hugst!$R$5:$W$9,MATCH(ROUNDUP((T$1)/10,0)*10,[1]Hugst!$R$4:$W$4,0))))</f>
        <v>0</v>
      </c>
      <c r="U41">
        <f>IF($C41-U$1&lt;År1,0,T40*(1-VLOOKUP($A41,[1]Hugst!$R$5:$W$9,MATCH(ROUNDUP((U$1)/10,0)*10,[1]Hugst!$R$4:$W$4,0))))</f>
        <v>0</v>
      </c>
      <c r="V41">
        <f>IF($C41-V$1&lt;År1,0,U40*(1-VLOOKUP($A41,[1]Hugst!$R$5:$W$9,MATCH(ROUNDUP((V$1)/10,0)*10,[1]Hugst!$R$4:$W$4,0))))</f>
        <v>0</v>
      </c>
      <c r="W41">
        <f>IF($C41-W$1&lt;År1,0,V40*(1-VLOOKUP($A41,[1]Hugst!$R$5:$W$9,MATCH(ROUNDUP((W$1)/10,0)*10,[1]Hugst!$R$4:$W$4,0))))</f>
        <v>0</v>
      </c>
      <c r="X41">
        <f>IF($C41-X$1&lt;År1,0,W40*(1-VLOOKUP($A41,[1]Hugst!$R$5:$W$9,MATCH(ROUNDUP((X$1)/10,0)*10,[1]Hugst!$R$4:$W$4,0))))</f>
        <v>0</v>
      </c>
      <c r="Y41">
        <f>IF($C41-Y$1&lt;År1,0,X40*(1-VLOOKUP($A41,[1]Hugst!$R$5:$W$9,MATCH(ROUNDUP((Y$1)/10,0)*10,[1]Hugst!$R$4:$W$4,0))))</f>
        <v>0</v>
      </c>
      <c r="Z41">
        <f>IF($C41-Z$1&lt;År1,0,Y40*(1-VLOOKUP($A41,[1]Hugst!$R$5:$W$9,MATCH(ROUNDUP((Z$1)/10,0)*10,[1]Hugst!$R$4:$W$4,0))))</f>
        <v>0</v>
      </c>
      <c r="AA41">
        <f>IF($C41-AA$1&lt;År1,0,Z40*(1-VLOOKUP($A41,[1]Hugst!$R$5:$W$9,MATCH(ROUNDUP((AA$1)/10,0)*10,[1]Hugst!$R$4:$W$4,0))))</f>
        <v>0</v>
      </c>
      <c r="AB41">
        <f>IF($C41-AB$1&lt;År1,0,AA40*(1-VLOOKUP($A41,[1]Hugst!$R$5:$W$9,MATCH(ROUNDUP((AB$1)/10,0)*10,[1]Hugst!$R$4:$W$4,0))))</f>
        <v>0</v>
      </c>
      <c r="AC41">
        <f>IF($C41-AC$1&lt;År1,0,AB40*(1-VLOOKUP($A41,[1]Hugst!$R$5:$W$9,MATCH(ROUNDUP((AC$1)/10,0)*10,[1]Hugst!$R$4:$W$4,0))))</f>
        <v>0</v>
      </c>
      <c r="AD41">
        <f>IF($C41-AD$1&lt;År1,0,AC40*(1-VLOOKUP($A41,[1]Hugst!$R$5:$W$9,MATCH(ROUNDUP((AD$1)/10,0)*10,[1]Hugst!$R$4:$W$4,0))))</f>
        <v>0</v>
      </c>
      <c r="AE41">
        <f>IF($C41-AE$1&lt;År1,0,AD40*(1-VLOOKUP($A41,[1]Hugst!$R$5:$W$9,MATCH(ROUNDUP((AE$1)/10,0)*10,[1]Hugst!$R$4:$W$4,0))))</f>
        <v>0</v>
      </c>
      <c r="AF41">
        <f>IF($C41-AF$1&lt;År1,0,AE40*(1-VLOOKUP($A41,[1]Hugst!$R$5:$W$9,MATCH(ROUNDUP((AF$1)/10,0)*10,[1]Hugst!$R$4:$W$4,0))))</f>
        <v>0</v>
      </c>
      <c r="AG41">
        <f>IF($C41-AG$1&lt;År1,0,AF40*(1-VLOOKUP($A41,[1]Hugst!$R$5:$W$9,MATCH(ROUNDUP((AG$1)/10,0)*10,[1]Hugst!$R$4:$W$4,0))))</f>
        <v>0</v>
      </c>
      <c r="AH41">
        <f>IF($C41-AH$1&lt;År1,0,AG40*(1-VLOOKUP($A41,[1]Hugst!$R$5:$W$9,MATCH(ROUNDUP((AH$1)/10,0)*10,[1]Hugst!$R$4:$W$4,0))))</f>
        <v>0</v>
      </c>
      <c r="AI41">
        <f>IF($C41-AI$1&lt;År1,0,AH40*(1-VLOOKUP($A41,[1]Hugst!$R$5:$W$9,MATCH(ROUNDUP((AI$1)/10,0)*10,[1]Hugst!$R$4:$W$4,0))))</f>
        <v>0</v>
      </c>
      <c r="AJ41">
        <f>IF($C41-AJ$1&lt;År1,0,AI40*(1-VLOOKUP($A41,[1]Hugst!$R$5:$W$9,MATCH(ROUNDUP((AJ$1)/10,0)*10,[1]Hugst!$R$4:$W$4,0))))</f>
        <v>0</v>
      </c>
    </row>
    <row r="42" spans="1:36" x14ac:dyDescent="0.25">
      <c r="A42" t="s">
        <v>176</v>
      </c>
      <c r="B42" t="s">
        <v>24</v>
      </c>
      <c r="C42">
        <v>2029</v>
      </c>
      <c r="D42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30.432053907867498</v>
      </c>
      <c r="E42">
        <f t="shared" ca="1" si="0"/>
        <v>0</v>
      </c>
      <c r="F42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69.277296456813701</v>
      </c>
      <c r="G42">
        <f ca="1">IF($C42-G$1&lt;År1,0,F41*(1-VLOOKUP($A42,[1]Hugst!$R$5:$W$9,MATCH(ROUNDUP((G$1)/10,0)*10,[1]Hugst!$R$4:$W$4,0))))</f>
        <v>69.430221350823388</v>
      </c>
      <c r="H42">
        <f ca="1">IF($C42-H$1&lt;År1,0,G41*(1-VLOOKUP($A42,[1]Hugst!$R$5:$W$9,MATCH(ROUNDUP((H$1)/10,0)*10,[1]Hugst!$R$4:$W$4,0))))</f>
        <v>69.583914711636112</v>
      </c>
      <c r="I42">
        <f ca="1">IF($C42-I$1&lt;År1,0,H41*(1-VLOOKUP($A42,[1]Hugst!$R$5:$W$9,MATCH(ROUNDUP((I$1)/10,0)*10,[1]Hugst!$R$4:$W$4,0))))</f>
        <v>69.73838040089737</v>
      </c>
      <c r="J42">
        <f ca="1">IF($C42-J$1&lt;År1,0,I41*(1-VLOOKUP($A42,[1]Hugst!$R$5:$W$9,MATCH(ROUNDUP((J$1)/10,0)*10,[1]Hugst!$R$4:$W$4,0))))</f>
        <v>69.893622299649508</v>
      </c>
      <c r="K42">
        <f ca="1">IF($C42-K$1&lt;År1,0,J41*(1-VLOOKUP($A42,[1]Hugst!$R$5:$W$9,MATCH(ROUNDUP((K$1)/10,0)*10,[1]Hugst!$R$4:$W$4,0))))</f>
        <v>70.049644308447569</v>
      </c>
      <c r="L42">
        <f ca="1">IF($C42-L$1&lt;År1,0,K41*(1-VLOOKUP($A42,[1]Hugst!$R$5:$W$9,MATCH(ROUNDUP((L$1)/10,0)*10,[1]Hugst!$R$4:$W$4,0))))</f>
        <v>70.206450347439187</v>
      </c>
      <c r="M42">
        <f ca="1">IF($C42-M$1&lt;År1,0,L41*(1-VLOOKUP($A42,[1]Hugst!$R$5:$W$9,MATCH(ROUNDUP((M$1)/10,0)*10,[1]Hugst!$R$4:$W$4,0))))</f>
        <v>70.364044356477635</v>
      </c>
      <c r="N42">
        <f ca="1">IF($C42-N$1&lt;År1,0,M41*(1-VLOOKUP($A42,[1]Hugst!$R$5:$W$9,MATCH(ROUNDUP((N$1)/10,0)*10,[1]Hugst!$R$4:$W$4,0))))</f>
        <v>70.522430295208849</v>
      </c>
      <c r="O42">
        <f ca="1">IF($C42-O$1&lt;År1,0,N41*(1-VLOOKUP($A42,[1]Hugst!$R$5:$W$9,MATCH(ROUNDUP((O$1)/10,0)*10,[1]Hugst!$R$4:$W$4,0))))</f>
        <v>70.681612143180047</v>
      </c>
      <c r="P42">
        <f>IF($C42-P$1&lt;År1,0,O41*(1-VLOOKUP($A42,[1]Hugst!$R$5:$W$9,MATCH(ROUNDUP((P$1)/10,0)*10,[1]Hugst!$R$4:$W$4,0))))</f>
        <v>0</v>
      </c>
      <c r="Q42">
        <f>IF($C42-Q$1&lt;År1,0,P41*(1-VLOOKUP($A42,[1]Hugst!$R$5:$W$9,MATCH(ROUNDUP((Q$1)/10,0)*10,[1]Hugst!$R$4:$W$4,0))))</f>
        <v>0</v>
      </c>
      <c r="R42">
        <f>IF($C42-R$1&lt;År1,0,Q41*(1-VLOOKUP($A42,[1]Hugst!$R$5:$W$9,MATCH(ROUNDUP((R$1)/10,0)*10,[1]Hugst!$R$4:$W$4,0))))</f>
        <v>0</v>
      </c>
      <c r="S42">
        <f>IF($C42-S$1&lt;År1,0,R41*(1-VLOOKUP($A42,[1]Hugst!$R$5:$W$9,MATCH(ROUNDUP((S$1)/10,0)*10,[1]Hugst!$R$4:$W$4,0))))</f>
        <v>0</v>
      </c>
      <c r="T42">
        <f>IF($C42-T$1&lt;År1,0,S41*(1-VLOOKUP($A42,[1]Hugst!$R$5:$W$9,MATCH(ROUNDUP((T$1)/10,0)*10,[1]Hugst!$R$4:$W$4,0))))</f>
        <v>0</v>
      </c>
      <c r="U42">
        <f>IF($C42-U$1&lt;År1,0,T41*(1-VLOOKUP($A42,[1]Hugst!$R$5:$W$9,MATCH(ROUNDUP((U$1)/10,0)*10,[1]Hugst!$R$4:$W$4,0))))</f>
        <v>0</v>
      </c>
      <c r="V42">
        <f>IF($C42-V$1&lt;År1,0,U41*(1-VLOOKUP($A42,[1]Hugst!$R$5:$W$9,MATCH(ROUNDUP((V$1)/10,0)*10,[1]Hugst!$R$4:$W$4,0))))</f>
        <v>0</v>
      </c>
      <c r="W42">
        <f>IF($C42-W$1&lt;År1,0,V41*(1-VLOOKUP($A42,[1]Hugst!$R$5:$W$9,MATCH(ROUNDUP((W$1)/10,0)*10,[1]Hugst!$R$4:$W$4,0))))</f>
        <v>0</v>
      </c>
      <c r="X42">
        <f>IF($C42-X$1&lt;År1,0,W41*(1-VLOOKUP($A42,[1]Hugst!$R$5:$W$9,MATCH(ROUNDUP((X$1)/10,0)*10,[1]Hugst!$R$4:$W$4,0))))</f>
        <v>0</v>
      </c>
      <c r="Y42">
        <f>IF($C42-Y$1&lt;År1,0,X41*(1-VLOOKUP($A42,[1]Hugst!$R$5:$W$9,MATCH(ROUNDUP((Y$1)/10,0)*10,[1]Hugst!$R$4:$W$4,0))))</f>
        <v>0</v>
      </c>
      <c r="Z42">
        <f>IF($C42-Z$1&lt;År1,0,Y41*(1-VLOOKUP($A42,[1]Hugst!$R$5:$W$9,MATCH(ROUNDUP((Z$1)/10,0)*10,[1]Hugst!$R$4:$W$4,0))))</f>
        <v>0</v>
      </c>
      <c r="AA42">
        <f>IF($C42-AA$1&lt;År1,0,Z41*(1-VLOOKUP($A42,[1]Hugst!$R$5:$W$9,MATCH(ROUNDUP((AA$1)/10,0)*10,[1]Hugst!$R$4:$W$4,0))))</f>
        <v>0</v>
      </c>
      <c r="AB42">
        <f>IF($C42-AB$1&lt;År1,0,AA41*(1-VLOOKUP($A42,[1]Hugst!$R$5:$W$9,MATCH(ROUNDUP((AB$1)/10,0)*10,[1]Hugst!$R$4:$W$4,0))))</f>
        <v>0</v>
      </c>
      <c r="AC42">
        <f>IF($C42-AC$1&lt;År1,0,AB41*(1-VLOOKUP($A42,[1]Hugst!$R$5:$W$9,MATCH(ROUNDUP((AC$1)/10,0)*10,[1]Hugst!$R$4:$W$4,0))))</f>
        <v>0</v>
      </c>
      <c r="AD42">
        <f>IF($C42-AD$1&lt;År1,0,AC41*(1-VLOOKUP($A42,[1]Hugst!$R$5:$W$9,MATCH(ROUNDUP((AD$1)/10,0)*10,[1]Hugst!$R$4:$W$4,0))))</f>
        <v>0</v>
      </c>
      <c r="AE42">
        <f>IF($C42-AE$1&lt;År1,0,AD41*(1-VLOOKUP($A42,[1]Hugst!$R$5:$W$9,MATCH(ROUNDUP((AE$1)/10,0)*10,[1]Hugst!$R$4:$W$4,0))))</f>
        <v>0</v>
      </c>
      <c r="AF42">
        <f>IF($C42-AF$1&lt;År1,0,AE41*(1-VLOOKUP($A42,[1]Hugst!$R$5:$W$9,MATCH(ROUNDUP((AF$1)/10,0)*10,[1]Hugst!$R$4:$W$4,0))))</f>
        <v>0</v>
      </c>
      <c r="AG42">
        <f>IF($C42-AG$1&lt;År1,0,AF41*(1-VLOOKUP($A42,[1]Hugst!$R$5:$W$9,MATCH(ROUNDUP((AG$1)/10,0)*10,[1]Hugst!$R$4:$W$4,0))))</f>
        <v>0</v>
      </c>
      <c r="AH42">
        <f>IF($C42-AH$1&lt;År1,0,AG41*(1-VLOOKUP($A42,[1]Hugst!$R$5:$W$9,MATCH(ROUNDUP((AH$1)/10,0)*10,[1]Hugst!$R$4:$W$4,0))))</f>
        <v>0</v>
      </c>
      <c r="AI42">
        <f>IF($C42-AI$1&lt;År1,0,AH41*(1-VLOOKUP($A42,[1]Hugst!$R$5:$W$9,MATCH(ROUNDUP((AI$1)/10,0)*10,[1]Hugst!$R$4:$W$4,0))))</f>
        <v>0</v>
      </c>
      <c r="AJ42">
        <f>IF($C42-AJ$1&lt;År1,0,AI41*(1-VLOOKUP($A42,[1]Hugst!$R$5:$W$9,MATCH(ROUNDUP((AJ$1)/10,0)*10,[1]Hugst!$R$4:$W$4,0))))</f>
        <v>0</v>
      </c>
    </row>
    <row r="43" spans="1:36" x14ac:dyDescent="0.25">
      <c r="A43" t="s">
        <v>176</v>
      </c>
      <c r="B43" t="s">
        <v>24</v>
      </c>
      <c r="C43">
        <v>2030</v>
      </c>
      <c r="D43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30.279893638328929</v>
      </c>
      <c r="E43">
        <f t="shared" ca="1" si="0"/>
        <v>0</v>
      </c>
      <c r="F43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69.125136187275132</v>
      </c>
      <c r="G43">
        <f ca="1">IF($C43-G$1&lt;År1,0,F42*(1-VLOOKUP($A43,[1]Hugst!$R$5:$W$9,MATCH(ROUNDUP((G$1)/10,0)*10,[1]Hugst!$R$4:$W$4,0))))</f>
        <v>69.277296456813701</v>
      </c>
      <c r="H43">
        <f ca="1">IF($C43-H$1&lt;År1,0,G42*(1-VLOOKUP($A43,[1]Hugst!$R$5:$W$9,MATCH(ROUNDUP((H$1)/10,0)*10,[1]Hugst!$R$4:$W$4,0))))</f>
        <v>69.430221350823388</v>
      </c>
      <c r="I43">
        <f ca="1">IF($C43-I$1&lt;År1,0,H42*(1-VLOOKUP($A43,[1]Hugst!$R$5:$W$9,MATCH(ROUNDUP((I$1)/10,0)*10,[1]Hugst!$R$4:$W$4,0))))</f>
        <v>69.583914711636112</v>
      </c>
      <c r="J43">
        <f ca="1">IF($C43-J$1&lt;År1,0,I42*(1-VLOOKUP($A43,[1]Hugst!$R$5:$W$9,MATCH(ROUNDUP((J$1)/10,0)*10,[1]Hugst!$R$4:$W$4,0))))</f>
        <v>69.73838040089737</v>
      </c>
      <c r="K43">
        <f ca="1">IF($C43-K$1&lt;År1,0,J42*(1-VLOOKUP($A43,[1]Hugst!$R$5:$W$9,MATCH(ROUNDUP((K$1)/10,0)*10,[1]Hugst!$R$4:$W$4,0))))</f>
        <v>69.893622299649508</v>
      </c>
      <c r="L43">
        <f ca="1">IF($C43-L$1&lt;År1,0,K42*(1-VLOOKUP($A43,[1]Hugst!$R$5:$W$9,MATCH(ROUNDUP((L$1)/10,0)*10,[1]Hugst!$R$4:$W$4,0))))</f>
        <v>70.049644308447569</v>
      </c>
      <c r="M43">
        <f ca="1">IF($C43-M$1&lt;År1,0,L42*(1-VLOOKUP($A43,[1]Hugst!$R$5:$W$9,MATCH(ROUNDUP((M$1)/10,0)*10,[1]Hugst!$R$4:$W$4,0))))</f>
        <v>70.206450347439187</v>
      </c>
      <c r="N43">
        <f ca="1">IF($C43-N$1&lt;År1,0,M42*(1-VLOOKUP($A43,[1]Hugst!$R$5:$W$9,MATCH(ROUNDUP((N$1)/10,0)*10,[1]Hugst!$R$4:$W$4,0))))</f>
        <v>70.364044356477635</v>
      </c>
      <c r="O43">
        <f ca="1">IF($C43-O$1&lt;År1,0,N42*(1-VLOOKUP($A43,[1]Hugst!$R$5:$W$9,MATCH(ROUNDUP((O$1)/10,0)*10,[1]Hugst!$R$4:$W$4,0))))</f>
        <v>70.522430295208849</v>
      </c>
      <c r="P43">
        <f ca="1">IF($C43-P$1&lt;År1,0,O42*(1-VLOOKUP($A43,[1]Hugst!$R$5:$W$9,MATCH(ROUNDUP((P$1)/10,0)*10,[1]Hugst!$R$4:$W$4,0))))</f>
        <v>70.681612143180047</v>
      </c>
      <c r="Q43">
        <f>IF($C43-Q$1&lt;År1,0,P42*(1-VLOOKUP($A43,[1]Hugst!$R$5:$W$9,MATCH(ROUNDUP((Q$1)/10,0)*10,[1]Hugst!$R$4:$W$4,0))))</f>
        <v>0</v>
      </c>
      <c r="R43">
        <f>IF($C43-R$1&lt;År1,0,Q42*(1-VLOOKUP($A43,[1]Hugst!$R$5:$W$9,MATCH(ROUNDUP((R$1)/10,0)*10,[1]Hugst!$R$4:$W$4,0))))</f>
        <v>0</v>
      </c>
      <c r="S43">
        <f>IF($C43-S$1&lt;År1,0,R42*(1-VLOOKUP($A43,[1]Hugst!$R$5:$W$9,MATCH(ROUNDUP((S$1)/10,0)*10,[1]Hugst!$R$4:$W$4,0))))</f>
        <v>0</v>
      </c>
      <c r="T43">
        <f>IF($C43-T$1&lt;År1,0,S42*(1-VLOOKUP($A43,[1]Hugst!$R$5:$W$9,MATCH(ROUNDUP((T$1)/10,0)*10,[1]Hugst!$R$4:$W$4,0))))</f>
        <v>0</v>
      </c>
      <c r="U43">
        <f>IF($C43-U$1&lt;År1,0,T42*(1-VLOOKUP($A43,[1]Hugst!$R$5:$W$9,MATCH(ROUNDUP((U$1)/10,0)*10,[1]Hugst!$R$4:$W$4,0))))</f>
        <v>0</v>
      </c>
      <c r="V43">
        <f>IF($C43-V$1&lt;År1,0,U42*(1-VLOOKUP($A43,[1]Hugst!$R$5:$W$9,MATCH(ROUNDUP((V$1)/10,0)*10,[1]Hugst!$R$4:$W$4,0))))</f>
        <v>0</v>
      </c>
      <c r="W43">
        <f>IF($C43-W$1&lt;År1,0,V42*(1-VLOOKUP($A43,[1]Hugst!$R$5:$W$9,MATCH(ROUNDUP((W$1)/10,0)*10,[1]Hugst!$R$4:$W$4,0))))</f>
        <v>0</v>
      </c>
      <c r="X43">
        <f>IF($C43-X$1&lt;År1,0,W42*(1-VLOOKUP($A43,[1]Hugst!$R$5:$W$9,MATCH(ROUNDUP((X$1)/10,0)*10,[1]Hugst!$R$4:$W$4,0))))</f>
        <v>0</v>
      </c>
      <c r="Y43">
        <f>IF($C43-Y$1&lt;År1,0,X42*(1-VLOOKUP($A43,[1]Hugst!$R$5:$W$9,MATCH(ROUNDUP((Y$1)/10,0)*10,[1]Hugst!$R$4:$W$4,0))))</f>
        <v>0</v>
      </c>
      <c r="Z43">
        <f>IF($C43-Z$1&lt;År1,0,Y42*(1-VLOOKUP($A43,[1]Hugst!$R$5:$W$9,MATCH(ROUNDUP((Z$1)/10,0)*10,[1]Hugst!$R$4:$W$4,0))))</f>
        <v>0</v>
      </c>
      <c r="AA43">
        <f>IF($C43-AA$1&lt;År1,0,Z42*(1-VLOOKUP($A43,[1]Hugst!$R$5:$W$9,MATCH(ROUNDUP((AA$1)/10,0)*10,[1]Hugst!$R$4:$W$4,0))))</f>
        <v>0</v>
      </c>
      <c r="AB43">
        <f>IF($C43-AB$1&lt;År1,0,AA42*(1-VLOOKUP($A43,[1]Hugst!$R$5:$W$9,MATCH(ROUNDUP((AB$1)/10,0)*10,[1]Hugst!$R$4:$W$4,0))))</f>
        <v>0</v>
      </c>
      <c r="AC43">
        <f>IF($C43-AC$1&lt;År1,0,AB42*(1-VLOOKUP($A43,[1]Hugst!$R$5:$W$9,MATCH(ROUNDUP((AC$1)/10,0)*10,[1]Hugst!$R$4:$W$4,0))))</f>
        <v>0</v>
      </c>
      <c r="AD43">
        <f>IF($C43-AD$1&lt;År1,0,AC42*(1-VLOOKUP($A43,[1]Hugst!$R$5:$W$9,MATCH(ROUNDUP((AD$1)/10,0)*10,[1]Hugst!$R$4:$W$4,0))))</f>
        <v>0</v>
      </c>
      <c r="AE43">
        <f>IF($C43-AE$1&lt;År1,0,AD42*(1-VLOOKUP($A43,[1]Hugst!$R$5:$W$9,MATCH(ROUNDUP((AE$1)/10,0)*10,[1]Hugst!$R$4:$W$4,0))))</f>
        <v>0</v>
      </c>
      <c r="AF43">
        <f>IF($C43-AF$1&lt;År1,0,AE42*(1-VLOOKUP($A43,[1]Hugst!$R$5:$W$9,MATCH(ROUNDUP((AF$1)/10,0)*10,[1]Hugst!$R$4:$W$4,0))))</f>
        <v>0</v>
      </c>
      <c r="AG43">
        <f>IF($C43-AG$1&lt;År1,0,AF42*(1-VLOOKUP($A43,[1]Hugst!$R$5:$W$9,MATCH(ROUNDUP((AG$1)/10,0)*10,[1]Hugst!$R$4:$W$4,0))))</f>
        <v>0</v>
      </c>
      <c r="AH43">
        <f>IF($C43-AH$1&lt;År1,0,AG42*(1-VLOOKUP($A43,[1]Hugst!$R$5:$W$9,MATCH(ROUNDUP((AH$1)/10,0)*10,[1]Hugst!$R$4:$W$4,0))))</f>
        <v>0</v>
      </c>
      <c r="AI43">
        <f>IF($C43-AI$1&lt;År1,0,AH42*(1-VLOOKUP($A43,[1]Hugst!$R$5:$W$9,MATCH(ROUNDUP((AI$1)/10,0)*10,[1]Hugst!$R$4:$W$4,0))))</f>
        <v>0</v>
      </c>
      <c r="AJ43">
        <f>IF($C43-AJ$1&lt;År1,0,AI42*(1-VLOOKUP($A43,[1]Hugst!$R$5:$W$9,MATCH(ROUNDUP((AJ$1)/10,0)*10,[1]Hugst!$R$4:$W$4,0))))</f>
        <v>0</v>
      </c>
    </row>
    <row r="44" spans="1:36" x14ac:dyDescent="0.25">
      <c r="A44" t="s">
        <v>176</v>
      </c>
      <c r="B44" t="s">
        <v>24</v>
      </c>
      <c r="C44">
        <v>2031</v>
      </c>
      <c r="D44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30.128494170135696</v>
      </c>
      <c r="E44">
        <f t="shared" ca="1" si="0"/>
        <v>0</v>
      </c>
      <c r="F44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91.171018175622692</v>
      </c>
      <c r="G44">
        <f ca="1">IF($C44-G$1&lt;År1,0,F43*(1-VLOOKUP($A44,[1]Hugst!$R$5:$W$9,MATCH(ROUNDUP((G$1)/10,0)*10,[1]Hugst!$R$4:$W$4,0))))</f>
        <v>69.125136187275132</v>
      </c>
      <c r="H44">
        <f ca="1">IF($C44-H$1&lt;År1,0,G43*(1-VLOOKUP($A44,[1]Hugst!$R$5:$W$9,MATCH(ROUNDUP((H$1)/10,0)*10,[1]Hugst!$R$4:$W$4,0))))</f>
        <v>69.277296456813701</v>
      </c>
      <c r="I44">
        <f ca="1">IF($C44-I$1&lt;År1,0,H43*(1-VLOOKUP($A44,[1]Hugst!$R$5:$W$9,MATCH(ROUNDUP((I$1)/10,0)*10,[1]Hugst!$R$4:$W$4,0))))</f>
        <v>69.430221350823388</v>
      </c>
      <c r="J44">
        <f ca="1">IF($C44-J$1&lt;År1,0,I43*(1-VLOOKUP($A44,[1]Hugst!$R$5:$W$9,MATCH(ROUNDUP((J$1)/10,0)*10,[1]Hugst!$R$4:$W$4,0))))</f>
        <v>69.583914711636112</v>
      </c>
      <c r="K44">
        <f ca="1">IF($C44-K$1&lt;År1,0,J43*(1-VLOOKUP($A44,[1]Hugst!$R$5:$W$9,MATCH(ROUNDUP((K$1)/10,0)*10,[1]Hugst!$R$4:$W$4,0))))</f>
        <v>69.73838040089737</v>
      </c>
      <c r="L44">
        <f ca="1">IF($C44-L$1&lt;År1,0,K43*(1-VLOOKUP($A44,[1]Hugst!$R$5:$W$9,MATCH(ROUNDUP((L$1)/10,0)*10,[1]Hugst!$R$4:$W$4,0))))</f>
        <v>69.893622299649508</v>
      </c>
      <c r="M44">
        <f ca="1">IF($C44-M$1&lt;År1,0,L43*(1-VLOOKUP($A44,[1]Hugst!$R$5:$W$9,MATCH(ROUNDUP((M$1)/10,0)*10,[1]Hugst!$R$4:$W$4,0))))</f>
        <v>70.049644308447569</v>
      </c>
      <c r="N44">
        <f ca="1">IF($C44-N$1&lt;År1,0,M43*(1-VLOOKUP($A44,[1]Hugst!$R$5:$W$9,MATCH(ROUNDUP((N$1)/10,0)*10,[1]Hugst!$R$4:$W$4,0))))</f>
        <v>70.206450347439187</v>
      </c>
      <c r="O44">
        <f ca="1">IF($C44-O$1&lt;År1,0,N43*(1-VLOOKUP($A44,[1]Hugst!$R$5:$W$9,MATCH(ROUNDUP((O$1)/10,0)*10,[1]Hugst!$R$4:$W$4,0))))</f>
        <v>70.364044356477635</v>
      </c>
      <c r="P44">
        <f ca="1">IF($C44-P$1&lt;År1,0,O43*(1-VLOOKUP($A44,[1]Hugst!$R$5:$W$9,MATCH(ROUNDUP((P$1)/10,0)*10,[1]Hugst!$R$4:$W$4,0))))</f>
        <v>70.522430295208849</v>
      </c>
      <c r="Q44">
        <f ca="1">IF($C44-Q$1&lt;År1,0,P43*(1-VLOOKUP($A44,[1]Hugst!$R$5:$W$9,MATCH(ROUNDUP((Q$1)/10,0)*10,[1]Hugst!$R$4:$W$4,0))))</f>
        <v>70.681612143180047</v>
      </c>
      <c r="R44">
        <f>IF($C44-R$1&lt;År1,0,Q43*(1-VLOOKUP($A44,[1]Hugst!$R$5:$W$9,MATCH(ROUNDUP((R$1)/10,0)*10,[1]Hugst!$R$4:$W$4,0))))</f>
        <v>0</v>
      </c>
      <c r="S44">
        <f>IF($C44-S$1&lt;År1,0,R43*(1-VLOOKUP($A44,[1]Hugst!$R$5:$W$9,MATCH(ROUNDUP((S$1)/10,0)*10,[1]Hugst!$R$4:$W$4,0))))</f>
        <v>0</v>
      </c>
      <c r="T44">
        <f>IF($C44-T$1&lt;År1,0,S43*(1-VLOOKUP($A44,[1]Hugst!$R$5:$W$9,MATCH(ROUNDUP((T$1)/10,0)*10,[1]Hugst!$R$4:$W$4,0))))</f>
        <v>0</v>
      </c>
      <c r="U44">
        <f>IF($C44-U$1&lt;År1,0,T43*(1-VLOOKUP($A44,[1]Hugst!$R$5:$W$9,MATCH(ROUNDUP((U$1)/10,0)*10,[1]Hugst!$R$4:$W$4,0))))</f>
        <v>0</v>
      </c>
      <c r="V44">
        <f>IF($C44-V$1&lt;År1,0,U43*(1-VLOOKUP($A44,[1]Hugst!$R$5:$W$9,MATCH(ROUNDUP((V$1)/10,0)*10,[1]Hugst!$R$4:$W$4,0))))</f>
        <v>0</v>
      </c>
      <c r="W44">
        <f>IF($C44-W$1&lt;År1,0,V43*(1-VLOOKUP($A44,[1]Hugst!$R$5:$W$9,MATCH(ROUNDUP((W$1)/10,0)*10,[1]Hugst!$R$4:$W$4,0))))</f>
        <v>0</v>
      </c>
      <c r="X44">
        <f>IF($C44-X$1&lt;År1,0,W43*(1-VLOOKUP($A44,[1]Hugst!$R$5:$W$9,MATCH(ROUNDUP((X$1)/10,0)*10,[1]Hugst!$R$4:$W$4,0))))</f>
        <v>0</v>
      </c>
      <c r="Y44">
        <f>IF($C44-Y$1&lt;År1,0,X43*(1-VLOOKUP($A44,[1]Hugst!$R$5:$W$9,MATCH(ROUNDUP((Y$1)/10,0)*10,[1]Hugst!$R$4:$W$4,0))))</f>
        <v>0</v>
      </c>
      <c r="Z44">
        <f>IF($C44-Z$1&lt;År1,0,Y43*(1-VLOOKUP($A44,[1]Hugst!$R$5:$W$9,MATCH(ROUNDUP((Z$1)/10,0)*10,[1]Hugst!$R$4:$W$4,0))))</f>
        <v>0</v>
      </c>
      <c r="AA44">
        <f>IF($C44-AA$1&lt;År1,0,Z43*(1-VLOOKUP($A44,[1]Hugst!$R$5:$W$9,MATCH(ROUNDUP((AA$1)/10,0)*10,[1]Hugst!$R$4:$W$4,0))))</f>
        <v>0</v>
      </c>
      <c r="AB44">
        <f>IF($C44-AB$1&lt;År1,0,AA43*(1-VLOOKUP($A44,[1]Hugst!$R$5:$W$9,MATCH(ROUNDUP((AB$1)/10,0)*10,[1]Hugst!$R$4:$W$4,0))))</f>
        <v>0</v>
      </c>
      <c r="AC44">
        <f>IF($C44-AC$1&lt;År1,0,AB43*(1-VLOOKUP($A44,[1]Hugst!$R$5:$W$9,MATCH(ROUNDUP((AC$1)/10,0)*10,[1]Hugst!$R$4:$W$4,0))))</f>
        <v>0</v>
      </c>
      <c r="AD44">
        <f>IF($C44-AD$1&lt;År1,0,AC43*(1-VLOOKUP($A44,[1]Hugst!$R$5:$W$9,MATCH(ROUNDUP((AD$1)/10,0)*10,[1]Hugst!$R$4:$W$4,0))))</f>
        <v>0</v>
      </c>
      <c r="AE44">
        <f>IF($C44-AE$1&lt;År1,0,AD43*(1-VLOOKUP($A44,[1]Hugst!$R$5:$W$9,MATCH(ROUNDUP((AE$1)/10,0)*10,[1]Hugst!$R$4:$W$4,0))))</f>
        <v>0</v>
      </c>
      <c r="AF44">
        <f>IF($C44-AF$1&lt;År1,0,AE43*(1-VLOOKUP($A44,[1]Hugst!$R$5:$W$9,MATCH(ROUNDUP((AF$1)/10,0)*10,[1]Hugst!$R$4:$W$4,0))))</f>
        <v>0</v>
      </c>
      <c r="AG44">
        <f>IF($C44-AG$1&lt;År1,0,AF43*(1-VLOOKUP($A44,[1]Hugst!$R$5:$W$9,MATCH(ROUNDUP((AG$1)/10,0)*10,[1]Hugst!$R$4:$W$4,0))))</f>
        <v>0</v>
      </c>
      <c r="AH44">
        <f>IF($C44-AH$1&lt;År1,0,AG43*(1-VLOOKUP($A44,[1]Hugst!$R$5:$W$9,MATCH(ROUNDUP((AH$1)/10,0)*10,[1]Hugst!$R$4:$W$4,0))))</f>
        <v>0</v>
      </c>
      <c r="AI44">
        <f>IF($C44-AI$1&lt;År1,0,AH43*(1-VLOOKUP($A44,[1]Hugst!$R$5:$W$9,MATCH(ROUNDUP((AI$1)/10,0)*10,[1]Hugst!$R$4:$W$4,0))))</f>
        <v>0</v>
      </c>
      <c r="AJ44">
        <f>IF($C44-AJ$1&lt;År1,0,AI43*(1-VLOOKUP($A44,[1]Hugst!$R$5:$W$9,MATCH(ROUNDUP((AJ$1)/10,0)*10,[1]Hugst!$R$4:$W$4,0))))</f>
        <v>0</v>
      </c>
    </row>
    <row r="45" spans="1:36" x14ac:dyDescent="0.25">
      <c r="A45" t="s">
        <v>176</v>
      </c>
      <c r="B45" t="s">
        <v>24</v>
      </c>
      <c r="C45">
        <v>2032</v>
      </c>
      <c r="D45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29.977851699286134</v>
      </c>
      <c r="E45">
        <f t="shared" ca="1" si="0"/>
        <v>0</v>
      </c>
      <c r="F45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91.02037570477313</v>
      </c>
      <c r="G45">
        <f ca="1">IF($C45-G$1&lt;År1,0,F44*(1-VLOOKUP($A45,[1]Hugst!$R$5:$W$9,MATCH(ROUNDUP((G$1)/10,0)*10,[1]Hugst!$R$4:$W$4,0))))</f>
        <v>91.171018175622692</v>
      </c>
      <c r="H45">
        <f ca="1">IF($C45-H$1&lt;År1,0,G44*(1-VLOOKUP($A45,[1]Hugst!$R$5:$W$9,MATCH(ROUNDUP((H$1)/10,0)*10,[1]Hugst!$R$4:$W$4,0))))</f>
        <v>69.125136187275132</v>
      </c>
      <c r="I45">
        <f ca="1">IF($C45-I$1&lt;År1,0,H44*(1-VLOOKUP($A45,[1]Hugst!$R$5:$W$9,MATCH(ROUNDUP((I$1)/10,0)*10,[1]Hugst!$R$4:$W$4,0))))</f>
        <v>69.277296456813701</v>
      </c>
      <c r="J45">
        <f ca="1">IF($C45-J$1&lt;År1,0,I44*(1-VLOOKUP($A45,[1]Hugst!$R$5:$W$9,MATCH(ROUNDUP((J$1)/10,0)*10,[1]Hugst!$R$4:$W$4,0))))</f>
        <v>69.430221350823388</v>
      </c>
      <c r="K45">
        <f ca="1">IF($C45-K$1&lt;År1,0,J44*(1-VLOOKUP($A45,[1]Hugst!$R$5:$W$9,MATCH(ROUNDUP((K$1)/10,0)*10,[1]Hugst!$R$4:$W$4,0))))</f>
        <v>69.583914711636112</v>
      </c>
      <c r="L45">
        <f ca="1">IF($C45-L$1&lt;År1,0,K44*(1-VLOOKUP($A45,[1]Hugst!$R$5:$W$9,MATCH(ROUNDUP((L$1)/10,0)*10,[1]Hugst!$R$4:$W$4,0))))</f>
        <v>69.73838040089737</v>
      </c>
      <c r="M45">
        <f ca="1">IF($C45-M$1&lt;År1,0,L44*(1-VLOOKUP($A45,[1]Hugst!$R$5:$W$9,MATCH(ROUNDUP((M$1)/10,0)*10,[1]Hugst!$R$4:$W$4,0))))</f>
        <v>69.893622299649508</v>
      </c>
      <c r="N45">
        <f ca="1">IF($C45-N$1&lt;År1,0,M44*(1-VLOOKUP($A45,[1]Hugst!$R$5:$W$9,MATCH(ROUNDUP((N$1)/10,0)*10,[1]Hugst!$R$4:$W$4,0))))</f>
        <v>70.049644308447569</v>
      </c>
      <c r="O45">
        <f ca="1">IF($C45-O$1&lt;År1,0,N44*(1-VLOOKUP($A45,[1]Hugst!$R$5:$W$9,MATCH(ROUNDUP((O$1)/10,0)*10,[1]Hugst!$R$4:$W$4,0))))</f>
        <v>70.206450347439187</v>
      </c>
      <c r="P45">
        <f ca="1">IF($C45-P$1&lt;År1,0,O44*(1-VLOOKUP($A45,[1]Hugst!$R$5:$W$9,MATCH(ROUNDUP((P$1)/10,0)*10,[1]Hugst!$R$4:$W$4,0))))</f>
        <v>70.364044356477635</v>
      </c>
      <c r="Q45">
        <f ca="1">IF($C45-Q$1&lt;År1,0,P44*(1-VLOOKUP($A45,[1]Hugst!$R$5:$W$9,MATCH(ROUNDUP((Q$1)/10,0)*10,[1]Hugst!$R$4:$W$4,0))))</f>
        <v>70.522430295208849</v>
      </c>
      <c r="R45">
        <f ca="1">IF($C45-R$1&lt;År1,0,Q44*(1-VLOOKUP($A45,[1]Hugst!$R$5:$W$9,MATCH(ROUNDUP((R$1)/10,0)*10,[1]Hugst!$R$4:$W$4,0))))</f>
        <v>70.681612143180047</v>
      </c>
      <c r="S45">
        <f>IF($C45-S$1&lt;År1,0,R44*(1-VLOOKUP($A45,[1]Hugst!$R$5:$W$9,MATCH(ROUNDUP((S$1)/10,0)*10,[1]Hugst!$R$4:$W$4,0))))</f>
        <v>0</v>
      </c>
      <c r="T45">
        <f>IF($C45-T$1&lt;År1,0,S44*(1-VLOOKUP($A45,[1]Hugst!$R$5:$W$9,MATCH(ROUNDUP((T$1)/10,0)*10,[1]Hugst!$R$4:$W$4,0))))</f>
        <v>0</v>
      </c>
      <c r="U45">
        <f>IF($C45-U$1&lt;År1,0,T44*(1-VLOOKUP($A45,[1]Hugst!$R$5:$W$9,MATCH(ROUNDUP((U$1)/10,0)*10,[1]Hugst!$R$4:$W$4,0))))</f>
        <v>0</v>
      </c>
      <c r="V45">
        <f>IF($C45-V$1&lt;År1,0,U44*(1-VLOOKUP($A45,[1]Hugst!$R$5:$W$9,MATCH(ROUNDUP((V$1)/10,0)*10,[1]Hugst!$R$4:$W$4,0))))</f>
        <v>0</v>
      </c>
      <c r="W45">
        <f>IF($C45-W$1&lt;År1,0,V44*(1-VLOOKUP($A45,[1]Hugst!$R$5:$W$9,MATCH(ROUNDUP((W$1)/10,0)*10,[1]Hugst!$R$4:$W$4,0))))</f>
        <v>0</v>
      </c>
      <c r="X45">
        <f>IF($C45-X$1&lt;År1,0,W44*(1-VLOOKUP($A45,[1]Hugst!$R$5:$W$9,MATCH(ROUNDUP((X$1)/10,0)*10,[1]Hugst!$R$4:$W$4,0))))</f>
        <v>0</v>
      </c>
      <c r="Y45">
        <f>IF($C45-Y$1&lt;År1,0,X44*(1-VLOOKUP($A45,[1]Hugst!$R$5:$W$9,MATCH(ROUNDUP((Y$1)/10,0)*10,[1]Hugst!$R$4:$W$4,0))))</f>
        <v>0</v>
      </c>
      <c r="Z45">
        <f>IF($C45-Z$1&lt;År1,0,Y44*(1-VLOOKUP($A45,[1]Hugst!$R$5:$W$9,MATCH(ROUNDUP((Z$1)/10,0)*10,[1]Hugst!$R$4:$W$4,0))))</f>
        <v>0</v>
      </c>
      <c r="AA45">
        <f>IF($C45-AA$1&lt;År1,0,Z44*(1-VLOOKUP($A45,[1]Hugst!$R$5:$W$9,MATCH(ROUNDUP((AA$1)/10,0)*10,[1]Hugst!$R$4:$W$4,0))))</f>
        <v>0</v>
      </c>
      <c r="AB45">
        <f>IF($C45-AB$1&lt;År1,0,AA44*(1-VLOOKUP($A45,[1]Hugst!$R$5:$W$9,MATCH(ROUNDUP((AB$1)/10,0)*10,[1]Hugst!$R$4:$W$4,0))))</f>
        <v>0</v>
      </c>
      <c r="AC45">
        <f>IF($C45-AC$1&lt;År1,0,AB44*(1-VLOOKUP($A45,[1]Hugst!$R$5:$W$9,MATCH(ROUNDUP((AC$1)/10,0)*10,[1]Hugst!$R$4:$W$4,0))))</f>
        <v>0</v>
      </c>
      <c r="AD45">
        <f>IF($C45-AD$1&lt;År1,0,AC44*(1-VLOOKUP($A45,[1]Hugst!$R$5:$W$9,MATCH(ROUNDUP((AD$1)/10,0)*10,[1]Hugst!$R$4:$W$4,0))))</f>
        <v>0</v>
      </c>
      <c r="AE45">
        <f>IF($C45-AE$1&lt;År1,0,AD44*(1-VLOOKUP($A45,[1]Hugst!$R$5:$W$9,MATCH(ROUNDUP((AE$1)/10,0)*10,[1]Hugst!$R$4:$W$4,0))))</f>
        <v>0</v>
      </c>
      <c r="AF45">
        <f>IF($C45-AF$1&lt;År1,0,AE44*(1-VLOOKUP($A45,[1]Hugst!$R$5:$W$9,MATCH(ROUNDUP((AF$1)/10,0)*10,[1]Hugst!$R$4:$W$4,0))))</f>
        <v>0</v>
      </c>
      <c r="AG45">
        <f>IF($C45-AG$1&lt;År1,0,AF44*(1-VLOOKUP($A45,[1]Hugst!$R$5:$W$9,MATCH(ROUNDUP((AG$1)/10,0)*10,[1]Hugst!$R$4:$W$4,0))))</f>
        <v>0</v>
      </c>
      <c r="AH45">
        <f>IF($C45-AH$1&lt;År1,0,AG44*(1-VLOOKUP($A45,[1]Hugst!$R$5:$W$9,MATCH(ROUNDUP((AH$1)/10,0)*10,[1]Hugst!$R$4:$W$4,0))))</f>
        <v>0</v>
      </c>
      <c r="AI45">
        <f>IF($C45-AI$1&lt;År1,0,AH44*(1-VLOOKUP($A45,[1]Hugst!$R$5:$W$9,MATCH(ROUNDUP((AI$1)/10,0)*10,[1]Hugst!$R$4:$W$4,0))))</f>
        <v>0</v>
      </c>
      <c r="AJ45">
        <f>IF($C45-AJ$1&lt;År1,0,AI44*(1-VLOOKUP($A45,[1]Hugst!$R$5:$W$9,MATCH(ROUNDUP((AJ$1)/10,0)*10,[1]Hugst!$R$4:$W$4,0))))</f>
        <v>0</v>
      </c>
    </row>
    <row r="46" spans="1:36" x14ac:dyDescent="0.25">
      <c r="A46" t="s">
        <v>176</v>
      </c>
      <c r="B46" t="s">
        <v>24</v>
      </c>
      <c r="C46">
        <v>2033</v>
      </c>
      <c r="D46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29.827962440789236</v>
      </c>
      <c r="E46">
        <f t="shared" ca="1" si="0"/>
        <v>0</v>
      </c>
      <c r="F46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90.870486446276232</v>
      </c>
      <c r="G46">
        <f ca="1">IF($C46-G$1&lt;År1,0,F45*(1-VLOOKUP($A46,[1]Hugst!$R$5:$W$9,MATCH(ROUNDUP((G$1)/10,0)*10,[1]Hugst!$R$4:$W$4,0))))</f>
        <v>91.02037570477313</v>
      </c>
      <c r="H46">
        <f ca="1">IF($C46-H$1&lt;År1,0,G45*(1-VLOOKUP($A46,[1]Hugst!$R$5:$W$9,MATCH(ROUNDUP((H$1)/10,0)*10,[1]Hugst!$R$4:$W$4,0))))</f>
        <v>91.171018175622692</v>
      </c>
      <c r="I46">
        <f ca="1">IF($C46-I$1&lt;År1,0,H45*(1-VLOOKUP($A46,[1]Hugst!$R$5:$W$9,MATCH(ROUNDUP((I$1)/10,0)*10,[1]Hugst!$R$4:$W$4,0))))</f>
        <v>69.125136187275132</v>
      </c>
      <c r="J46">
        <f ca="1">IF($C46-J$1&lt;År1,0,I45*(1-VLOOKUP($A46,[1]Hugst!$R$5:$W$9,MATCH(ROUNDUP((J$1)/10,0)*10,[1]Hugst!$R$4:$W$4,0))))</f>
        <v>69.277296456813701</v>
      </c>
      <c r="K46">
        <f ca="1">IF($C46-K$1&lt;År1,0,J45*(1-VLOOKUP($A46,[1]Hugst!$R$5:$W$9,MATCH(ROUNDUP((K$1)/10,0)*10,[1]Hugst!$R$4:$W$4,0))))</f>
        <v>69.430221350823388</v>
      </c>
      <c r="L46">
        <f ca="1">IF($C46-L$1&lt;År1,0,K45*(1-VLOOKUP($A46,[1]Hugst!$R$5:$W$9,MATCH(ROUNDUP((L$1)/10,0)*10,[1]Hugst!$R$4:$W$4,0))))</f>
        <v>69.583914711636112</v>
      </c>
      <c r="M46">
        <f ca="1">IF($C46-M$1&lt;År1,0,L45*(1-VLOOKUP($A46,[1]Hugst!$R$5:$W$9,MATCH(ROUNDUP((M$1)/10,0)*10,[1]Hugst!$R$4:$W$4,0))))</f>
        <v>69.73838040089737</v>
      </c>
      <c r="N46">
        <f ca="1">IF($C46-N$1&lt;År1,0,M45*(1-VLOOKUP($A46,[1]Hugst!$R$5:$W$9,MATCH(ROUNDUP((N$1)/10,0)*10,[1]Hugst!$R$4:$W$4,0))))</f>
        <v>69.893622299649508</v>
      </c>
      <c r="O46">
        <f ca="1">IF($C46-O$1&lt;År1,0,N45*(1-VLOOKUP($A46,[1]Hugst!$R$5:$W$9,MATCH(ROUNDUP((O$1)/10,0)*10,[1]Hugst!$R$4:$W$4,0))))</f>
        <v>70.049644308447569</v>
      </c>
      <c r="P46">
        <f ca="1">IF($C46-P$1&lt;År1,0,O45*(1-VLOOKUP($A46,[1]Hugst!$R$5:$W$9,MATCH(ROUNDUP((P$1)/10,0)*10,[1]Hugst!$R$4:$W$4,0))))</f>
        <v>70.206450347439187</v>
      </c>
      <c r="Q46">
        <f ca="1">IF($C46-Q$1&lt;År1,0,P45*(1-VLOOKUP($A46,[1]Hugst!$R$5:$W$9,MATCH(ROUNDUP((Q$1)/10,0)*10,[1]Hugst!$R$4:$W$4,0))))</f>
        <v>70.364044356477635</v>
      </c>
      <c r="R46">
        <f ca="1">IF($C46-R$1&lt;År1,0,Q45*(1-VLOOKUP($A46,[1]Hugst!$R$5:$W$9,MATCH(ROUNDUP((R$1)/10,0)*10,[1]Hugst!$R$4:$W$4,0))))</f>
        <v>70.522430295208849</v>
      </c>
      <c r="S46">
        <f ca="1">IF($C46-S$1&lt;År1,0,R45*(1-VLOOKUP($A46,[1]Hugst!$R$5:$W$9,MATCH(ROUNDUP((S$1)/10,0)*10,[1]Hugst!$R$4:$W$4,0))))</f>
        <v>70.681612143180047</v>
      </c>
      <c r="T46">
        <f>IF($C46-T$1&lt;År1,0,S45*(1-VLOOKUP($A46,[1]Hugst!$R$5:$W$9,MATCH(ROUNDUP((T$1)/10,0)*10,[1]Hugst!$R$4:$W$4,0))))</f>
        <v>0</v>
      </c>
      <c r="U46">
        <f>IF($C46-U$1&lt;År1,0,T45*(1-VLOOKUP($A46,[1]Hugst!$R$5:$W$9,MATCH(ROUNDUP((U$1)/10,0)*10,[1]Hugst!$R$4:$W$4,0))))</f>
        <v>0</v>
      </c>
      <c r="V46">
        <f>IF($C46-V$1&lt;År1,0,U45*(1-VLOOKUP($A46,[1]Hugst!$R$5:$W$9,MATCH(ROUNDUP((V$1)/10,0)*10,[1]Hugst!$R$4:$W$4,0))))</f>
        <v>0</v>
      </c>
      <c r="W46">
        <f>IF($C46-W$1&lt;År1,0,V45*(1-VLOOKUP($A46,[1]Hugst!$R$5:$W$9,MATCH(ROUNDUP((W$1)/10,0)*10,[1]Hugst!$R$4:$W$4,0))))</f>
        <v>0</v>
      </c>
      <c r="X46">
        <f>IF($C46-X$1&lt;År1,0,W45*(1-VLOOKUP($A46,[1]Hugst!$R$5:$W$9,MATCH(ROUNDUP((X$1)/10,0)*10,[1]Hugst!$R$4:$W$4,0))))</f>
        <v>0</v>
      </c>
      <c r="Y46">
        <f>IF($C46-Y$1&lt;År1,0,X45*(1-VLOOKUP($A46,[1]Hugst!$R$5:$W$9,MATCH(ROUNDUP((Y$1)/10,0)*10,[1]Hugst!$R$4:$W$4,0))))</f>
        <v>0</v>
      </c>
      <c r="Z46">
        <f>IF($C46-Z$1&lt;År1,0,Y45*(1-VLOOKUP($A46,[1]Hugst!$R$5:$W$9,MATCH(ROUNDUP((Z$1)/10,0)*10,[1]Hugst!$R$4:$W$4,0))))</f>
        <v>0</v>
      </c>
      <c r="AA46">
        <f>IF($C46-AA$1&lt;År1,0,Z45*(1-VLOOKUP($A46,[1]Hugst!$R$5:$W$9,MATCH(ROUNDUP((AA$1)/10,0)*10,[1]Hugst!$R$4:$W$4,0))))</f>
        <v>0</v>
      </c>
      <c r="AB46">
        <f>IF($C46-AB$1&lt;År1,0,AA45*(1-VLOOKUP($A46,[1]Hugst!$R$5:$W$9,MATCH(ROUNDUP((AB$1)/10,0)*10,[1]Hugst!$R$4:$W$4,0))))</f>
        <v>0</v>
      </c>
      <c r="AC46">
        <f>IF($C46-AC$1&lt;År1,0,AB45*(1-VLOOKUP($A46,[1]Hugst!$R$5:$W$9,MATCH(ROUNDUP((AC$1)/10,0)*10,[1]Hugst!$R$4:$W$4,0))))</f>
        <v>0</v>
      </c>
      <c r="AD46">
        <f>IF($C46-AD$1&lt;År1,0,AC45*(1-VLOOKUP($A46,[1]Hugst!$R$5:$W$9,MATCH(ROUNDUP((AD$1)/10,0)*10,[1]Hugst!$R$4:$W$4,0))))</f>
        <v>0</v>
      </c>
      <c r="AE46">
        <f>IF($C46-AE$1&lt;År1,0,AD45*(1-VLOOKUP($A46,[1]Hugst!$R$5:$W$9,MATCH(ROUNDUP((AE$1)/10,0)*10,[1]Hugst!$R$4:$W$4,0))))</f>
        <v>0</v>
      </c>
      <c r="AF46">
        <f>IF($C46-AF$1&lt;År1,0,AE45*(1-VLOOKUP($A46,[1]Hugst!$R$5:$W$9,MATCH(ROUNDUP((AF$1)/10,0)*10,[1]Hugst!$R$4:$W$4,0))))</f>
        <v>0</v>
      </c>
      <c r="AG46">
        <f>IF($C46-AG$1&lt;År1,0,AF45*(1-VLOOKUP($A46,[1]Hugst!$R$5:$W$9,MATCH(ROUNDUP((AG$1)/10,0)*10,[1]Hugst!$R$4:$W$4,0))))</f>
        <v>0</v>
      </c>
      <c r="AH46">
        <f>IF($C46-AH$1&lt;År1,0,AG45*(1-VLOOKUP($A46,[1]Hugst!$R$5:$W$9,MATCH(ROUNDUP((AH$1)/10,0)*10,[1]Hugst!$R$4:$W$4,0))))</f>
        <v>0</v>
      </c>
      <c r="AI46">
        <f>IF($C46-AI$1&lt;År1,0,AH45*(1-VLOOKUP($A46,[1]Hugst!$R$5:$W$9,MATCH(ROUNDUP((AI$1)/10,0)*10,[1]Hugst!$R$4:$W$4,0))))</f>
        <v>0</v>
      </c>
      <c r="AJ46">
        <f>IF($C46-AJ$1&lt;År1,0,AI45*(1-VLOOKUP($A46,[1]Hugst!$R$5:$W$9,MATCH(ROUNDUP((AJ$1)/10,0)*10,[1]Hugst!$R$4:$W$4,0))))</f>
        <v>0</v>
      </c>
    </row>
    <row r="47" spans="1:36" x14ac:dyDescent="0.25">
      <c r="A47" t="s">
        <v>176</v>
      </c>
      <c r="B47" t="s">
        <v>24</v>
      </c>
      <c r="C47">
        <v>2034</v>
      </c>
      <c r="D47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29.678822628585465</v>
      </c>
      <c r="E47">
        <f t="shared" ca="1" si="0"/>
        <v>0</v>
      </c>
      <c r="F47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90.721346634072461</v>
      </c>
      <c r="G47">
        <f ca="1">IF($C47-G$1&lt;År1,0,F46*(1-VLOOKUP($A47,[1]Hugst!$R$5:$W$9,MATCH(ROUNDUP((G$1)/10,0)*10,[1]Hugst!$R$4:$W$4,0))))</f>
        <v>90.870486446276232</v>
      </c>
      <c r="H47">
        <f ca="1">IF($C47-H$1&lt;År1,0,G46*(1-VLOOKUP($A47,[1]Hugst!$R$5:$W$9,MATCH(ROUNDUP((H$1)/10,0)*10,[1]Hugst!$R$4:$W$4,0))))</f>
        <v>91.02037570477313</v>
      </c>
      <c r="I47">
        <f ca="1">IF($C47-I$1&lt;År1,0,H46*(1-VLOOKUP($A47,[1]Hugst!$R$5:$W$9,MATCH(ROUNDUP((I$1)/10,0)*10,[1]Hugst!$R$4:$W$4,0))))</f>
        <v>91.171018175622692</v>
      </c>
      <c r="J47">
        <f ca="1">IF($C47-J$1&lt;År1,0,I46*(1-VLOOKUP($A47,[1]Hugst!$R$5:$W$9,MATCH(ROUNDUP((J$1)/10,0)*10,[1]Hugst!$R$4:$W$4,0))))</f>
        <v>69.125136187275132</v>
      </c>
      <c r="K47">
        <f ca="1">IF($C47-K$1&lt;År1,0,J46*(1-VLOOKUP($A47,[1]Hugst!$R$5:$W$9,MATCH(ROUNDUP((K$1)/10,0)*10,[1]Hugst!$R$4:$W$4,0))))</f>
        <v>69.277296456813701</v>
      </c>
      <c r="L47">
        <f ca="1">IF($C47-L$1&lt;År1,0,K46*(1-VLOOKUP($A47,[1]Hugst!$R$5:$W$9,MATCH(ROUNDUP((L$1)/10,0)*10,[1]Hugst!$R$4:$W$4,0))))</f>
        <v>69.430221350823388</v>
      </c>
      <c r="M47">
        <f ca="1">IF($C47-M$1&lt;År1,0,L46*(1-VLOOKUP($A47,[1]Hugst!$R$5:$W$9,MATCH(ROUNDUP((M$1)/10,0)*10,[1]Hugst!$R$4:$W$4,0))))</f>
        <v>69.583914711636112</v>
      </c>
      <c r="N47">
        <f ca="1">IF($C47-N$1&lt;År1,0,M46*(1-VLOOKUP($A47,[1]Hugst!$R$5:$W$9,MATCH(ROUNDUP((N$1)/10,0)*10,[1]Hugst!$R$4:$W$4,0))))</f>
        <v>69.73838040089737</v>
      </c>
      <c r="O47">
        <f ca="1">IF($C47-O$1&lt;År1,0,N46*(1-VLOOKUP($A47,[1]Hugst!$R$5:$W$9,MATCH(ROUNDUP((O$1)/10,0)*10,[1]Hugst!$R$4:$W$4,0))))</f>
        <v>69.893622299649508</v>
      </c>
      <c r="P47">
        <f ca="1">IF($C47-P$1&lt;År1,0,O46*(1-VLOOKUP($A47,[1]Hugst!$R$5:$W$9,MATCH(ROUNDUP((P$1)/10,0)*10,[1]Hugst!$R$4:$W$4,0))))</f>
        <v>70.049644308447569</v>
      </c>
      <c r="Q47">
        <f ca="1">IF($C47-Q$1&lt;År1,0,P46*(1-VLOOKUP($A47,[1]Hugst!$R$5:$W$9,MATCH(ROUNDUP((Q$1)/10,0)*10,[1]Hugst!$R$4:$W$4,0))))</f>
        <v>70.206450347439187</v>
      </c>
      <c r="R47">
        <f ca="1">IF($C47-R$1&lt;År1,0,Q46*(1-VLOOKUP($A47,[1]Hugst!$R$5:$W$9,MATCH(ROUNDUP((R$1)/10,0)*10,[1]Hugst!$R$4:$W$4,0))))</f>
        <v>70.364044356477635</v>
      </c>
      <c r="S47">
        <f ca="1">IF($C47-S$1&lt;År1,0,R46*(1-VLOOKUP($A47,[1]Hugst!$R$5:$W$9,MATCH(ROUNDUP((S$1)/10,0)*10,[1]Hugst!$R$4:$W$4,0))))</f>
        <v>70.522430295208849</v>
      </c>
      <c r="T47">
        <f ca="1">IF($C47-T$1&lt;År1,0,S46*(1-VLOOKUP($A47,[1]Hugst!$R$5:$W$9,MATCH(ROUNDUP((T$1)/10,0)*10,[1]Hugst!$R$4:$W$4,0))))</f>
        <v>70.681612143180047</v>
      </c>
      <c r="U47">
        <f>IF($C47-U$1&lt;År1,0,T46*(1-VLOOKUP($A47,[1]Hugst!$R$5:$W$9,MATCH(ROUNDUP((U$1)/10,0)*10,[1]Hugst!$R$4:$W$4,0))))</f>
        <v>0</v>
      </c>
      <c r="V47">
        <f>IF($C47-V$1&lt;År1,0,U46*(1-VLOOKUP($A47,[1]Hugst!$R$5:$W$9,MATCH(ROUNDUP((V$1)/10,0)*10,[1]Hugst!$R$4:$W$4,0))))</f>
        <v>0</v>
      </c>
      <c r="W47">
        <f>IF($C47-W$1&lt;År1,0,V46*(1-VLOOKUP($A47,[1]Hugst!$R$5:$W$9,MATCH(ROUNDUP((W$1)/10,0)*10,[1]Hugst!$R$4:$W$4,0))))</f>
        <v>0</v>
      </c>
      <c r="X47">
        <f>IF($C47-X$1&lt;År1,0,W46*(1-VLOOKUP($A47,[1]Hugst!$R$5:$W$9,MATCH(ROUNDUP((X$1)/10,0)*10,[1]Hugst!$R$4:$W$4,0))))</f>
        <v>0</v>
      </c>
      <c r="Y47">
        <f>IF($C47-Y$1&lt;År1,0,X46*(1-VLOOKUP($A47,[1]Hugst!$R$5:$W$9,MATCH(ROUNDUP((Y$1)/10,0)*10,[1]Hugst!$R$4:$W$4,0))))</f>
        <v>0</v>
      </c>
      <c r="Z47">
        <f>IF($C47-Z$1&lt;År1,0,Y46*(1-VLOOKUP($A47,[1]Hugst!$R$5:$W$9,MATCH(ROUNDUP((Z$1)/10,0)*10,[1]Hugst!$R$4:$W$4,0))))</f>
        <v>0</v>
      </c>
      <c r="AA47">
        <f>IF($C47-AA$1&lt;År1,0,Z46*(1-VLOOKUP($A47,[1]Hugst!$R$5:$W$9,MATCH(ROUNDUP((AA$1)/10,0)*10,[1]Hugst!$R$4:$W$4,0))))</f>
        <v>0</v>
      </c>
      <c r="AB47">
        <f>IF($C47-AB$1&lt;År1,0,AA46*(1-VLOOKUP($A47,[1]Hugst!$R$5:$W$9,MATCH(ROUNDUP((AB$1)/10,0)*10,[1]Hugst!$R$4:$W$4,0))))</f>
        <v>0</v>
      </c>
      <c r="AC47">
        <f>IF($C47-AC$1&lt;År1,0,AB46*(1-VLOOKUP($A47,[1]Hugst!$R$5:$W$9,MATCH(ROUNDUP((AC$1)/10,0)*10,[1]Hugst!$R$4:$W$4,0))))</f>
        <v>0</v>
      </c>
      <c r="AD47">
        <f>IF($C47-AD$1&lt;År1,0,AC46*(1-VLOOKUP($A47,[1]Hugst!$R$5:$W$9,MATCH(ROUNDUP((AD$1)/10,0)*10,[1]Hugst!$R$4:$W$4,0))))</f>
        <v>0</v>
      </c>
      <c r="AE47">
        <f>IF($C47-AE$1&lt;År1,0,AD46*(1-VLOOKUP($A47,[1]Hugst!$R$5:$W$9,MATCH(ROUNDUP((AE$1)/10,0)*10,[1]Hugst!$R$4:$W$4,0))))</f>
        <v>0</v>
      </c>
      <c r="AF47">
        <f>IF($C47-AF$1&lt;År1,0,AE46*(1-VLOOKUP($A47,[1]Hugst!$R$5:$W$9,MATCH(ROUNDUP((AF$1)/10,0)*10,[1]Hugst!$R$4:$W$4,0))))</f>
        <v>0</v>
      </c>
      <c r="AG47">
        <f>IF($C47-AG$1&lt;År1,0,AF46*(1-VLOOKUP($A47,[1]Hugst!$R$5:$W$9,MATCH(ROUNDUP((AG$1)/10,0)*10,[1]Hugst!$R$4:$W$4,0))))</f>
        <v>0</v>
      </c>
      <c r="AH47">
        <f>IF($C47-AH$1&lt;År1,0,AG46*(1-VLOOKUP($A47,[1]Hugst!$R$5:$W$9,MATCH(ROUNDUP((AH$1)/10,0)*10,[1]Hugst!$R$4:$W$4,0))))</f>
        <v>0</v>
      </c>
      <c r="AI47">
        <f>IF($C47-AI$1&lt;År1,0,AH46*(1-VLOOKUP($A47,[1]Hugst!$R$5:$W$9,MATCH(ROUNDUP((AI$1)/10,0)*10,[1]Hugst!$R$4:$W$4,0))))</f>
        <v>0</v>
      </c>
      <c r="AJ47">
        <f>IF($C47-AJ$1&lt;År1,0,AI46*(1-VLOOKUP($A47,[1]Hugst!$R$5:$W$9,MATCH(ROUNDUP((AJ$1)/10,0)*10,[1]Hugst!$R$4:$W$4,0))))</f>
        <v>0</v>
      </c>
    </row>
    <row r="48" spans="1:36" x14ac:dyDescent="0.25">
      <c r="A48" t="s">
        <v>176</v>
      </c>
      <c r="B48" t="s">
        <v>24</v>
      </c>
      <c r="C48">
        <v>2035</v>
      </c>
      <c r="D4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29.530428515443077</v>
      </c>
      <c r="E48">
        <f t="shared" ca="1" si="0"/>
        <v>0</v>
      </c>
      <c r="F4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90.572952520930073</v>
      </c>
      <c r="G48">
        <f ca="1">IF($C48-G$1&lt;År1,0,F47*(1-VLOOKUP($A48,[1]Hugst!$R$5:$W$9,MATCH(ROUNDUP((G$1)/10,0)*10,[1]Hugst!$R$4:$W$4,0))))</f>
        <v>90.721346634072461</v>
      </c>
      <c r="H48">
        <f ca="1">IF($C48-H$1&lt;År1,0,G47*(1-VLOOKUP($A48,[1]Hugst!$R$5:$W$9,MATCH(ROUNDUP((H$1)/10,0)*10,[1]Hugst!$R$4:$W$4,0))))</f>
        <v>90.870486446276232</v>
      </c>
      <c r="I48">
        <f ca="1">IF($C48-I$1&lt;År1,0,H47*(1-VLOOKUP($A48,[1]Hugst!$R$5:$W$9,MATCH(ROUNDUP((I$1)/10,0)*10,[1]Hugst!$R$4:$W$4,0))))</f>
        <v>91.02037570477313</v>
      </c>
      <c r="J48">
        <f ca="1">IF($C48-J$1&lt;År1,0,I47*(1-VLOOKUP($A48,[1]Hugst!$R$5:$W$9,MATCH(ROUNDUP((J$1)/10,0)*10,[1]Hugst!$R$4:$W$4,0))))</f>
        <v>91.171018175622692</v>
      </c>
      <c r="K48">
        <f ca="1">IF($C48-K$1&lt;År1,0,J47*(1-VLOOKUP($A48,[1]Hugst!$R$5:$W$9,MATCH(ROUNDUP((K$1)/10,0)*10,[1]Hugst!$R$4:$W$4,0))))</f>
        <v>69.125136187275132</v>
      </c>
      <c r="L48">
        <f ca="1">IF($C48-L$1&lt;År1,0,K47*(1-VLOOKUP($A48,[1]Hugst!$R$5:$W$9,MATCH(ROUNDUP((L$1)/10,0)*10,[1]Hugst!$R$4:$W$4,0))))</f>
        <v>69.277296456813701</v>
      </c>
      <c r="M48">
        <f ca="1">IF($C48-M$1&lt;År1,0,L47*(1-VLOOKUP($A48,[1]Hugst!$R$5:$W$9,MATCH(ROUNDUP((M$1)/10,0)*10,[1]Hugst!$R$4:$W$4,0))))</f>
        <v>69.430221350823388</v>
      </c>
      <c r="N48">
        <f ca="1">IF($C48-N$1&lt;År1,0,M47*(1-VLOOKUP($A48,[1]Hugst!$R$5:$W$9,MATCH(ROUNDUP((N$1)/10,0)*10,[1]Hugst!$R$4:$W$4,0))))</f>
        <v>69.583914711636112</v>
      </c>
      <c r="O48">
        <f ca="1">IF($C48-O$1&lt;År1,0,N47*(1-VLOOKUP($A48,[1]Hugst!$R$5:$W$9,MATCH(ROUNDUP((O$1)/10,0)*10,[1]Hugst!$R$4:$W$4,0))))</f>
        <v>69.73838040089737</v>
      </c>
      <c r="P48">
        <f ca="1">IF($C48-P$1&lt;År1,0,O47*(1-VLOOKUP($A48,[1]Hugst!$R$5:$W$9,MATCH(ROUNDUP((P$1)/10,0)*10,[1]Hugst!$R$4:$W$4,0))))</f>
        <v>69.893622299649508</v>
      </c>
      <c r="Q48">
        <f ca="1">IF($C48-Q$1&lt;År1,0,P47*(1-VLOOKUP($A48,[1]Hugst!$R$5:$W$9,MATCH(ROUNDUP((Q$1)/10,0)*10,[1]Hugst!$R$4:$W$4,0))))</f>
        <v>70.049644308447569</v>
      </c>
      <c r="R48">
        <f ca="1">IF($C48-R$1&lt;År1,0,Q47*(1-VLOOKUP($A48,[1]Hugst!$R$5:$W$9,MATCH(ROUNDUP((R$1)/10,0)*10,[1]Hugst!$R$4:$W$4,0))))</f>
        <v>70.206450347439187</v>
      </c>
      <c r="S48">
        <f ca="1">IF($C48-S$1&lt;År1,0,R47*(1-VLOOKUP($A48,[1]Hugst!$R$5:$W$9,MATCH(ROUNDUP((S$1)/10,0)*10,[1]Hugst!$R$4:$W$4,0))))</f>
        <v>70.364044356477635</v>
      </c>
      <c r="T48">
        <f ca="1">IF($C48-T$1&lt;År1,0,S47*(1-VLOOKUP($A48,[1]Hugst!$R$5:$W$9,MATCH(ROUNDUP((T$1)/10,0)*10,[1]Hugst!$R$4:$W$4,0))))</f>
        <v>70.522430295208849</v>
      </c>
      <c r="U48">
        <f ca="1">IF($C48-U$1&lt;År1,0,T47*(1-VLOOKUP($A48,[1]Hugst!$R$5:$W$9,MATCH(ROUNDUP((U$1)/10,0)*10,[1]Hugst!$R$4:$W$4,0))))</f>
        <v>70.681612143180047</v>
      </c>
      <c r="V48">
        <f>IF($C48-V$1&lt;År1,0,U47*(1-VLOOKUP($A48,[1]Hugst!$R$5:$W$9,MATCH(ROUNDUP((V$1)/10,0)*10,[1]Hugst!$R$4:$W$4,0))))</f>
        <v>0</v>
      </c>
      <c r="W48">
        <f>IF($C48-W$1&lt;År1,0,V47*(1-VLOOKUP($A48,[1]Hugst!$R$5:$W$9,MATCH(ROUNDUP((W$1)/10,0)*10,[1]Hugst!$R$4:$W$4,0))))</f>
        <v>0</v>
      </c>
      <c r="X48">
        <f>IF($C48-X$1&lt;År1,0,W47*(1-VLOOKUP($A48,[1]Hugst!$R$5:$W$9,MATCH(ROUNDUP((X$1)/10,0)*10,[1]Hugst!$R$4:$W$4,0))))</f>
        <v>0</v>
      </c>
      <c r="Y48">
        <f>IF($C48-Y$1&lt;År1,0,X47*(1-VLOOKUP($A48,[1]Hugst!$R$5:$W$9,MATCH(ROUNDUP((Y$1)/10,0)*10,[1]Hugst!$R$4:$W$4,0))))</f>
        <v>0</v>
      </c>
      <c r="Z48">
        <f>IF($C48-Z$1&lt;År1,0,Y47*(1-VLOOKUP($A48,[1]Hugst!$R$5:$W$9,MATCH(ROUNDUP((Z$1)/10,0)*10,[1]Hugst!$R$4:$W$4,0))))</f>
        <v>0</v>
      </c>
      <c r="AA48">
        <f>IF($C48-AA$1&lt;År1,0,Z47*(1-VLOOKUP($A48,[1]Hugst!$R$5:$W$9,MATCH(ROUNDUP((AA$1)/10,0)*10,[1]Hugst!$R$4:$W$4,0))))</f>
        <v>0</v>
      </c>
      <c r="AB48">
        <f>IF($C48-AB$1&lt;År1,0,AA47*(1-VLOOKUP($A48,[1]Hugst!$R$5:$W$9,MATCH(ROUNDUP((AB$1)/10,0)*10,[1]Hugst!$R$4:$W$4,0))))</f>
        <v>0</v>
      </c>
      <c r="AC48">
        <f>IF($C48-AC$1&lt;År1,0,AB47*(1-VLOOKUP($A48,[1]Hugst!$R$5:$W$9,MATCH(ROUNDUP((AC$1)/10,0)*10,[1]Hugst!$R$4:$W$4,0))))</f>
        <v>0</v>
      </c>
      <c r="AD48">
        <f>IF($C48-AD$1&lt;År1,0,AC47*(1-VLOOKUP($A48,[1]Hugst!$R$5:$W$9,MATCH(ROUNDUP((AD$1)/10,0)*10,[1]Hugst!$R$4:$W$4,0))))</f>
        <v>0</v>
      </c>
      <c r="AE48">
        <f>IF($C48-AE$1&lt;År1,0,AD47*(1-VLOOKUP($A48,[1]Hugst!$R$5:$W$9,MATCH(ROUNDUP((AE$1)/10,0)*10,[1]Hugst!$R$4:$W$4,0))))</f>
        <v>0</v>
      </c>
      <c r="AF48">
        <f>IF($C48-AF$1&lt;År1,0,AE47*(1-VLOOKUP($A48,[1]Hugst!$R$5:$W$9,MATCH(ROUNDUP((AF$1)/10,0)*10,[1]Hugst!$R$4:$W$4,0))))</f>
        <v>0</v>
      </c>
      <c r="AG48">
        <f>IF($C48-AG$1&lt;År1,0,AF47*(1-VLOOKUP($A48,[1]Hugst!$R$5:$W$9,MATCH(ROUNDUP((AG$1)/10,0)*10,[1]Hugst!$R$4:$W$4,0))))</f>
        <v>0</v>
      </c>
      <c r="AH48">
        <f>IF($C48-AH$1&lt;År1,0,AG47*(1-VLOOKUP($A48,[1]Hugst!$R$5:$W$9,MATCH(ROUNDUP((AH$1)/10,0)*10,[1]Hugst!$R$4:$W$4,0))))</f>
        <v>0</v>
      </c>
      <c r="AI48">
        <f>IF($C48-AI$1&lt;År1,0,AH47*(1-VLOOKUP($A48,[1]Hugst!$R$5:$W$9,MATCH(ROUNDUP((AI$1)/10,0)*10,[1]Hugst!$R$4:$W$4,0))))</f>
        <v>0</v>
      </c>
      <c r="AJ48">
        <f>IF($C48-AJ$1&lt;År1,0,AI47*(1-VLOOKUP($A48,[1]Hugst!$R$5:$W$9,MATCH(ROUNDUP((AJ$1)/10,0)*10,[1]Hugst!$R$4:$W$4,0))))</f>
        <v>0</v>
      </c>
    </row>
    <row r="49" spans="1:38" x14ac:dyDescent="0.25">
      <c r="A49" t="s">
        <v>176</v>
      </c>
      <c r="B49" t="s">
        <v>24</v>
      </c>
      <c r="C49">
        <v>2036</v>
      </c>
      <c r="D49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29.382776372865237</v>
      </c>
      <c r="E49">
        <f t="shared" ca="1" si="0"/>
        <v>0</v>
      </c>
      <c r="F4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90.425300378352233</v>
      </c>
      <c r="G49">
        <f ca="1">IF($C49-G$1&lt;År1,0,F48*(1-VLOOKUP($A49,[1]Hugst!$R$5:$W$9,MATCH(ROUNDUP((G$1)/10,0)*10,[1]Hugst!$R$4:$W$4,0))))</f>
        <v>90.572952520930073</v>
      </c>
      <c r="H49">
        <f ca="1">IF($C49-H$1&lt;År1,0,G48*(1-VLOOKUP($A49,[1]Hugst!$R$5:$W$9,MATCH(ROUNDUP((H$1)/10,0)*10,[1]Hugst!$R$4:$W$4,0))))</f>
        <v>90.721346634072461</v>
      </c>
      <c r="I49">
        <f ca="1">IF($C49-I$1&lt;År1,0,H48*(1-VLOOKUP($A49,[1]Hugst!$R$5:$W$9,MATCH(ROUNDUP((I$1)/10,0)*10,[1]Hugst!$R$4:$W$4,0))))</f>
        <v>90.870486446276232</v>
      </c>
      <c r="J49">
        <f ca="1">IF($C49-J$1&lt;År1,0,I48*(1-VLOOKUP($A49,[1]Hugst!$R$5:$W$9,MATCH(ROUNDUP((J$1)/10,0)*10,[1]Hugst!$R$4:$W$4,0))))</f>
        <v>91.02037570477313</v>
      </c>
      <c r="K49">
        <f ca="1">IF($C49-K$1&lt;År1,0,J48*(1-VLOOKUP($A49,[1]Hugst!$R$5:$W$9,MATCH(ROUNDUP((K$1)/10,0)*10,[1]Hugst!$R$4:$W$4,0))))</f>
        <v>91.171018175622692</v>
      </c>
      <c r="L49">
        <f ca="1">IF($C49-L$1&lt;År1,0,K48*(1-VLOOKUP($A49,[1]Hugst!$R$5:$W$9,MATCH(ROUNDUP((L$1)/10,0)*10,[1]Hugst!$R$4:$W$4,0))))</f>
        <v>69.125136187275132</v>
      </c>
      <c r="M49">
        <f ca="1">IF($C49-M$1&lt;År1,0,L48*(1-VLOOKUP($A49,[1]Hugst!$R$5:$W$9,MATCH(ROUNDUP((M$1)/10,0)*10,[1]Hugst!$R$4:$W$4,0))))</f>
        <v>69.277296456813701</v>
      </c>
      <c r="N49">
        <f ca="1">IF($C49-N$1&lt;År1,0,M48*(1-VLOOKUP($A49,[1]Hugst!$R$5:$W$9,MATCH(ROUNDUP((N$1)/10,0)*10,[1]Hugst!$R$4:$W$4,0))))</f>
        <v>69.430221350823388</v>
      </c>
      <c r="O49">
        <f ca="1">IF($C49-O$1&lt;År1,0,N48*(1-VLOOKUP($A49,[1]Hugst!$R$5:$W$9,MATCH(ROUNDUP((O$1)/10,0)*10,[1]Hugst!$R$4:$W$4,0))))</f>
        <v>69.583914711636112</v>
      </c>
      <c r="P49">
        <f ca="1">IF($C49-P$1&lt;År1,0,O48*(1-VLOOKUP($A49,[1]Hugst!$R$5:$W$9,MATCH(ROUNDUP((P$1)/10,0)*10,[1]Hugst!$R$4:$W$4,0))))</f>
        <v>69.73838040089737</v>
      </c>
      <c r="Q49">
        <f ca="1">IF($C49-Q$1&lt;År1,0,P48*(1-VLOOKUP($A49,[1]Hugst!$R$5:$W$9,MATCH(ROUNDUP((Q$1)/10,0)*10,[1]Hugst!$R$4:$W$4,0))))</f>
        <v>69.893622299649508</v>
      </c>
      <c r="R49">
        <f ca="1">IF($C49-R$1&lt;År1,0,Q48*(1-VLOOKUP($A49,[1]Hugst!$R$5:$W$9,MATCH(ROUNDUP((R$1)/10,0)*10,[1]Hugst!$R$4:$W$4,0))))</f>
        <v>70.049644308447569</v>
      </c>
      <c r="S49">
        <f ca="1">IF($C49-S$1&lt;År1,0,R48*(1-VLOOKUP($A49,[1]Hugst!$R$5:$W$9,MATCH(ROUNDUP((S$1)/10,0)*10,[1]Hugst!$R$4:$W$4,0))))</f>
        <v>70.206450347439187</v>
      </c>
      <c r="T49">
        <f ca="1">IF($C49-T$1&lt;År1,0,S48*(1-VLOOKUP($A49,[1]Hugst!$R$5:$W$9,MATCH(ROUNDUP((T$1)/10,0)*10,[1]Hugst!$R$4:$W$4,0))))</f>
        <v>70.364044356477635</v>
      </c>
      <c r="U49">
        <f ca="1">IF($C49-U$1&lt;År1,0,T48*(1-VLOOKUP($A49,[1]Hugst!$R$5:$W$9,MATCH(ROUNDUP((U$1)/10,0)*10,[1]Hugst!$R$4:$W$4,0))))</f>
        <v>70.522430295208849</v>
      </c>
      <c r="V49">
        <f ca="1">IF($C49-V$1&lt;År1,0,U48*(1-VLOOKUP($A49,[1]Hugst!$R$5:$W$9,MATCH(ROUNDUP((V$1)/10,0)*10,[1]Hugst!$R$4:$W$4,0))))</f>
        <v>70.681612143180047</v>
      </c>
      <c r="W49">
        <f>IF($C49-W$1&lt;År1,0,V48*(1-VLOOKUP($A49,[1]Hugst!$R$5:$W$9,MATCH(ROUNDUP((W$1)/10,0)*10,[1]Hugst!$R$4:$W$4,0))))</f>
        <v>0</v>
      </c>
      <c r="X49">
        <f>IF($C49-X$1&lt;År1,0,W48*(1-VLOOKUP($A49,[1]Hugst!$R$5:$W$9,MATCH(ROUNDUP((X$1)/10,0)*10,[1]Hugst!$R$4:$W$4,0))))</f>
        <v>0</v>
      </c>
      <c r="Y49">
        <f>IF($C49-Y$1&lt;År1,0,X48*(1-VLOOKUP($A49,[1]Hugst!$R$5:$W$9,MATCH(ROUNDUP((Y$1)/10,0)*10,[1]Hugst!$R$4:$W$4,0))))</f>
        <v>0</v>
      </c>
      <c r="Z49">
        <f>IF($C49-Z$1&lt;År1,0,Y48*(1-VLOOKUP($A49,[1]Hugst!$R$5:$W$9,MATCH(ROUNDUP((Z$1)/10,0)*10,[1]Hugst!$R$4:$W$4,0))))</f>
        <v>0</v>
      </c>
      <c r="AA49">
        <f>IF($C49-AA$1&lt;År1,0,Z48*(1-VLOOKUP($A49,[1]Hugst!$R$5:$W$9,MATCH(ROUNDUP((AA$1)/10,0)*10,[1]Hugst!$R$4:$W$4,0))))</f>
        <v>0</v>
      </c>
      <c r="AB49">
        <f>IF($C49-AB$1&lt;År1,0,AA48*(1-VLOOKUP($A49,[1]Hugst!$R$5:$W$9,MATCH(ROUNDUP((AB$1)/10,0)*10,[1]Hugst!$R$4:$W$4,0))))</f>
        <v>0</v>
      </c>
      <c r="AC49">
        <f>IF($C49-AC$1&lt;År1,0,AB48*(1-VLOOKUP($A49,[1]Hugst!$R$5:$W$9,MATCH(ROUNDUP((AC$1)/10,0)*10,[1]Hugst!$R$4:$W$4,0))))</f>
        <v>0</v>
      </c>
      <c r="AD49">
        <f>IF($C49-AD$1&lt;År1,0,AC48*(1-VLOOKUP($A49,[1]Hugst!$R$5:$W$9,MATCH(ROUNDUP((AD$1)/10,0)*10,[1]Hugst!$R$4:$W$4,0))))</f>
        <v>0</v>
      </c>
      <c r="AE49">
        <f>IF($C49-AE$1&lt;År1,0,AD48*(1-VLOOKUP($A49,[1]Hugst!$R$5:$W$9,MATCH(ROUNDUP((AE$1)/10,0)*10,[1]Hugst!$R$4:$W$4,0))))</f>
        <v>0</v>
      </c>
      <c r="AF49">
        <f>IF($C49-AF$1&lt;År1,0,AE48*(1-VLOOKUP($A49,[1]Hugst!$R$5:$W$9,MATCH(ROUNDUP((AF$1)/10,0)*10,[1]Hugst!$R$4:$W$4,0))))</f>
        <v>0</v>
      </c>
      <c r="AG49">
        <f>IF($C49-AG$1&lt;År1,0,AF48*(1-VLOOKUP($A49,[1]Hugst!$R$5:$W$9,MATCH(ROUNDUP((AG$1)/10,0)*10,[1]Hugst!$R$4:$W$4,0))))</f>
        <v>0</v>
      </c>
      <c r="AH49">
        <f>IF($C49-AH$1&lt;År1,0,AG48*(1-VLOOKUP($A49,[1]Hugst!$R$5:$W$9,MATCH(ROUNDUP((AH$1)/10,0)*10,[1]Hugst!$R$4:$W$4,0))))</f>
        <v>0</v>
      </c>
      <c r="AI49">
        <f>IF($C49-AI$1&lt;År1,0,AH48*(1-VLOOKUP($A49,[1]Hugst!$R$5:$W$9,MATCH(ROUNDUP((AI$1)/10,0)*10,[1]Hugst!$R$4:$W$4,0))))</f>
        <v>0</v>
      </c>
      <c r="AJ49">
        <f>IF($C49-AJ$1&lt;År1,0,AI48*(1-VLOOKUP($A49,[1]Hugst!$R$5:$W$9,MATCH(ROUNDUP((AJ$1)/10,0)*10,[1]Hugst!$R$4:$W$4,0))))</f>
        <v>0</v>
      </c>
    </row>
    <row r="50" spans="1:38" x14ac:dyDescent="0.25">
      <c r="A50" t="s">
        <v>176</v>
      </c>
      <c r="B50" t="s">
        <v>24</v>
      </c>
      <c r="C50">
        <v>2037</v>
      </c>
      <c r="D50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29.235862491001171</v>
      </c>
      <c r="E50">
        <f t="shared" ca="1" si="0"/>
        <v>0</v>
      </c>
      <c r="F50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90.278386496488167</v>
      </c>
      <c r="G50">
        <f ca="1">IF($C50-G$1&lt;År1,0,F49*(1-VLOOKUP($A50,[1]Hugst!$R$5:$W$9,MATCH(ROUNDUP((G$1)/10,0)*10,[1]Hugst!$R$4:$W$4,0))))</f>
        <v>90.425300378352233</v>
      </c>
      <c r="H50">
        <f ca="1">IF($C50-H$1&lt;År1,0,G49*(1-VLOOKUP($A50,[1]Hugst!$R$5:$W$9,MATCH(ROUNDUP((H$1)/10,0)*10,[1]Hugst!$R$4:$W$4,0))))</f>
        <v>90.572952520930073</v>
      </c>
      <c r="I50">
        <f ca="1">IF($C50-I$1&lt;År1,0,H49*(1-VLOOKUP($A50,[1]Hugst!$R$5:$W$9,MATCH(ROUNDUP((I$1)/10,0)*10,[1]Hugst!$R$4:$W$4,0))))</f>
        <v>90.721346634072461</v>
      </c>
      <c r="J50">
        <f ca="1">IF($C50-J$1&lt;År1,0,I49*(1-VLOOKUP($A50,[1]Hugst!$R$5:$W$9,MATCH(ROUNDUP((J$1)/10,0)*10,[1]Hugst!$R$4:$W$4,0))))</f>
        <v>90.870486446276232</v>
      </c>
      <c r="K50">
        <f ca="1">IF($C50-K$1&lt;År1,0,J49*(1-VLOOKUP($A50,[1]Hugst!$R$5:$W$9,MATCH(ROUNDUP((K$1)/10,0)*10,[1]Hugst!$R$4:$W$4,0))))</f>
        <v>91.02037570477313</v>
      </c>
      <c r="L50">
        <f ca="1">IF($C50-L$1&lt;År1,0,K49*(1-VLOOKUP($A50,[1]Hugst!$R$5:$W$9,MATCH(ROUNDUP((L$1)/10,0)*10,[1]Hugst!$R$4:$W$4,0))))</f>
        <v>91.171018175622692</v>
      </c>
      <c r="M50">
        <f ca="1">IF($C50-M$1&lt;År1,0,L49*(1-VLOOKUP($A50,[1]Hugst!$R$5:$W$9,MATCH(ROUNDUP((M$1)/10,0)*10,[1]Hugst!$R$4:$W$4,0))))</f>
        <v>69.125136187275132</v>
      </c>
      <c r="N50">
        <f ca="1">IF($C50-N$1&lt;År1,0,M49*(1-VLOOKUP($A50,[1]Hugst!$R$5:$W$9,MATCH(ROUNDUP((N$1)/10,0)*10,[1]Hugst!$R$4:$W$4,0))))</f>
        <v>69.277296456813701</v>
      </c>
      <c r="O50">
        <f ca="1">IF($C50-O$1&lt;År1,0,N49*(1-VLOOKUP($A50,[1]Hugst!$R$5:$W$9,MATCH(ROUNDUP((O$1)/10,0)*10,[1]Hugst!$R$4:$W$4,0))))</f>
        <v>69.430221350823388</v>
      </c>
      <c r="P50">
        <f ca="1">IF($C50-P$1&lt;År1,0,O49*(1-VLOOKUP($A50,[1]Hugst!$R$5:$W$9,MATCH(ROUNDUP((P$1)/10,0)*10,[1]Hugst!$R$4:$W$4,0))))</f>
        <v>69.583914711636112</v>
      </c>
      <c r="Q50">
        <f ca="1">IF($C50-Q$1&lt;År1,0,P49*(1-VLOOKUP($A50,[1]Hugst!$R$5:$W$9,MATCH(ROUNDUP((Q$1)/10,0)*10,[1]Hugst!$R$4:$W$4,0))))</f>
        <v>69.73838040089737</v>
      </c>
      <c r="R50">
        <f ca="1">IF($C50-R$1&lt;År1,0,Q49*(1-VLOOKUP($A50,[1]Hugst!$R$5:$W$9,MATCH(ROUNDUP((R$1)/10,0)*10,[1]Hugst!$R$4:$W$4,0))))</f>
        <v>69.893622299649508</v>
      </c>
      <c r="S50">
        <f ca="1">IF($C50-S$1&lt;År1,0,R49*(1-VLOOKUP($A50,[1]Hugst!$R$5:$W$9,MATCH(ROUNDUP((S$1)/10,0)*10,[1]Hugst!$R$4:$W$4,0))))</f>
        <v>70.049644308447569</v>
      </c>
      <c r="T50">
        <f ca="1">IF($C50-T$1&lt;År1,0,S49*(1-VLOOKUP($A50,[1]Hugst!$R$5:$W$9,MATCH(ROUNDUP((T$1)/10,0)*10,[1]Hugst!$R$4:$W$4,0))))</f>
        <v>70.206450347439187</v>
      </c>
      <c r="U50">
        <f ca="1">IF($C50-U$1&lt;År1,0,T49*(1-VLOOKUP($A50,[1]Hugst!$R$5:$W$9,MATCH(ROUNDUP((U$1)/10,0)*10,[1]Hugst!$R$4:$W$4,0))))</f>
        <v>70.364044356477635</v>
      </c>
      <c r="V50">
        <f ca="1">IF($C50-V$1&lt;År1,0,U49*(1-VLOOKUP($A50,[1]Hugst!$R$5:$W$9,MATCH(ROUNDUP((V$1)/10,0)*10,[1]Hugst!$R$4:$W$4,0))))</f>
        <v>70.522430295208849</v>
      </c>
      <c r="W50">
        <f ca="1">IF($C50-W$1&lt;År1,0,V49*(1-VLOOKUP($A50,[1]Hugst!$R$5:$W$9,MATCH(ROUNDUP((W$1)/10,0)*10,[1]Hugst!$R$4:$W$4,0))))</f>
        <v>70.681612143180047</v>
      </c>
      <c r="X50">
        <f>IF($C50-X$1&lt;År1,0,W49*(1-VLOOKUP($A50,[1]Hugst!$R$5:$W$9,MATCH(ROUNDUP((X$1)/10,0)*10,[1]Hugst!$R$4:$W$4,0))))</f>
        <v>0</v>
      </c>
      <c r="Y50">
        <f>IF($C50-Y$1&lt;År1,0,X49*(1-VLOOKUP($A50,[1]Hugst!$R$5:$W$9,MATCH(ROUNDUP((Y$1)/10,0)*10,[1]Hugst!$R$4:$W$4,0))))</f>
        <v>0</v>
      </c>
      <c r="Z50">
        <f>IF($C50-Z$1&lt;År1,0,Y49*(1-VLOOKUP($A50,[1]Hugst!$R$5:$W$9,MATCH(ROUNDUP((Z$1)/10,0)*10,[1]Hugst!$R$4:$W$4,0))))</f>
        <v>0</v>
      </c>
      <c r="AA50">
        <f>IF($C50-AA$1&lt;År1,0,Z49*(1-VLOOKUP($A50,[1]Hugst!$R$5:$W$9,MATCH(ROUNDUP((AA$1)/10,0)*10,[1]Hugst!$R$4:$W$4,0))))</f>
        <v>0</v>
      </c>
      <c r="AB50">
        <f>IF($C50-AB$1&lt;År1,0,AA49*(1-VLOOKUP($A50,[1]Hugst!$R$5:$W$9,MATCH(ROUNDUP((AB$1)/10,0)*10,[1]Hugst!$R$4:$W$4,0))))</f>
        <v>0</v>
      </c>
      <c r="AC50">
        <f>IF($C50-AC$1&lt;År1,0,AB49*(1-VLOOKUP($A50,[1]Hugst!$R$5:$W$9,MATCH(ROUNDUP((AC$1)/10,0)*10,[1]Hugst!$R$4:$W$4,0))))</f>
        <v>0</v>
      </c>
      <c r="AD50">
        <f>IF($C50-AD$1&lt;År1,0,AC49*(1-VLOOKUP($A50,[1]Hugst!$R$5:$W$9,MATCH(ROUNDUP((AD$1)/10,0)*10,[1]Hugst!$R$4:$W$4,0))))</f>
        <v>0</v>
      </c>
      <c r="AE50">
        <f>IF($C50-AE$1&lt;År1,0,AD49*(1-VLOOKUP($A50,[1]Hugst!$R$5:$W$9,MATCH(ROUNDUP((AE$1)/10,0)*10,[1]Hugst!$R$4:$W$4,0))))</f>
        <v>0</v>
      </c>
      <c r="AF50">
        <f>IF($C50-AF$1&lt;År1,0,AE49*(1-VLOOKUP($A50,[1]Hugst!$R$5:$W$9,MATCH(ROUNDUP((AF$1)/10,0)*10,[1]Hugst!$R$4:$W$4,0))))</f>
        <v>0</v>
      </c>
      <c r="AG50">
        <f>IF($C50-AG$1&lt;År1,0,AF49*(1-VLOOKUP($A50,[1]Hugst!$R$5:$W$9,MATCH(ROUNDUP((AG$1)/10,0)*10,[1]Hugst!$R$4:$W$4,0))))</f>
        <v>0</v>
      </c>
      <c r="AH50">
        <f>IF($C50-AH$1&lt;År1,0,AG49*(1-VLOOKUP($A50,[1]Hugst!$R$5:$W$9,MATCH(ROUNDUP((AH$1)/10,0)*10,[1]Hugst!$R$4:$W$4,0))))</f>
        <v>0</v>
      </c>
      <c r="AI50">
        <f>IF($C50-AI$1&lt;År1,0,AH49*(1-VLOOKUP($A50,[1]Hugst!$R$5:$W$9,MATCH(ROUNDUP((AI$1)/10,0)*10,[1]Hugst!$R$4:$W$4,0))))</f>
        <v>0</v>
      </c>
      <c r="AJ50">
        <f>IF($C50-AJ$1&lt;År1,0,AI49*(1-VLOOKUP($A50,[1]Hugst!$R$5:$W$9,MATCH(ROUNDUP((AJ$1)/10,0)*10,[1]Hugst!$R$4:$W$4,0))))</f>
        <v>0</v>
      </c>
    </row>
    <row r="51" spans="1:38" x14ac:dyDescent="0.25">
      <c r="A51" t="s">
        <v>176</v>
      </c>
      <c r="B51" t="s">
        <v>24</v>
      </c>
      <c r="C51">
        <v>2038</v>
      </c>
      <c r="D51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29.089683178546693</v>
      </c>
      <c r="E51">
        <f t="shared" ca="1" si="0"/>
        <v>0</v>
      </c>
      <c r="F51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90.132207184033689</v>
      </c>
      <c r="G51">
        <f ca="1">IF($C51-G$1&lt;År1,0,F50*(1-VLOOKUP($A51,[1]Hugst!$R$5:$W$9,MATCH(ROUNDUP((G$1)/10,0)*10,[1]Hugst!$R$4:$W$4,0))))</f>
        <v>90.278386496488167</v>
      </c>
      <c r="H51">
        <f ca="1">IF($C51-H$1&lt;År1,0,G50*(1-VLOOKUP($A51,[1]Hugst!$R$5:$W$9,MATCH(ROUNDUP((H$1)/10,0)*10,[1]Hugst!$R$4:$W$4,0))))</f>
        <v>90.425300378352233</v>
      </c>
      <c r="I51">
        <f ca="1">IF($C51-I$1&lt;År1,0,H50*(1-VLOOKUP($A51,[1]Hugst!$R$5:$W$9,MATCH(ROUNDUP((I$1)/10,0)*10,[1]Hugst!$R$4:$W$4,0))))</f>
        <v>90.572952520930073</v>
      </c>
      <c r="J51">
        <f ca="1">IF($C51-J$1&lt;År1,0,I50*(1-VLOOKUP($A51,[1]Hugst!$R$5:$W$9,MATCH(ROUNDUP((J$1)/10,0)*10,[1]Hugst!$R$4:$W$4,0))))</f>
        <v>90.721346634072461</v>
      </c>
      <c r="K51">
        <f ca="1">IF($C51-K$1&lt;År1,0,J50*(1-VLOOKUP($A51,[1]Hugst!$R$5:$W$9,MATCH(ROUNDUP((K$1)/10,0)*10,[1]Hugst!$R$4:$W$4,0))))</f>
        <v>90.870486446276232</v>
      </c>
      <c r="L51">
        <f ca="1">IF($C51-L$1&lt;År1,0,K50*(1-VLOOKUP($A51,[1]Hugst!$R$5:$W$9,MATCH(ROUNDUP((L$1)/10,0)*10,[1]Hugst!$R$4:$W$4,0))))</f>
        <v>91.02037570477313</v>
      </c>
      <c r="M51">
        <f ca="1">IF($C51-M$1&lt;År1,0,L50*(1-VLOOKUP($A51,[1]Hugst!$R$5:$W$9,MATCH(ROUNDUP((M$1)/10,0)*10,[1]Hugst!$R$4:$W$4,0))))</f>
        <v>91.171018175622692</v>
      </c>
      <c r="N51">
        <f ca="1">IF($C51-N$1&lt;År1,0,M50*(1-VLOOKUP($A51,[1]Hugst!$R$5:$W$9,MATCH(ROUNDUP((N$1)/10,0)*10,[1]Hugst!$R$4:$W$4,0))))</f>
        <v>69.125136187275132</v>
      </c>
      <c r="O51">
        <f ca="1">IF($C51-O$1&lt;År1,0,N50*(1-VLOOKUP($A51,[1]Hugst!$R$5:$W$9,MATCH(ROUNDUP((O$1)/10,0)*10,[1]Hugst!$R$4:$W$4,0))))</f>
        <v>69.277296456813701</v>
      </c>
      <c r="P51">
        <f ca="1">IF($C51-P$1&lt;År1,0,O50*(1-VLOOKUP($A51,[1]Hugst!$R$5:$W$9,MATCH(ROUNDUP((P$1)/10,0)*10,[1]Hugst!$R$4:$W$4,0))))</f>
        <v>69.430221350823388</v>
      </c>
      <c r="Q51">
        <f ca="1">IF($C51-Q$1&lt;År1,0,P50*(1-VLOOKUP($A51,[1]Hugst!$R$5:$W$9,MATCH(ROUNDUP((Q$1)/10,0)*10,[1]Hugst!$R$4:$W$4,0))))</f>
        <v>69.583914711636112</v>
      </c>
      <c r="R51">
        <f ca="1">IF($C51-R$1&lt;År1,0,Q50*(1-VLOOKUP($A51,[1]Hugst!$R$5:$W$9,MATCH(ROUNDUP((R$1)/10,0)*10,[1]Hugst!$R$4:$W$4,0))))</f>
        <v>69.73838040089737</v>
      </c>
      <c r="S51">
        <f ca="1">IF($C51-S$1&lt;År1,0,R50*(1-VLOOKUP($A51,[1]Hugst!$R$5:$W$9,MATCH(ROUNDUP((S$1)/10,0)*10,[1]Hugst!$R$4:$W$4,0))))</f>
        <v>69.893622299649508</v>
      </c>
      <c r="T51">
        <f ca="1">IF($C51-T$1&lt;År1,0,S50*(1-VLOOKUP($A51,[1]Hugst!$R$5:$W$9,MATCH(ROUNDUP((T$1)/10,0)*10,[1]Hugst!$R$4:$W$4,0))))</f>
        <v>70.049644308447569</v>
      </c>
      <c r="U51">
        <f ca="1">IF($C51-U$1&lt;År1,0,T50*(1-VLOOKUP($A51,[1]Hugst!$R$5:$W$9,MATCH(ROUNDUP((U$1)/10,0)*10,[1]Hugst!$R$4:$W$4,0))))</f>
        <v>70.206450347439187</v>
      </c>
      <c r="V51">
        <f ca="1">IF($C51-V$1&lt;År1,0,U50*(1-VLOOKUP($A51,[1]Hugst!$R$5:$W$9,MATCH(ROUNDUP((V$1)/10,0)*10,[1]Hugst!$R$4:$W$4,0))))</f>
        <v>70.364044356477635</v>
      </c>
      <c r="W51">
        <f ca="1">IF($C51-W$1&lt;År1,0,V50*(1-VLOOKUP($A51,[1]Hugst!$R$5:$W$9,MATCH(ROUNDUP((W$1)/10,0)*10,[1]Hugst!$R$4:$W$4,0))))</f>
        <v>70.522430295208849</v>
      </c>
      <c r="X51">
        <f ca="1">IF($C51-X$1&lt;År1,0,W50*(1-VLOOKUP($A51,[1]Hugst!$R$5:$W$9,MATCH(ROUNDUP((X$1)/10,0)*10,[1]Hugst!$R$4:$W$4,0))))</f>
        <v>70.681612143180047</v>
      </c>
      <c r="Y51">
        <f>IF($C51-Y$1&lt;År1,0,X50*(1-VLOOKUP($A51,[1]Hugst!$R$5:$W$9,MATCH(ROUNDUP((Y$1)/10,0)*10,[1]Hugst!$R$4:$W$4,0))))</f>
        <v>0</v>
      </c>
      <c r="Z51">
        <f>IF($C51-Z$1&lt;År1,0,Y50*(1-VLOOKUP($A51,[1]Hugst!$R$5:$W$9,MATCH(ROUNDUP((Z$1)/10,0)*10,[1]Hugst!$R$4:$W$4,0))))</f>
        <v>0</v>
      </c>
      <c r="AA51">
        <f>IF($C51-AA$1&lt;År1,0,Z50*(1-VLOOKUP($A51,[1]Hugst!$R$5:$W$9,MATCH(ROUNDUP((AA$1)/10,0)*10,[1]Hugst!$R$4:$W$4,0))))</f>
        <v>0</v>
      </c>
      <c r="AB51">
        <f>IF($C51-AB$1&lt;År1,0,AA50*(1-VLOOKUP($A51,[1]Hugst!$R$5:$W$9,MATCH(ROUNDUP((AB$1)/10,0)*10,[1]Hugst!$R$4:$W$4,0))))</f>
        <v>0</v>
      </c>
      <c r="AC51">
        <f>IF($C51-AC$1&lt;År1,0,AB50*(1-VLOOKUP($A51,[1]Hugst!$R$5:$W$9,MATCH(ROUNDUP((AC$1)/10,0)*10,[1]Hugst!$R$4:$W$4,0))))</f>
        <v>0</v>
      </c>
      <c r="AD51">
        <f>IF($C51-AD$1&lt;År1,0,AC50*(1-VLOOKUP($A51,[1]Hugst!$R$5:$W$9,MATCH(ROUNDUP((AD$1)/10,0)*10,[1]Hugst!$R$4:$W$4,0))))</f>
        <v>0</v>
      </c>
      <c r="AE51">
        <f>IF($C51-AE$1&lt;År1,0,AD50*(1-VLOOKUP($A51,[1]Hugst!$R$5:$W$9,MATCH(ROUNDUP((AE$1)/10,0)*10,[1]Hugst!$R$4:$W$4,0))))</f>
        <v>0</v>
      </c>
      <c r="AF51">
        <f>IF($C51-AF$1&lt;År1,0,AE50*(1-VLOOKUP($A51,[1]Hugst!$R$5:$W$9,MATCH(ROUNDUP((AF$1)/10,0)*10,[1]Hugst!$R$4:$W$4,0))))</f>
        <v>0</v>
      </c>
      <c r="AG51">
        <f>IF($C51-AG$1&lt;År1,0,AF50*(1-VLOOKUP($A51,[1]Hugst!$R$5:$W$9,MATCH(ROUNDUP((AG$1)/10,0)*10,[1]Hugst!$R$4:$W$4,0))))</f>
        <v>0</v>
      </c>
      <c r="AH51">
        <f>IF($C51-AH$1&lt;År1,0,AG50*(1-VLOOKUP($A51,[1]Hugst!$R$5:$W$9,MATCH(ROUNDUP((AH$1)/10,0)*10,[1]Hugst!$R$4:$W$4,0))))</f>
        <v>0</v>
      </c>
      <c r="AI51">
        <f>IF($C51-AI$1&lt;År1,0,AH50*(1-VLOOKUP($A51,[1]Hugst!$R$5:$W$9,MATCH(ROUNDUP((AI$1)/10,0)*10,[1]Hugst!$R$4:$W$4,0))))</f>
        <v>0</v>
      </c>
      <c r="AJ51">
        <f>IF($C51-AJ$1&lt;År1,0,AI50*(1-VLOOKUP($A51,[1]Hugst!$R$5:$W$9,MATCH(ROUNDUP((AJ$1)/10,0)*10,[1]Hugst!$R$4:$W$4,0))))</f>
        <v>0</v>
      </c>
    </row>
    <row r="52" spans="1:38" x14ac:dyDescent="0.25">
      <c r="A52" t="s">
        <v>176</v>
      </c>
      <c r="B52" t="s">
        <v>24</v>
      </c>
      <c r="C52">
        <v>2039</v>
      </c>
      <c r="D52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28.944234762652854</v>
      </c>
      <c r="E52">
        <f t="shared" ca="1" si="0"/>
        <v>0</v>
      </c>
      <c r="F52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89.98675876813985</v>
      </c>
      <c r="G52">
        <f ca="1">IF($C52-G$1&lt;År1,0,F51*(1-VLOOKUP($A52,[1]Hugst!$R$5:$W$9,MATCH(ROUNDUP((G$1)/10,0)*10,[1]Hugst!$R$4:$W$4,0))))</f>
        <v>90.132207184033689</v>
      </c>
      <c r="H52">
        <f ca="1">IF($C52-H$1&lt;År1,0,G51*(1-VLOOKUP($A52,[1]Hugst!$R$5:$W$9,MATCH(ROUNDUP((H$1)/10,0)*10,[1]Hugst!$R$4:$W$4,0))))</f>
        <v>90.278386496488167</v>
      </c>
      <c r="I52">
        <f ca="1">IF($C52-I$1&lt;År1,0,H51*(1-VLOOKUP($A52,[1]Hugst!$R$5:$W$9,MATCH(ROUNDUP((I$1)/10,0)*10,[1]Hugst!$R$4:$W$4,0))))</f>
        <v>90.425300378352233</v>
      </c>
      <c r="J52">
        <f ca="1">IF($C52-J$1&lt;År1,0,I51*(1-VLOOKUP($A52,[1]Hugst!$R$5:$W$9,MATCH(ROUNDUP((J$1)/10,0)*10,[1]Hugst!$R$4:$W$4,0))))</f>
        <v>90.572952520930073</v>
      </c>
      <c r="K52">
        <f ca="1">IF($C52-K$1&lt;År1,0,J51*(1-VLOOKUP($A52,[1]Hugst!$R$5:$W$9,MATCH(ROUNDUP((K$1)/10,0)*10,[1]Hugst!$R$4:$W$4,0))))</f>
        <v>90.721346634072461</v>
      </c>
      <c r="L52">
        <f ca="1">IF($C52-L$1&lt;År1,0,K51*(1-VLOOKUP($A52,[1]Hugst!$R$5:$W$9,MATCH(ROUNDUP((L$1)/10,0)*10,[1]Hugst!$R$4:$W$4,0))))</f>
        <v>90.870486446276232</v>
      </c>
      <c r="M52">
        <f ca="1">IF($C52-M$1&lt;År1,0,L51*(1-VLOOKUP($A52,[1]Hugst!$R$5:$W$9,MATCH(ROUNDUP((M$1)/10,0)*10,[1]Hugst!$R$4:$W$4,0))))</f>
        <v>91.02037570477313</v>
      </c>
      <c r="N52">
        <f ca="1">IF($C52-N$1&lt;År1,0,M51*(1-VLOOKUP($A52,[1]Hugst!$R$5:$W$9,MATCH(ROUNDUP((N$1)/10,0)*10,[1]Hugst!$R$4:$W$4,0))))</f>
        <v>91.171018175622692</v>
      </c>
      <c r="O52">
        <f ca="1">IF($C52-O$1&lt;År1,0,N51*(1-VLOOKUP($A52,[1]Hugst!$R$5:$W$9,MATCH(ROUNDUP((O$1)/10,0)*10,[1]Hugst!$R$4:$W$4,0))))</f>
        <v>69.125136187275132</v>
      </c>
      <c r="P52">
        <f ca="1">IF($C52-P$1&lt;År1,0,O51*(1-VLOOKUP($A52,[1]Hugst!$R$5:$W$9,MATCH(ROUNDUP((P$1)/10,0)*10,[1]Hugst!$R$4:$W$4,0))))</f>
        <v>69.277296456813701</v>
      </c>
      <c r="Q52">
        <f ca="1">IF($C52-Q$1&lt;År1,0,P51*(1-VLOOKUP($A52,[1]Hugst!$R$5:$W$9,MATCH(ROUNDUP((Q$1)/10,0)*10,[1]Hugst!$R$4:$W$4,0))))</f>
        <v>69.430221350823388</v>
      </c>
      <c r="R52">
        <f ca="1">IF($C52-R$1&lt;År1,0,Q51*(1-VLOOKUP($A52,[1]Hugst!$R$5:$W$9,MATCH(ROUNDUP((R$1)/10,0)*10,[1]Hugst!$R$4:$W$4,0))))</f>
        <v>69.583914711636112</v>
      </c>
      <c r="S52">
        <f ca="1">IF($C52-S$1&lt;År1,0,R51*(1-VLOOKUP($A52,[1]Hugst!$R$5:$W$9,MATCH(ROUNDUP((S$1)/10,0)*10,[1]Hugst!$R$4:$W$4,0))))</f>
        <v>69.73838040089737</v>
      </c>
      <c r="T52">
        <f ca="1">IF($C52-T$1&lt;År1,0,S51*(1-VLOOKUP($A52,[1]Hugst!$R$5:$W$9,MATCH(ROUNDUP((T$1)/10,0)*10,[1]Hugst!$R$4:$W$4,0))))</f>
        <v>69.893622299649508</v>
      </c>
      <c r="U52">
        <f ca="1">IF($C52-U$1&lt;År1,0,T51*(1-VLOOKUP($A52,[1]Hugst!$R$5:$W$9,MATCH(ROUNDUP((U$1)/10,0)*10,[1]Hugst!$R$4:$W$4,0))))</f>
        <v>70.049644308447569</v>
      </c>
      <c r="V52">
        <f ca="1">IF($C52-V$1&lt;År1,0,U51*(1-VLOOKUP($A52,[1]Hugst!$R$5:$W$9,MATCH(ROUNDUP((V$1)/10,0)*10,[1]Hugst!$R$4:$W$4,0))))</f>
        <v>70.206450347439187</v>
      </c>
      <c r="W52">
        <f ca="1">IF($C52-W$1&lt;År1,0,V51*(1-VLOOKUP($A52,[1]Hugst!$R$5:$W$9,MATCH(ROUNDUP((W$1)/10,0)*10,[1]Hugst!$R$4:$W$4,0))))</f>
        <v>70.364044356477635</v>
      </c>
      <c r="X52">
        <f ca="1">IF($C52-X$1&lt;År1,0,W51*(1-VLOOKUP($A52,[1]Hugst!$R$5:$W$9,MATCH(ROUNDUP((X$1)/10,0)*10,[1]Hugst!$R$4:$W$4,0))))</f>
        <v>70.522430295208849</v>
      </c>
      <c r="Y52">
        <f ca="1">IF($C52-Y$1&lt;År1,0,X51*(1-VLOOKUP($A52,[1]Hugst!$R$5:$W$9,MATCH(ROUNDUP((Y$1)/10,0)*10,[1]Hugst!$R$4:$W$4,0))))</f>
        <v>70.681612143180047</v>
      </c>
      <c r="Z52">
        <f>IF($C52-Z$1&lt;År1,0,Y51*(1-VLOOKUP($A52,[1]Hugst!$R$5:$W$9,MATCH(ROUNDUP((Z$1)/10,0)*10,[1]Hugst!$R$4:$W$4,0))))</f>
        <v>0</v>
      </c>
      <c r="AA52">
        <f>IF($C52-AA$1&lt;År1,0,Z51*(1-VLOOKUP($A52,[1]Hugst!$R$5:$W$9,MATCH(ROUNDUP((AA$1)/10,0)*10,[1]Hugst!$R$4:$W$4,0))))</f>
        <v>0</v>
      </c>
      <c r="AB52">
        <f>IF($C52-AB$1&lt;År1,0,AA51*(1-VLOOKUP($A52,[1]Hugst!$R$5:$W$9,MATCH(ROUNDUP((AB$1)/10,0)*10,[1]Hugst!$R$4:$W$4,0))))</f>
        <v>0</v>
      </c>
      <c r="AC52">
        <f>IF($C52-AC$1&lt;År1,0,AB51*(1-VLOOKUP($A52,[1]Hugst!$R$5:$W$9,MATCH(ROUNDUP((AC$1)/10,0)*10,[1]Hugst!$R$4:$W$4,0))))</f>
        <v>0</v>
      </c>
      <c r="AD52">
        <f>IF($C52-AD$1&lt;År1,0,AC51*(1-VLOOKUP($A52,[1]Hugst!$R$5:$W$9,MATCH(ROUNDUP((AD$1)/10,0)*10,[1]Hugst!$R$4:$W$4,0))))</f>
        <v>0</v>
      </c>
      <c r="AE52">
        <f>IF($C52-AE$1&lt;År1,0,AD51*(1-VLOOKUP($A52,[1]Hugst!$R$5:$W$9,MATCH(ROUNDUP((AE$1)/10,0)*10,[1]Hugst!$R$4:$W$4,0))))</f>
        <v>0</v>
      </c>
      <c r="AF52">
        <f>IF($C52-AF$1&lt;År1,0,AE51*(1-VLOOKUP($A52,[1]Hugst!$R$5:$W$9,MATCH(ROUNDUP((AF$1)/10,0)*10,[1]Hugst!$R$4:$W$4,0))))</f>
        <v>0</v>
      </c>
      <c r="AG52">
        <f>IF($C52-AG$1&lt;År1,0,AF51*(1-VLOOKUP($A52,[1]Hugst!$R$5:$W$9,MATCH(ROUNDUP((AG$1)/10,0)*10,[1]Hugst!$R$4:$W$4,0))))</f>
        <v>0</v>
      </c>
      <c r="AH52">
        <f>IF($C52-AH$1&lt;År1,0,AG51*(1-VLOOKUP($A52,[1]Hugst!$R$5:$W$9,MATCH(ROUNDUP((AH$1)/10,0)*10,[1]Hugst!$R$4:$W$4,0))))</f>
        <v>0</v>
      </c>
      <c r="AI52">
        <f>IF($C52-AI$1&lt;År1,0,AH51*(1-VLOOKUP($A52,[1]Hugst!$R$5:$W$9,MATCH(ROUNDUP((AI$1)/10,0)*10,[1]Hugst!$R$4:$W$4,0))))</f>
        <v>0</v>
      </c>
      <c r="AJ52">
        <f>IF($C52-AJ$1&lt;År1,0,AI51*(1-VLOOKUP($A52,[1]Hugst!$R$5:$W$9,MATCH(ROUNDUP((AJ$1)/10,0)*10,[1]Hugst!$R$4:$W$4,0))))</f>
        <v>0</v>
      </c>
    </row>
    <row r="53" spans="1:38" x14ac:dyDescent="0.25">
      <c r="A53" t="s">
        <v>176</v>
      </c>
      <c r="B53" t="s">
        <v>24</v>
      </c>
      <c r="C53">
        <v>2040</v>
      </c>
      <c r="D53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28.79951358884</v>
      </c>
      <c r="E53">
        <f t="shared" ca="1" si="0"/>
        <v>0</v>
      </c>
      <c r="F53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89.842037594326996</v>
      </c>
      <c r="G53">
        <f ca="1">IF($C53-G$1&lt;År1,0,F52*(1-VLOOKUP($A53,[1]Hugst!$R$5:$W$9,MATCH(ROUNDUP((G$1)/10,0)*10,[1]Hugst!$R$4:$W$4,0))))</f>
        <v>89.98675876813985</v>
      </c>
      <c r="H53">
        <f ca="1">IF($C53-H$1&lt;År1,0,G52*(1-VLOOKUP($A53,[1]Hugst!$R$5:$W$9,MATCH(ROUNDUP((H$1)/10,0)*10,[1]Hugst!$R$4:$W$4,0))))</f>
        <v>90.132207184033689</v>
      </c>
      <c r="I53">
        <f ca="1">IF($C53-I$1&lt;År1,0,H52*(1-VLOOKUP($A53,[1]Hugst!$R$5:$W$9,MATCH(ROUNDUP((I$1)/10,0)*10,[1]Hugst!$R$4:$W$4,0))))</f>
        <v>90.278386496488167</v>
      </c>
      <c r="J53">
        <f ca="1">IF($C53-J$1&lt;År1,0,I52*(1-VLOOKUP($A53,[1]Hugst!$R$5:$W$9,MATCH(ROUNDUP((J$1)/10,0)*10,[1]Hugst!$R$4:$W$4,0))))</f>
        <v>90.425300378352233</v>
      </c>
      <c r="K53">
        <f ca="1">IF($C53-K$1&lt;År1,0,J52*(1-VLOOKUP($A53,[1]Hugst!$R$5:$W$9,MATCH(ROUNDUP((K$1)/10,0)*10,[1]Hugst!$R$4:$W$4,0))))</f>
        <v>90.572952520930073</v>
      </c>
      <c r="L53">
        <f ca="1">IF($C53-L$1&lt;År1,0,K52*(1-VLOOKUP($A53,[1]Hugst!$R$5:$W$9,MATCH(ROUNDUP((L$1)/10,0)*10,[1]Hugst!$R$4:$W$4,0))))</f>
        <v>90.721346634072461</v>
      </c>
      <c r="M53">
        <f ca="1">IF($C53-M$1&lt;År1,0,L52*(1-VLOOKUP($A53,[1]Hugst!$R$5:$W$9,MATCH(ROUNDUP((M$1)/10,0)*10,[1]Hugst!$R$4:$W$4,0))))</f>
        <v>90.870486446276232</v>
      </c>
      <c r="N53">
        <f ca="1">IF($C53-N$1&lt;År1,0,M52*(1-VLOOKUP($A53,[1]Hugst!$R$5:$W$9,MATCH(ROUNDUP((N$1)/10,0)*10,[1]Hugst!$R$4:$W$4,0))))</f>
        <v>91.02037570477313</v>
      </c>
      <c r="O53">
        <f ca="1">IF($C53-O$1&lt;År1,0,N52*(1-VLOOKUP($A53,[1]Hugst!$R$5:$W$9,MATCH(ROUNDUP((O$1)/10,0)*10,[1]Hugst!$R$4:$W$4,0))))</f>
        <v>91.171018175622692</v>
      </c>
      <c r="P53">
        <f ca="1">IF($C53-P$1&lt;År1,0,O52*(1-VLOOKUP($A53,[1]Hugst!$R$5:$W$9,MATCH(ROUNDUP((P$1)/10,0)*10,[1]Hugst!$R$4:$W$4,0))))</f>
        <v>69.125136187275132</v>
      </c>
      <c r="Q53">
        <f ca="1">IF($C53-Q$1&lt;År1,0,P52*(1-VLOOKUP($A53,[1]Hugst!$R$5:$W$9,MATCH(ROUNDUP((Q$1)/10,0)*10,[1]Hugst!$R$4:$W$4,0))))</f>
        <v>69.277296456813701</v>
      </c>
      <c r="R53">
        <f ca="1">IF($C53-R$1&lt;År1,0,Q52*(1-VLOOKUP($A53,[1]Hugst!$R$5:$W$9,MATCH(ROUNDUP((R$1)/10,0)*10,[1]Hugst!$R$4:$W$4,0))))</f>
        <v>69.430221350823388</v>
      </c>
      <c r="S53">
        <f ca="1">IF($C53-S$1&lt;År1,0,R52*(1-VLOOKUP($A53,[1]Hugst!$R$5:$W$9,MATCH(ROUNDUP((S$1)/10,0)*10,[1]Hugst!$R$4:$W$4,0))))</f>
        <v>69.583914711636112</v>
      </c>
      <c r="T53">
        <f ca="1">IF($C53-T$1&lt;År1,0,S52*(1-VLOOKUP($A53,[1]Hugst!$R$5:$W$9,MATCH(ROUNDUP((T$1)/10,0)*10,[1]Hugst!$R$4:$W$4,0))))</f>
        <v>69.73838040089737</v>
      </c>
      <c r="U53">
        <f ca="1">IF($C53-U$1&lt;År1,0,T52*(1-VLOOKUP($A53,[1]Hugst!$R$5:$W$9,MATCH(ROUNDUP((U$1)/10,0)*10,[1]Hugst!$R$4:$W$4,0))))</f>
        <v>69.893622299649508</v>
      </c>
      <c r="V53">
        <f ca="1">IF($C53-V$1&lt;År1,0,U52*(1-VLOOKUP($A53,[1]Hugst!$R$5:$W$9,MATCH(ROUNDUP((V$1)/10,0)*10,[1]Hugst!$R$4:$W$4,0))))</f>
        <v>70.049644308447569</v>
      </c>
      <c r="W53">
        <f ca="1">IF($C53-W$1&lt;År1,0,V52*(1-VLOOKUP($A53,[1]Hugst!$R$5:$W$9,MATCH(ROUNDUP((W$1)/10,0)*10,[1]Hugst!$R$4:$W$4,0))))</f>
        <v>70.206450347439187</v>
      </c>
      <c r="X53">
        <f ca="1">IF($C53-X$1&lt;År1,0,W52*(1-VLOOKUP($A53,[1]Hugst!$R$5:$W$9,MATCH(ROUNDUP((X$1)/10,0)*10,[1]Hugst!$R$4:$W$4,0))))</f>
        <v>70.364044356477635</v>
      </c>
      <c r="Y53">
        <f ca="1">IF($C53-Y$1&lt;År1,0,X52*(1-VLOOKUP($A53,[1]Hugst!$R$5:$W$9,MATCH(ROUNDUP((Y$1)/10,0)*10,[1]Hugst!$R$4:$W$4,0))))</f>
        <v>70.522430295208849</v>
      </c>
      <c r="Z53">
        <f ca="1">IF($C53-Z$1&lt;År1,0,Y52*(1-VLOOKUP($A53,[1]Hugst!$R$5:$W$9,MATCH(ROUNDUP((Z$1)/10,0)*10,[1]Hugst!$R$4:$W$4,0))))</f>
        <v>70.681612143180047</v>
      </c>
      <c r="AA53">
        <f>IF($C53-AA$1&lt;År1,0,Z52*(1-VLOOKUP($A53,[1]Hugst!$R$5:$W$9,MATCH(ROUNDUP((AA$1)/10,0)*10,[1]Hugst!$R$4:$W$4,0))))</f>
        <v>0</v>
      </c>
      <c r="AB53">
        <f>IF($C53-AB$1&lt;År1,0,AA52*(1-VLOOKUP($A53,[1]Hugst!$R$5:$W$9,MATCH(ROUNDUP((AB$1)/10,0)*10,[1]Hugst!$R$4:$W$4,0))))</f>
        <v>0</v>
      </c>
      <c r="AC53">
        <f>IF($C53-AC$1&lt;År1,0,AB52*(1-VLOOKUP($A53,[1]Hugst!$R$5:$W$9,MATCH(ROUNDUP((AC$1)/10,0)*10,[1]Hugst!$R$4:$W$4,0))))</f>
        <v>0</v>
      </c>
      <c r="AD53">
        <f>IF($C53-AD$1&lt;År1,0,AC52*(1-VLOOKUP($A53,[1]Hugst!$R$5:$W$9,MATCH(ROUNDUP((AD$1)/10,0)*10,[1]Hugst!$R$4:$W$4,0))))</f>
        <v>0</v>
      </c>
      <c r="AE53">
        <f>IF($C53-AE$1&lt;År1,0,AD52*(1-VLOOKUP($A53,[1]Hugst!$R$5:$W$9,MATCH(ROUNDUP((AE$1)/10,0)*10,[1]Hugst!$R$4:$W$4,0))))</f>
        <v>0</v>
      </c>
      <c r="AF53">
        <f>IF($C53-AF$1&lt;År1,0,AE52*(1-VLOOKUP($A53,[1]Hugst!$R$5:$W$9,MATCH(ROUNDUP((AF$1)/10,0)*10,[1]Hugst!$R$4:$W$4,0))))</f>
        <v>0</v>
      </c>
      <c r="AG53">
        <f>IF($C53-AG$1&lt;År1,0,AF52*(1-VLOOKUP($A53,[1]Hugst!$R$5:$W$9,MATCH(ROUNDUP((AG$1)/10,0)*10,[1]Hugst!$R$4:$W$4,0))))</f>
        <v>0</v>
      </c>
      <c r="AH53">
        <f>IF($C53-AH$1&lt;År1,0,AG52*(1-VLOOKUP($A53,[1]Hugst!$R$5:$W$9,MATCH(ROUNDUP((AH$1)/10,0)*10,[1]Hugst!$R$4:$W$4,0))))</f>
        <v>0</v>
      </c>
      <c r="AI53">
        <f>IF($C53-AI$1&lt;År1,0,AH52*(1-VLOOKUP($A53,[1]Hugst!$R$5:$W$9,MATCH(ROUNDUP((AI$1)/10,0)*10,[1]Hugst!$R$4:$W$4,0))))</f>
        <v>0</v>
      </c>
      <c r="AJ53">
        <f>IF($C53-AJ$1&lt;År1,0,AI52*(1-VLOOKUP($A53,[1]Hugst!$R$5:$W$9,MATCH(ROUNDUP((AJ$1)/10,0)*10,[1]Hugst!$R$4:$W$4,0))))</f>
        <v>0</v>
      </c>
    </row>
    <row r="54" spans="1:38" x14ac:dyDescent="0.25">
      <c r="A54" t="s">
        <v>176</v>
      </c>
      <c r="B54" t="s">
        <v>24</v>
      </c>
      <c r="C54">
        <v>2041</v>
      </c>
      <c r="D54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28.65551602089613</v>
      </c>
      <c r="E54">
        <f t="shared" ca="1" si="0"/>
        <v>0</v>
      </c>
      <c r="F54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89.698040026383126</v>
      </c>
      <c r="G54">
        <f ca="1">IF($C54-G$1&lt;År1,0,F53*(1-VLOOKUP($A54,[1]Hugst!$R$5:$W$9,MATCH(ROUNDUP((G$1)/10,0)*10,[1]Hugst!$R$4:$W$4,0))))</f>
        <v>89.842037594326996</v>
      </c>
      <c r="H54">
        <f ca="1">IF($C54-H$1&lt;År1,0,G53*(1-VLOOKUP($A54,[1]Hugst!$R$5:$W$9,MATCH(ROUNDUP((H$1)/10,0)*10,[1]Hugst!$R$4:$W$4,0))))</f>
        <v>89.98675876813985</v>
      </c>
      <c r="I54">
        <f ca="1">IF($C54-I$1&lt;År1,0,H53*(1-VLOOKUP($A54,[1]Hugst!$R$5:$W$9,MATCH(ROUNDUP((I$1)/10,0)*10,[1]Hugst!$R$4:$W$4,0))))</f>
        <v>90.132207184033689</v>
      </c>
      <c r="J54">
        <f ca="1">IF($C54-J$1&lt;År1,0,I53*(1-VLOOKUP($A54,[1]Hugst!$R$5:$W$9,MATCH(ROUNDUP((J$1)/10,0)*10,[1]Hugst!$R$4:$W$4,0))))</f>
        <v>90.278386496488167</v>
      </c>
      <c r="K54">
        <f ca="1">IF($C54-K$1&lt;År1,0,J53*(1-VLOOKUP($A54,[1]Hugst!$R$5:$W$9,MATCH(ROUNDUP((K$1)/10,0)*10,[1]Hugst!$R$4:$W$4,0))))</f>
        <v>90.425300378352233</v>
      </c>
      <c r="L54">
        <f ca="1">IF($C54-L$1&lt;År1,0,K53*(1-VLOOKUP($A54,[1]Hugst!$R$5:$W$9,MATCH(ROUNDUP((L$1)/10,0)*10,[1]Hugst!$R$4:$W$4,0))))</f>
        <v>90.572952520930073</v>
      </c>
      <c r="M54">
        <f ca="1">IF($C54-M$1&lt;År1,0,L53*(1-VLOOKUP($A54,[1]Hugst!$R$5:$W$9,MATCH(ROUNDUP((M$1)/10,0)*10,[1]Hugst!$R$4:$W$4,0))))</f>
        <v>90.721346634072461</v>
      </c>
      <c r="N54">
        <f ca="1">IF($C54-N$1&lt;År1,0,M53*(1-VLOOKUP($A54,[1]Hugst!$R$5:$W$9,MATCH(ROUNDUP((N$1)/10,0)*10,[1]Hugst!$R$4:$W$4,0))))</f>
        <v>90.870486446276232</v>
      </c>
      <c r="O54">
        <f ca="1">IF($C54-O$1&lt;År1,0,N53*(1-VLOOKUP($A54,[1]Hugst!$R$5:$W$9,MATCH(ROUNDUP((O$1)/10,0)*10,[1]Hugst!$R$4:$W$4,0))))</f>
        <v>91.02037570477313</v>
      </c>
      <c r="P54">
        <f ca="1">IF($C54-P$1&lt;År1,0,O53*(1-VLOOKUP($A54,[1]Hugst!$R$5:$W$9,MATCH(ROUNDUP((P$1)/10,0)*10,[1]Hugst!$R$4:$W$4,0))))</f>
        <v>91.171018175622692</v>
      </c>
      <c r="Q54">
        <f ca="1">IF($C54-Q$1&lt;År1,0,P53*(1-VLOOKUP($A54,[1]Hugst!$R$5:$W$9,MATCH(ROUNDUP((Q$1)/10,0)*10,[1]Hugst!$R$4:$W$4,0))))</f>
        <v>69.125136187275132</v>
      </c>
      <c r="R54">
        <f ca="1">IF($C54-R$1&lt;År1,0,Q53*(1-VLOOKUP($A54,[1]Hugst!$R$5:$W$9,MATCH(ROUNDUP((R$1)/10,0)*10,[1]Hugst!$R$4:$W$4,0))))</f>
        <v>69.277296456813701</v>
      </c>
      <c r="S54">
        <f ca="1">IF($C54-S$1&lt;År1,0,R53*(1-VLOOKUP($A54,[1]Hugst!$R$5:$W$9,MATCH(ROUNDUP((S$1)/10,0)*10,[1]Hugst!$R$4:$W$4,0))))</f>
        <v>69.430221350823388</v>
      </c>
      <c r="T54">
        <f ca="1">IF($C54-T$1&lt;År1,0,S53*(1-VLOOKUP($A54,[1]Hugst!$R$5:$W$9,MATCH(ROUNDUP((T$1)/10,0)*10,[1]Hugst!$R$4:$W$4,0))))</f>
        <v>69.583914711636112</v>
      </c>
      <c r="U54">
        <f ca="1">IF($C54-U$1&lt;År1,0,T53*(1-VLOOKUP($A54,[1]Hugst!$R$5:$W$9,MATCH(ROUNDUP((U$1)/10,0)*10,[1]Hugst!$R$4:$W$4,0))))</f>
        <v>69.73838040089737</v>
      </c>
      <c r="V54">
        <f ca="1">IF($C54-V$1&lt;År1,0,U53*(1-VLOOKUP($A54,[1]Hugst!$R$5:$W$9,MATCH(ROUNDUP((V$1)/10,0)*10,[1]Hugst!$R$4:$W$4,0))))</f>
        <v>69.893622299649508</v>
      </c>
      <c r="W54">
        <f ca="1">IF($C54-W$1&lt;År1,0,V53*(1-VLOOKUP($A54,[1]Hugst!$R$5:$W$9,MATCH(ROUNDUP((W$1)/10,0)*10,[1]Hugst!$R$4:$W$4,0))))</f>
        <v>70.049644308447569</v>
      </c>
      <c r="X54">
        <f ca="1">IF($C54-X$1&lt;År1,0,W53*(1-VLOOKUP($A54,[1]Hugst!$R$5:$W$9,MATCH(ROUNDUP((X$1)/10,0)*10,[1]Hugst!$R$4:$W$4,0))))</f>
        <v>70.206450347439187</v>
      </c>
      <c r="Y54">
        <f ca="1">IF($C54-Y$1&lt;År1,0,X53*(1-VLOOKUP($A54,[1]Hugst!$R$5:$W$9,MATCH(ROUNDUP((Y$1)/10,0)*10,[1]Hugst!$R$4:$W$4,0))))</f>
        <v>70.364044356477635</v>
      </c>
      <c r="Z54">
        <f ca="1">IF($C54-Z$1&lt;År1,0,Y53*(1-VLOOKUP($A54,[1]Hugst!$R$5:$W$9,MATCH(ROUNDUP((Z$1)/10,0)*10,[1]Hugst!$R$4:$W$4,0))))</f>
        <v>70.522430295208849</v>
      </c>
      <c r="AA54">
        <f ca="1">IF($C54-AA$1&lt;År1,0,Z53*(1-VLOOKUP($A54,[1]Hugst!$R$5:$W$9,MATCH(ROUNDUP((AA$1)/10,0)*10,[1]Hugst!$R$4:$W$4,0))))</f>
        <v>70.681612143180047</v>
      </c>
      <c r="AB54">
        <f>IF($C54-AB$1&lt;År1,0,AA53*(1-VLOOKUP($A54,[1]Hugst!$R$5:$W$9,MATCH(ROUNDUP((AB$1)/10,0)*10,[1]Hugst!$R$4:$W$4,0))))</f>
        <v>0</v>
      </c>
      <c r="AC54">
        <f>IF($C54-AC$1&lt;År1,0,AB53*(1-VLOOKUP($A54,[1]Hugst!$R$5:$W$9,MATCH(ROUNDUP((AC$1)/10,0)*10,[1]Hugst!$R$4:$W$4,0))))</f>
        <v>0</v>
      </c>
      <c r="AD54">
        <f>IF($C54-AD$1&lt;År1,0,AC53*(1-VLOOKUP($A54,[1]Hugst!$R$5:$W$9,MATCH(ROUNDUP((AD$1)/10,0)*10,[1]Hugst!$R$4:$W$4,0))))</f>
        <v>0</v>
      </c>
      <c r="AE54">
        <f>IF($C54-AE$1&lt;År1,0,AD53*(1-VLOOKUP($A54,[1]Hugst!$R$5:$W$9,MATCH(ROUNDUP((AE$1)/10,0)*10,[1]Hugst!$R$4:$W$4,0))))</f>
        <v>0</v>
      </c>
      <c r="AF54">
        <f>IF($C54-AF$1&lt;År1,0,AE53*(1-VLOOKUP($A54,[1]Hugst!$R$5:$W$9,MATCH(ROUNDUP((AF$1)/10,0)*10,[1]Hugst!$R$4:$W$4,0))))</f>
        <v>0</v>
      </c>
      <c r="AG54">
        <f>IF($C54-AG$1&lt;År1,0,AF53*(1-VLOOKUP($A54,[1]Hugst!$R$5:$W$9,MATCH(ROUNDUP((AG$1)/10,0)*10,[1]Hugst!$R$4:$W$4,0))))</f>
        <v>0</v>
      </c>
      <c r="AH54">
        <f>IF($C54-AH$1&lt;År1,0,AG53*(1-VLOOKUP($A54,[1]Hugst!$R$5:$W$9,MATCH(ROUNDUP((AH$1)/10,0)*10,[1]Hugst!$R$4:$W$4,0))))</f>
        <v>0</v>
      </c>
      <c r="AI54">
        <f>IF($C54-AI$1&lt;År1,0,AH53*(1-VLOOKUP($A54,[1]Hugst!$R$5:$W$9,MATCH(ROUNDUP((AI$1)/10,0)*10,[1]Hugst!$R$4:$W$4,0))))</f>
        <v>0</v>
      </c>
      <c r="AJ54">
        <f>IF($C54-AJ$1&lt;År1,0,AI53*(1-VLOOKUP($A54,[1]Hugst!$R$5:$W$9,MATCH(ROUNDUP((AJ$1)/10,0)*10,[1]Hugst!$R$4:$W$4,0))))</f>
        <v>0</v>
      </c>
    </row>
    <row r="55" spans="1:38" x14ac:dyDescent="0.25">
      <c r="A55" t="s">
        <v>176</v>
      </c>
      <c r="B55" t="s">
        <v>24</v>
      </c>
      <c r="C55">
        <v>2042</v>
      </c>
      <c r="D55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28.512238440791407</v>
      </c>
      <c r="E55">
        <f t="shared" ca="1" si="0"/>
        <v>0</v>
      </c>
      <c r="F55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89.554762446278403</v>
      </c>
      <c r="G55">
        <f ca="1">IF($C55-G$1&lt;År1,0,F54*(1-VLOOKUP($A55,[1]Hugst!$R$5:$W$9,MATCH(ROUNDUP((G$1)/10,0)*10,[1]Hugst!$R$4:$W$4,0))))</f>
        <v>89.698040026383126</v>
      </c>
      <c r="H55">
        <f ca="1">IF($C55-H$1&lt;År1,0,G54*(1-VLOOKUP($A55,[1]Hugst!$R$5:$W$9,MATCH(ROUNDUP((H$1)/10,0)*10,[1]Hugst!$R$4:$W$4,0))))</f>
        <v>89.842037594326996</v>
      </c>
      <c r="I55">
        <f ca="1">IF($C55-I$1&lt;År1,0,H54*(1-VLOOKUP($A55,[1]Hugst!$R$5:$W$9,MATCH(ROUNDUP((I$1)/10,0)*10,[1]Hugst!$R$4:$W$4,0))))</f>
        <v>89.98675876813985</v>
      </c>
      <c r="J55">
        <f ca="1">IF($C55-J$1&lt;År1,0,I54*(1-VLOOKUP($A55,[1]Hugst!$R$5:$W$9,MATCH(ROUNDUP((J$1)/10,0)*10,[1]Hugst!$R$4:$W$4,0))))</f>
        <v>90.132207184033689</v>
      </c>
      <c r="K55">
        <f ca="1">IF($C55-K$1&lt;År1,0,J54*(1-VLOOKUP($A55,[1]Hugst!$R$5:$W$9,MATCH(ROUNDUP((K$1)/10,0)*10,[1]Hugst!$R$4:$W$4,0))))</f>
        <v>90.278386496488167</v>
      </c>
      <c r="L55">
        <f ca="1">IF($C55-L$1&lt;År1,0,K54*(1-VLOOKUP($A55,[1]Hugst!$R$5:$W$9,MATCH(ROUNDUP((L$1)/10,0)*10,[1]Hugst!$R$4:$W$4,0))))</f>
        <v>90.425300378352233</v>
      </c>
      <c r="M55">
        <f ca="1">IF($C55-M$1&lt;År1,0,L54*(1-VLOOKUP($A55,[1]Hugst!$R$5:$W$9,MATCH(ROUNDUP((M$1)/10,0)*10,[1]Hugst!$R$4:$W$4,0))))</f>
        <v>90.572952520930073</v>
      </c>
      <c r="N55">
        <f ca="1">IF($C55-N$1&lt;År1,0,M54*(1-VLOOKUP($A55,[1]Hugst!$R$5:$W$9,MATCH(ROUNDUP((N$1)/10,0)*10,[1]Hugst!$R$4:$W$4,0))))</f>
        <v>90.721346634072461</v>
      </c>
      <c r="O55">
        <f ca="1">IF($C55-O$1&lt;År1,0,N54*(1-VLOOKUP($A55,[1]Hugst!$R$5:$W$9,MATCH(ROUNDUP((O$1)/10,0)*10,[1]Hugst!$R$4:$W$4,0))))</f>
        <v>90.870486446276232</v>
      </c>
      <c r="P55">
        <f ca="1">IF($C55-P$1&lt;År1,0,O54*(1-VLOOKUP($A55,[1]Hugst!$R$5:$W$9,MATCH(ROUNDUP((P$1)/10,0)*10,[1]Hugst!$R$4:$W$4,0))))</f>
        <v>91.02037570477313</v>
      </c>
      <c r="Q55">
        <f ca="1">IF($C55-Q$1&lt;År1,0,P54*(1-VLOOKUP($A55,[1]Hugst!$R$5:$W$9,MATCH(ROUNDUP((Q$1)/10,0)*10,[1]Hugst!$R$4:$W$4,0))))</f>
        <v>91.171018175622692</v>
      </c>
      <c r="R55">
        <f ca="1">IF($C55-R$1&lt;År1,0,Q54*(1-VLOOKUP($A55,[1]Hugst!$R$5:$W$9,MATCH(ROUNDUP((R$1)/10,0)*10,[1]Hugst!$R$4:$W$4,0))))</f>
        <v>69.125136187275132</v>
      </c>
      <c r="S55">
        <f ca="1">IF($C55-S$1&lt;År1,0,R54*(1-VLOOKUP($A55,[1]Hugst!$R$5:$W$9,MATCH(ROUNDUP((S$1)/10,0)*10,[1]Hugst!$R$4:$W$4,0))))</f>
        <v>69.277296456813701</v>
      </c>
      <c r="T55">
        <f ca="1">IF($C55-T$1&lt;År1,0,S54*(1-VLOOKUP($A55,[1]Hugst!$R$5:$W$9,MATCH(ROUNDUP((T$1)/10,0)*10,[1]Hugst!$R$4:$W$4,0))))</f>
        <v>69.430221350823388</v>
      </c>
      <c r="U55">
        <f ca="1">IF($C55-U$1&lt;År1,0,T54*(1-VLOOKUP($A55,[1]Hugst!$R$5:$W$9,MATCH(ROUNDUP((U$1)/10,0)*10,[1]Hugst!$R$4:$W$4,0))))</f>
        <v>69.583914711636112</v>
      </c>
      <c r="V55">
        <f ca="1">IF($C55-V$1&lt;År1,0,U54*(1-VLOOKUP($A55,[1]Hugst!$R$5:$W$9,MATCH(ROUNDUP((V$1)/10,0)*10,[1]Hugst!$R$4:$W$4,0))))</f>
        <v>69.73838040089737</v>
      </c>
      <c r="W55">
        <f ca="1">IF($C55-W$1&lt;År1,0,V54*(1-VLOOKUP($A55,[1]Hugst!$R$5:$W$9,MATCH(ROUNDUP((W$1)/10,0)*10,[1]Hugst!$R$4:$W$4,0))))</f>
        <v>69.893622299649508</v>
      </c>
      <c r="X55">
        <f ca="1">IF($C55-X$1&lt;År1,0,W54*(1-VLOOKUP($A55,[1]Hugst!$R$5:$W$9,MATCH(ROUNDUP((X$1)/10,0)*10,[1]Hugst!$R$4:$W$4,0))))</f>
        <v>70.049644308447569</v>
      </c>
      <c r="Y55">
        <f ca="1">IF($C55-Y$1&lt;År1,0,X54*(1-VLOOKUP($A55,[1]Hugst!$R$5:$W$9,MATCH(ROUNDUP((Y$1)/10,0)*10,[1]Hugst!$R$4:$W$4,0))))</f>
        <v>70.206450347439187</v>
      </c>
      <c r="Z55">
        <f ca="1">IF($C55-Z$1&lt;År1,0,Y54*(1-VLOOKUP($A55,[1]Hugst!$R$5:$W$9,MATCH(ROUNDUP((Z$1)/10,0)*10,[1]Hugst!$R$4:$W$4,0))))</f>
        <v>70.364044356477635</v>
      </c>
      <c r="AA55">
        <f ca="1">IF($C55-AA$1&lt;År1,0,Z54*(1-VLOOKUP($A55,[1]Hugst!$R$5:$W$9,MATCH(ROUNDUP((AA$1)/10,0)*10,[1]Hugst!$R$4:$W$4,0))))</f>
        <v>70.522430295208849</v>
      </c>
      <c r="AB55">
        <f ca="1">IF($C55-AB$1&lt;År1,0,AA54*(1-VLOOKUP($A55,[1]Hugst!$R$5:$W$9,MATCH(ROUNDUP((AB$1)/10,0)*10,[1]Hugst!$R$4:$W$4,0))))</f>
        <v>70.681612143180047</v>
      </c>
      <c r="AC55">
        <f>IF($C55-AC$1&lt;År1,0,AB54*(1-VLOOKUP($A55,[1]Hugst!$R$5:$W$9,MATCH(ROUNDUP((AC$1)/10,0)*10,[1]Hugst!$R$4:$W$4,0))))</f>
        <v>0</v>
      </c>
      <c r="AD55">
        <f>IF($C55-AD$1&lt;År1,0,AC54*(1-VLOOKUP($A55,[1]Hugst!$R$5:$W$9,MATCH(ROUNDUP((AD$1)/10,0)*10,[1]Hugst!$R$4:$W$4,0))))</f>
        <v>0</v>
      </c>
      <c r="AE55">
        <f>IF($C55-AE$1&lt;År1,0,AD54*(1-VLOOKUP($A55,[1]Hugst!$R$5:$W$9,MATCH(ROUNDUP((AE$1)/10,0)*10,[1]Hugst!$R$4:$W$4,0))))</f>
        <v>0</v>
      </c>
      <c r="AF55">
        <f>IF($C55-AF$1&lt;År1,0,AE54*(1-VLOOKUP($A55,[1]Hugst!$R$5:$W$9,MATCH(ROUNDUP((AF$1)/10,0)*10,[1]Hugst!$R$4:$W$4,0))))</f>
        <v>0</v>
      </c>
      <c r="AG55">
        <f>IF($C55-AG$1&lt;År1,0,AF54*(1-VLOOKUP($A55,[1]Hugst!$R$5:$W$9,MATCH(ROUNDUP((AG$1)/10,0)*10,[1]Hugst!$R$4:$W$4,0))))</f>
        <v>0</v>
      </c>
      <c r="AH55">
        <f>IF($C55-AH$1&lt;År1,0,AG54*(1-VLOOKUP($A55,[1]Hugst!$R$5:$W$9,MATCH(ROUNDUP((AH$1)/10,0)*10,[1]Hugst!$R$4:$W$4,0))))</f>
        <v>0</v>
      </c>
      <c r="AI55">
        <f>IF($C55-AI$1&lt;År1,0,AH54*(1-VLOOKUP($A55,[1]Hugst!$R$5:$W$9,MATCH(ROUNDUP((AI$1)/10,0)*10,[1]Hugst!$R$4:$W$4,0))))</f>
        <v>0</v>
      </c>
      <c r="AJ55">
        <f>IF($C55-AJ$1&lt;År1,0,AI54*(1-VLOOKUP($A55,[1]Hugst!$R$5:$W$9,MATCH(ROUNDUP((AJ$1)/10,0)*10,[1]Hugst!$R$4:$W$4,0))))</f>
        <v>0</v>
      </c>
    </row>
    <row r="56" spans="1:38" x14ac:dyDescent="0.25">
      <c r="A56" t="s">
        <v>176</v>
      </c>
      <c r="B56" t="s">
        <v>24</v>
      </c>
      <c r="C56">
        <v>2043</v>
      </c>
      <c r="D56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28.369677248587664</v>
      </c>
      <c r="E56">
        <f t="shared" ca="1" si="0"/>
        <v>0</v>
      </c>
      <c r="F56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89.41220125407466</v>
      </c>
      <c r="G56">
        <f ca="1">IF($C56-G$1&lt;År1,0,F55*(1-VLOOKUP($A56,[1]Hugst!$R$5:$W$9,MATCH(ROUNDUP((G$1)/10,0)*10,[1]Hugst!$R$4:$W$4,0))))</f>
        <v>89.554762446278403</v>
      </c>
      <c r="H56">
        <f ca="1">IF($C56-H$1&lt;År1,0,G55*(1-VLOOKUP($A56,[1]Hugst!$R$5:$W$9,MATCH(ROUNDUP((H$1)/10,0)*10,[1]Hugst!$R$4:$W$4,0))))</f>
        <v>89.698040026383126</v>
      </c>
      <c r="I56">
        <f ca="1">IF($C56-I$1&lt;År1,0,H55*(1-VLOOKUP($A56,[1]Hugst!$R$5:$W$9,MATCH(ROUNDUP((I$1)/10,0)*10,[1]Hugst!$R$4:$W$4,0))))</f>
        <v>89.842037594326996</v>
      </c>
      <c r="J56">
        <f ca="1">IF($C56-J$1&lt;År1,0,I55*(1-VLOOKUP($A56,[1]Hugst!$R$5:$W$9,MATCH(ROUNDUP((J$1)/10,0)*10,[1]Hugst!$R$4:$W$4,0))))</f>
        <v>89.98675876813985</v>
      </c>
      <c r="K56">
        <f ca="1">IF($C56-K$1&lt;År1,0,J55*(1-VLOOKUP($A56,[1]Hugst!$R$5:$W$9,MATCH(ROUNDUP((K$1)/10,0)*10,[1]Hugst!$R$4:$W$4,0))))</f>
        <v>90.132207184033689</v>
      </c>
      <c r="L56">
        <f ca="1">IF($C56-L$1&lt;År1,0,K55*(1-VLOOKUP($A56,[1]Hugst!$R$5:$W$9,MATCH(ROUNDUP((L$1)/10,0)*10,[1]Hugst!$R$4:$W$4,0))))</f>
        <v>90.278386496488167</v>
      </c>
      <c r="M56">
        <f ca="1">IF($C56-M$1&lt;År1,0,L55*(1-VLOOKUP($A56,[1]Hugst!$R$5:$W$9,MATCH(ROUNDUP((M$1)/10,0)*10,[1]Hugst!$R$4:$W$4,0))))</f>
        <v>90.425300378352233</v>
      </c>
      <c r="N56">
        <f ca="1">IF($C56-N$1&lt;År1,0,M55*(1-VLOOKUP($A56,[1]Hugst!$R$5:$W$9,MATCH(ROUNDUP((N$1)/10,0)*10,[1]Hugst!$R$4:$W$4,0))))</f>
        <v>90.572952520930073</v>
      </c>
      <c r="O56">
        <f ca="1">IF($C56-O$1&lt;År1,0,N55*(1-VLOOKUP($A56,[1]Hugst!$R$5:$W$9,MATCH(ROUNDUP((O$1)/10,0)*10,[1]Hugst!$R$4:$W$4,0))))</f>
        <v>90.721346634072461</v>
      </c>
      <c r="P56">
        <f ca="1">IF($C56-P$1&lt;År1,0,O55*(1-VLOOKUP($A56,[1]Hugst!$R$5:$W$9,MATCH(ROUNDUP((P$1)/10,0)*10,[1]Hugst!$R$4:$W$4,0))))</f>
        <v>90.870486446276232</v>
      </c>
      <c r="Q56">
        <f ca="1">IF($C56-Q$1&lt;År1,0,P55*(1-VLOOKUP($A56,[1]Hugst!$R$5:$W$9,MATCH(ROUNDUP((Q$1)/10,0)*10,[1]Hugst!$R$4:$W$4,0))))</f>
        <v>91.02037570477313</v>
      </c>
      <c r="R56">
        <f ca="1">IF($C56-R$1&lt;År1,0,Q55*(1-VLOOKUP($A56,[1]Hugst!$R$5:$W$9,MATCH(ROUNDUP((R$1)/10,0)*10,[1]Hugst!$R$4:$W$4,0))))</f>
        <v>91.171018175622692</v>
      </c>
      <c r="S56">
        <f ca="1">IF($C56-S$1&lt;År1,0,R55*(1-VLOOKUP($A56,[1]Hugst!$R$5:$W$9,MATCH(ROUNDUP((S$1)/10,0)*10,[1]Hugst!$R$4:$W$4,0))))</f>
        <v>69.125136187275132</v>
      </c>
      <c r="T56">
        <f ca="1">IF($C56-T$1&lt;År1,0,S55*(1-VLOOKUP($A56,[1]Hugst!$R$5:$W$9,MATCH(ROUNDUP((T$1)/10,0)*10,[1]Hugst!$R$4:$W$4,0))))</f>
        <v>69.277296456813701</v>
      </c>
      <c r="U56">
        <f ca="1">IF($C56-U$1&lt;År1,0,T55*(1-VLOOKUP($A56,[1]Hugst!$R$5:$W$9,MATCH(ROUNDUP((U$1)/10,0)*10,[1]Hugst!$R$4:$W$4,0))))</f>
        <v>69.430221350823388</v>
      </c>
      <c r="V56">
        <f ca="1">IF($C56-V$1&lt;År1,0,U55*(1-VLOOKUP($A56,[1]Hugst!$R$5:$W$9,MATCH(ROUNDUP((V$1)/10,0)*10,[1]Hugst!$R$4:$W$4,0))))</f>
        <v>69.583914711636112</v>
      </c>
      <c r="W56">
        <f ca="1">IF($C56-W$1&lt;År1,0,V55*(1-VLOOKUP($A56,[1]Hugst!$R$5:$W$9,MATCH(ROUNDUP((W$1)/10,0)*10,[1]Hugst!$R$4:$W$4,0))))</f>
        <v>69.73838040089737</v>
      </c>
      <c r="X56">
        <f ca="1">IF($C56-X$1&lt;År1,0,W55*(1-VLOOKUP($A56,[1]Hugst!$R$5:$W$9,MATCH(ROUNDUP((X$1)/10,0)*10,[1]Hugst!$R$4:$W$4,0))))</f>
        <v>69.893622299649508</v>
      </c>
      <c r="Y56">
        <f ca="1">IF($C56-Y$1&lt;År1,0,X55*(1-VLOOKUP($A56,[1]Hugst!$R$5:$W$9,MATCH(ROUNDUP((Y$1)/10,0)*10,[1]Hugst!$R$4:$W$4,0))))</f>
        <v>70.049644308447569</v>
      </c>
      <c r="Z56">
        <f ca="1">IF($C56-Z$1&lt;År1,0,Y55*(1-VLOOKUP($A56,[1]Hugst!$R$5:$W$9,MATCH(ROUNDUP((Z$1)/10,0)*10,[1]Hugst!$R$4:$W$4,0))))</f>
        <v>70.206450347439187</v>
      </c>
      <c r="AA56">
        <f ca="1">IF($C56-AA$1&lt;År1,0,Z55*(1-VLOOKUP($A56,[1]Hugst!$R$5:$W$9,MATCH(ROUNDUP((AA$1)/10,0)*10,[1]Hugst!$R$4:$W$4,0))))</f>
        <v>70.364044356477635</v>
      </c>
      <c r="AB56">
        <f ca="1">IF($C56-AB$1&lt;År1,0,AA55*(1-VLOOKUP($A56,[1]Hugst!$R$5:$W$9,MATCH(ROUNDUP((AB$1)/10,0)*10,[1]Hugst!$R$4:$W$4,0))))</f>
        <v>70.522430295208849</v>
      </c>
      <c r="AC56">
        <f ca="1">IF($C56-AC$1&lt;År1,0,AB55*(1-VLOOKUP($A56,[1]Hugst!$R$5:$W$9,MATCH(ROUNDUP((AC$1)/10,0)*10,[1]Hugst!$R$4:$W$4,0))))</f>
        <v>70.681612143180047</v>
      </c>
      <c r="AD56">
        <f>IF($C56-AD$1&lt;År1,0,AC55*(1-VLOOKUP($A56,[1]Hugst!$R$5:$W$9,MATCH(ROUNDUP((AD$1)/10,0)*10,[1]Hugst!$R$4:$W$4,0))))</f>
        <v>0</v>
      </c>
      <c r="AE56">
        <f>IF($C56-AE$1&lt;År1,0,AD55*(1-VLOOKUP($A56,[1]Hugst!$R$5:$W$9,MATCH(ROUNDUP((AE$1)/10,0)*10,[1]Hugst!$R$4:$W$4,0))))</f>
        <v>0</v>
      </c>
      <c r="AF56">
        <f>IF($C56-AF$1&lt;År1,0,AE55*(1-VLOOKUP($A56,[1]Hugst!$R$5:$W$9,MATCH(ROUNDUP((AF$1)/10,0)*10,[1]Hugst!$R$4:$W$4,0))))</f>
        <v>0</v>
      </c>
      <c r="AG56">
        <f>IF($C56-AG$1&lt;År1,0,AF55*(1-VLOOKUP($A56,[1]Hugst!$R$5:$W$9,MATCH(ROUNDUP((AG$1)/10,0)*10,[1]Hugst!$R$4:$W$4,0))))</f>
        <v>0</v>
      </c>
      <c r="AH56">
        <f>IF($C56-AH$1&lt;År1,0,AG55*(1-VLOOKUP($A56,[1]Hugst!$R$5:$W$9,MATCH(ROUNDUP((AH$1)/10,0)*10,[1]Hugst!$R$4:$W$4,0))))</f>
        <v>0</v>
      </c>
      <c r="AI56">
        <f>IF($C56-AI$1&lt;År1,0,AH55*(1-VLOOKUP($A56,[1]Hugst!$R$5:$W$9,MATCH(ROUNDUP((AI$1)/10,0)*10,[1]Hugst!$R$4:$W$4,0))))</f>
        <v>0</v>
      </c>
      <c r="AJ56">
        <f>IF($C56-AJ$1&lt;År1,0,AI55*(1-VLOOKUP($A56,[1]Hugst!$R$5:$W$9,MATCH(ROUNDUP((AJ$1)/10,0)*10,[1]Hugst!$R$4:$W$4,0))))</f>
        <v>0</v>
      </c>
    </row>
    <row r="57" spans="1:38" x14ac:dyDescent="0.25">
      <c r="A57" t="s">
        <v>176</v>
      </c>
      <c r="B57" t="s">
        <v>24</v>
      </c>
      <c r="C57">
        <v>2044</v>
      </c>
      <c r="D57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28.227828862344154</v>
      </c>
      <c r="E57">
        <f t="shared" ca="1" si="0"/>
        <v>0</v>
      </c>
      <c r="F57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89.27035286783115</v>
      </c>
      <c r="G57">
        <f ca="1">IF($C57-G$1&lt;År1,0,F56*(1-VLOOKUP($A57,[1]Hugst!$R$5:$W$9,MATCH(ROUNDUP((G$1)/10,0)*10,[1]Hugst!$R$4:$W$4,0))))</f>
        <v>89.41220125407466</v>
      </c>
      <c r="H57">
        <f ca="1">IF($C57-H$1&lt;År1,0,G56*(1-VLOOKUP($A57,[1]Hugst!$R$5:$W$9,MATCH(ROUNDUP((H$1)/10,0)*10,[1]Hugst!$R$4:$W$4,0))))</f>
        <v>89.554762446278403</v>
      </c>
      <c r="I57">
        <f ca="1">IF($C57-I$1&lt;År1,0,H56*(1-VLOOKUP($A57,[1]Hugst!$R$5:$W$9,MATCH(ROUNDUP((I$1)/10,0)*10,[1]Hugst!$R$4:$W$4,0))))</f>
        <v>89.698040026383126</v>
      </c>
      <c r="J57">
        <f ca="1">IF($C57-J$1&lt;År1,0,I56*(1-VLOOKUP($A57,[1]Hugst!$R$5:$W$9,MATCH(ROUNDUP((J$1)/10,0)*10,[1]Hugst!$R$4:$W$4,0))))</f>
        <v>89.842037594326996</v>
      </c>
      <c r="K57">
        <f ca="1">IF($C57-K$1&lt;År1,0,J56*(1-VLOOKUP($A57,[1]Hugst!$R$5:$W$9,MATCH(ROUNDUP((K$1)/10,0)*10,[1]Hugst!$R$4:$W$4,0))))</f>
        <v>89.98675876813985</v>
      </c>
      <c r="L57">
        <f ca="1">IF($C57-L$1&lt;År1,0,K56*(1-VLOOKUP($A57,[1]Hugst!$R$5:$W$9,MATCH(ROUNDUP((L$1)/10,0)*10,[1]Hugst!$R$4:$W$4,0))))</f>
        <v>90.132207184033689</v>
      </c>
      <c r="M57">
        <f ca="1">IF($C57-M$1&lt;År1,0,L56*(1-VLOOKUP($A57,[1]Hugst!$R$5:$W$9,MATCH(ROUNDUP((M$1)/10,0)*10,[1]Hugst!$R$4:$W$4,0))))</f>
        <v>90.278386496488167</v>
      </c>
      <c r="N57">
        <f ca="1">IF($C57-N$1&lt;År1,0,M56*(1-VLOOKUP($A57,[1]Hugst!$R$5:$W$9,MATCH(ROUNDUP((N$1)/10,0)*10,[1]Hugst!$R$4:$W$4,0))))</f>
        <v>90.425300378352233</v>
      </c>
      <c r="O57">
        <f ca="1">IF($C57-O$1&lt;År1,0,N56*(1-VLOOKUP($A57,[1]Hugst!$R$5:$W$9,MATCH(ROUNDUP((O$1)/10,0)*10,[1]Hugst!$R$4:$W$4,0))))</f>
        <v>90.572952520930073</v>
      </c>
      <c r="P57">
        <f ca="1">IF($C57-P$1&lt;År1,0,O56*(1-VLOOKUP($A57,[1]Hugst!$R$5:$W$9,MATCH(ROUNDUP((P$1)/10,0)*10,[1]Hugst!$R$4:$W$4,0))))</f>
        <v>90.721346634072461</v>
      </c>
      <c r="Q57">
        <f ca="1">IF($C57-Q$1&lt;År1,0,P56*(1-VLOOKUP($A57,[1]Hugst!$R$5:$W$9,MATCH(ROUNDUP((Q$1)/10,0)*10,[1]Hugst!$R$4:$W$4,0))))</f>
        <v>90.870486446276232</v>
      </c>
      <c r="R57">
        <f ca="1">IF($C57-R$1&lt;År1,0,Q56*(1-VLOOKUP($A57,[1]Hugst!$R$5:$W$9,MATCH(ROUNDUP((R$1)/10,0)*10,[1]Hugst!$R$4:$W$4,0))))</f>
        <v>91.02037570477313</v>
      </c>
      <c r="S57">
        <f ca="1">IF($C57-S$1&lt;År1,0,R56*(1-VLOOKUP($A57,[1]Hugst!$R$5:$W$9,MATCH(ROUNDUP((S$1)/10,0)*10,[1]Hugst!$R$4:$W$4,0))))</f>
        <v>91.171018175622692</v>
      </c>
      <c r="T57">
        <f ca="1">IF($C57-T$1&lt;År1,0,S56*(1-VLOOKUP($A57,[1]Hugst!$R$5:$W$9,MATCH(ROUNDUP((T$1)/10,0)*10,[1]Hugst!$R$4:$W$4,0))))</f>
        <v>69.125136187275132</v>
      </c>
      <c r="U57">
        <f ca="1">IF($C57-U$1&lt;År1,0,T56*(1-VLOOKUP($A57,[1]Hugst!$R$5:$W$9,MATCH(ROUNDUP((U$1)/10,0)*10,[1]Hugst!$R$4:$W$4,0))))</f>
        <v>69.277296456813701</v>
      </c>
      <c r="V57">
        <f ca="1">IF($C57-V$1&lt;År1,0,U56*(1-VLOOKUP($A57,[1]Hugst!$R$5:$W$9,MATCH(ROUNDUP((V$1)/10,0)*10,[1]Hugst!$R$4:$W$4,0))))</f>
        <v>69.430221350823388</v>
      </c>
      <c r="W57">
        <f ca="1">IF($C57-W$1&lt;År1,0,V56*(1-VLOOKUP($A57,[1]Hugst!$R$5:$W$9,MATCH(ROUNDUP((W$1)/10,0)*10,[1]Hugst!$R$4:$W$4,0))))</f>
        <v>69.583914711636112</v>
      </c>
      <c r="X57">
        <f ca="1">IF($C57-X$1&lt;År1,0,W56*(1-VLOOKUP($A57,[1]Hugst!$R$5:$W$9,MATCH(ROUNDUP((X$1)/10,0)*10,[1]Hugst!$R$4:$W$4,0))))</f>
        <v>69.73838040089737</v>
      </c>
      <c r="Y57">
        <f ca="1">IF($C57-Y$1&lt;År1,0,X56*(1-VLOOKUP($A57,[1]Hugst!$R$5:$W$9,MATCH(ROUNDUP((Y$1)/10,0)*10,[1]Hugst!$R$4:$W$4,0))))</f>
        <v>69.893622299649508</v>
      </c>
      <c r="Z57">
        <f ca="1">IF($C57-Z$1&lt;År1,0,Y56*(1-VLOOKUP($A57,[1]Hugst!$R$5:$W$9,MATCH(ROUNDUP((Z$1)/10,0)*10,[1]Hugst!$R$4:$W$4,0))))</f>
        <v>70.049644308447569</v>
      </c>
      <c r="AA57">
        <f ca="1">IF($C57-AA$1&lt;År1,0,Z56*(1-VLOOKUP($A57,[1]Hugst!$R$5:$W$9,MATCH(ROUNDUP((AA$1)/10,0)*10,[1]Hugst!$R$4:$W$4,0))))</f>
        <v>70.206450347439187</v>
      </c>
      <c r="AB57">
        <f ca="1">IF($C57-AB$1&lt;År1,0,AA56*(1-VLOOKUP($A57,[1]Hugst!$R$5:$W$9,MATCH(ROUNDUP((AB$1)/10,0)*10,[1]Hugst!$R$4:$W$4,0))))</f>
        <v>70.364044356477635</v>
      </c>
      <c r="AC57">
        <f ca="1">IF($C57-AC$1&lt;År1,0,AB56*(1-VLOOKUP($A57,[1]Hugst!$R$5:$W$9,MATCH(ROUNDUP((AC$1)/10,0)*10,[1]Hugst!$R$4:$W$4,0))))</f>
        <v>70.522430295208849</v>
      </c>
      <c r="AD57">
        <f ca="1">IF($C57-AD$1&lt;År1,0,AC56*(1-VLOOKUP($A57,[1]Hugst!$R$5:$W$9,MATCH(ROUNDUP((AD$1)/10,0)*10,[1]Hugst!$R$4:$W$4,0))))</f>
        <v>70.681612143180047</v>
      </c>
      <c r="AE57">
        <f>IF($C57-AE$1&lt;År1,0,AD56*(1-VLOOKUP($A57,[1]Hugst!$R$5:$W$9,MATCH(ROUNDUP((AE$1)/10,0)*10,[1]Hugst!$R$4:$W$4,0))))</f>
        <v>0</v>
      </c>
      <c r="AF57">
        <f>IF($C57-AF$1&lt;År1,0,AE56*(1-VLOOKUP($A57,[1]Hugst!$R$5:$W$9,MATCH(ROUNDUP((AF$1)/10,0)*10,[1]Hugst!$R$4:$W$4,0))))</f>
        <v>0</v>
      </c>
      <c r="AG57">
        <f>IF($C57-AG$1&lt;År1,0,AF56*(1-VLOOKUP($A57,[1]Hugst!$R$5:$W$9,MATCH(ROUNDUP((AG$1)/10,0)*10,[1]Hugst!$R$4:$W$4,0))))</f>
        <v>0</v>
      </c>
      <c r="AH57">
        <f>IF($C57-AH$1&lt;År1,0,AG56*(1-VLOOKUP($A57,[1]Hugst!$R$5:$W$9,MATCH(ROUNDUP((AH$1)/10,0)*10,[1]Hugst!$R$4:$W$4,0))))</f>
        <v>0</v>
      </c>
      <c r="AI57">
        <f>IF($C57-AI$1&lt;År1,0,AH56*(1-VLOOKUP($A57,[1]Hugst!$R$5:$W$9,MATCH(ROUNDUP((AI$1)/10,0)*10,[1]Hugst!$R$4:$W$4,0))))</f>
        <v>0</v>
      </c>
      <c r="AJ57">
        <f>IF($C57-AJ$1&lt;År1,0,AI56*(1-VLOOKUP($A57,[1]Hugst!$R$5:$W$9,MATCH(ROUNDUP((AJ$1)/10,0)*10,[1]Hugst!$R$4:$W$4,0))))</f>
        <v>0</v>
      </c>
    </row>
    <row r="58" spans="1:38" x14ac:dyDescent="0.25">
      <c r="A58" t="s">
        <v>176</v>
      </c>
      <c r="B58" t="s">
        <v>24</v>
      </c>
      <c r="C58">
        <v>2045</v>
      </c>
      <c r="D5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28.086689718032744</v>
      </c>
      <c r="E58">
        <f t="shared" ca="1" si="0"/>
        <v>0</v>
      </c>
      <c r="F5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89.12921372351974</v>
      </c>
      <c r="G58">
        <f ca="1">IF($C58-G$1&lt;År1,0,F57*(1-VLOOKUP($A58,[1]Hugst!$R$5:$W$9,MATCH(ROUNDUP((G$1)/10,0)*10,[1]Hugst!$R$4:$W$4,0))))</f>
        <v>89.27035286783115</v>
      </c>
      <c r="H58">
        <f ca="1">IF($C58-H$1&lt;År1,0,G57*(1-VLOOKUP($A58,[1]Hugst!$R$5:$W$9,MATCH(ROUNDUP((H$1)/10,0)*10,[1]Hugst!$R$4:$W$4,0))))</f>
        <v>89.41220125407466</v>
      </c>
      <c r="I58">
        <f ca="1">IF($C58-I$1&lt;År1,0,H57*(1-VLOOKUP($A58,[1]Hugst!$R$5:$W$9,MATCH(ROUNDUP((I$1)/10,0)*10,[1]Hugst!$R$4:$W$4,0))))</f>
        <v>89.554762446278403</v>
      </c>
      <c r="J58">
        <f ca="1">IF($C58-J$1&lt;År1,0,I57*(1-VLOOKUP($A58,[1]Hugst!$R$5:$W$9,MATCH(ROUNDUP((J$1)/10,0)*10,[1]Hugst!$R$4:$W$4,0))))</f>
        <v>89.698040026383126</v>
      </c>
      <c r="K58">
        <f ca="1">IF($C58-K$1&lt;År1,0,J57*(1-VLOOKUP($A58,[1]Hugst!$R$5:$W$9,MATCH(ROUNDUP((K$1)/10,0)*10,[1]Hugst!$R$4:$W$4,0))))</f>
        <v>89.842037594326996</v>
      </c>
      <c r="L58">
        <f ca="1">IF($C58-L$1&lt;År1,0,K57*(1-VLOOKUP($A58,[1]Hugst!$R$5:$W$9,MATCH(ROUNDUP((L$1)/10,0)*10,[1]Hugst!$R$4:$W$4,0))))</f>
        <v>89.98675876813985</v>
      </c>
      <c r="M58">
        <f ca="1">IF($C58-M$1&lt;År1,0,L57*(1-VLOOKUP($A58,[1]Hugst!$R$5:$W$9,MATCH(ROUNDUP((M$1)/10,0)*10,[1]Hugst!$R$4:$W$4,0))))</f>
        <v>90.132207184033689</v>
      </c>
      <c r="N58">
        <f ca="1">IF($C58-N$1&lt;År1,0,M57*(1-VLOOKUP($A58,[1]Hugst!$R$5:$W$9,MATCH(ROUNDUP((N$1)/10,0)*10,[1]Hugst!$R$4:$W$4,0))))</f>
        <v>90.278386496488167</v>
      </c>
      <c r="O58">
        <f ca="1">IF($C58-O$1&lt;År1,0,N57*(1-VLOOKUP($A58,[1]Hugst!$R$5:$W$9,MATCH(ROUNDUP((O$1)/10,0)*10,[1]Hugst!$R$4:$W$4,0))))</f>
        <v>90.425300378352233</v>
      </c>
      <c r="P58">
        <f ca="1">IF($C58-P$1&lt;År1,0,O57*(1-VLOOKUP($A58,[1]Hugst!$R$5:$W$9,MATCH(ROUNDUP((P$1)/10,0)*10,[1]Hugst!$R$4:$W$4,0))))</f>
        <v>90.572952520930073</v>
      </c>
      <c r="Q58">
        <f ca="1">IF($C58-Q$1&lt;År1,0,P57*(1-VLOOKUP($A58,[1]Hugst!$R$5:$W$9,MATCH(ROUNDUP((Q$1)/10,0)*10,[1]Hugst!$R$4:$W$4,0))))</f>
        <v>90.721346634072461</v>
      </c>
      <c r="R58">
        <f ca="1">IF($C58-R$1&lt;År1,0,Q57*(1-VLOOKUP($A58,[1]Hugst!$R$5:$W$9,MATCH(ROUNDUP((R$1)/10,0)*10,[1]Hugst!$R$4:$W$4,0))))</f>
        <v>90.870486446276232</v>
      </c>
      <c r="S58">
        <f ca="1">IF($C58-S$1&lt;År1,0,R57*(1-VLOOKUP($A58,[1]Hugst!$R$5:$W$9,MATCH(ROUNDUP((S$1)/10,0)*10,[1]Hugst!$R$4:$W$4,0))))</f>
        <v>91.02037570477313</v>
      </c>
      <c r="T58">
        <f ca="1">IF($C58-T$1&lt;År1,0,S57*(1-VLOOKUP($A58,[1]Hugst!$R$5:$W$9,MATCH(ROUNDUP((T$1)/10,0)*10,[1]Hugst!$R$4:$W$4,0))))</f>
        <v>91.171018175622692</v>
      </c>
      <c r="U58">
        <f ca="1">IF($C58-U$1&lt;År1,0,T57*(1-VLOOKUP($A58,[1]Hugst!$R$5:$W$9,MATCH(ROUNDUP((U$1)/10,0)*10,[1]Hugst!$R$4:$W$4,0))))</f>
        <v>69.125136187275132</v>
      </c>
      <c r="V58">
        <f ca="1">IF($C58-V$1&lt;År1,0,U57*(1-VLOOKUP($A58,[1]Hugst!$R$5:$W$9,MATCH(ROUNDUP((V$1)/10,0)*10,[1]Hugst!$R$4:$W$4,0))))</f>
        <v>69.277296456813701</v>
      </c>
      <c r="W58">
        <f ca="1">IF($C58-W$1&lt;År1,0,V57*(1-VLOOKUP($A58,[1]Hugst!$R$5:$W$9,MATCH(ROUNDUP((W$1)/10,0)*10,[1]Hugst!$R$4:$W$4,0))))</f>
        <v>69.430221350823388</v>
      </c>
      <c r="X58">
        <f ca="1">IF($C58-X$1&lt;År1,0,W57*(1-VLOOKUP($A58,[1]Hugst!$R$5:$W$9,MATCH(ROUNDUP((X$1)/10,0)*10,[1]Hugst!$R$4:$W$4,0))))</f>
        <v>69.583914711636112</v>
      </c>
      <c r="Y58">
        <f ca="1">IF($C58-Y$1&lt;År1,0,X57*(1-VLOOKUP($A58,[1]Hugst!$R$5:$W$9,MATCH(ROUNDUP((Y$1)/10,0)*10,[1]Hugst!$R$4:$W$4,0))))</f>
        <v>69.73838040089737</v>
      </c>
      <c r="Z58">
        <f ca="1">IF($C58-Z$1&lt;År1,0,Y57*(1-VLOOKUP($A58,[1]Hugst!$R$5:$W$9,MATCH(ROUNDUP((Z$1)/10,0)*10,[1]Hugst!$R$4:$W$4,0))))</f>
        <v>69.893622299649508</v>
      </c>
      <c r="AA58">
        <f ca="1">IF($C58-AA$1&lt;År1,0,Z57*(1-VLOOKUP($A58,[1]Hugst!$R$5:$W$9,MATCH(ROUNDUP((AA$1)/10,0)*10,[1]Hugst!$R$4:$W$4,0))))</f>
        <v>70.049644308447569</v>
      </c>
      <c r="AB58">
        <f ca="1">IF($C58-AB$1&lt;År1,0,AA57*(1-VLOOKUP($A58,[1]Hugst!$R$5:$W$9,MATCH(ROUNDUP((AB$1)/10,0)*10,[1]Hugst!$R$4:$W$4,0))))</f>
        <v>70.206450347439187</v>
      </c>
      <c r="AC58">
        <f ca="1">IF($C58-AC$1&lt;År1,0,AB57*(1-VLOOKUP($A58,[1]Hugst!$R$5:$W$9,MATCH(ROUNDUP((AC$1)/10,0)*10,[1]Hugst!$R$4:$W$4,0))))</f>
        <v>70.364044356477635</v>
      </c>
      <c r="AD58">
        <f ca="1">IF($C58-AD$1&lt;År1,0,AC57*(1-VLOOKUP($A58,[1]Hugst!$R$5:$W$9,MATCH(ROUNDUP((AD$1)/10,0)*10,[1]Hugst!$R$4:$W$4,0))))</f>
        <v>70.522430295208849</v>
      </c>
      <c r="AE58">
        <f ca="1">IF($C58-AE$1&lt;År1,0,AD57*(1-VLOOKUP($A58,[1]Hugst!$R$5:$W$9,MATCH(ROUNDUP((AE$1)/10,0)*10,[1]Hugst!$R$4:$W$4,0))))</f>
        <v>70.681612143180047</v>
      </c>
      <c r="AF58">
        <f>IF($C58-AF$1&lt;År1,0,AE57*(1-VLOOKUP($A58,[1]Hugst!$R$5:$W$9,MATCH(ROUNDUP((AF$1)/10,0)*10,[1]Hugst!$R$4:$W$4,0))))</f>
        <v>0</v>
      </c>
      <c r="AG58">
        <f>IF($C58-AG$1&lt;År1,0,AF57*(1-VLOOKUP($A58,[1]Hugst!$R$5:$W$9,MATCH(ROUNDUP((AG$1)/10,0)*10,[1]Hugst!$R$4:$W$4,0))))</f>
        <v>0</v>
      </c>
      <c r="AH58">
        <f>IF($C58-AH$1&lt;År1,0,AG57*(1-VLOOKUP($A58,[1]Hugst!$R$5:$W$9,MATCH(ROUNDUP((AH$1)/10,0)*10,[1]Hugst!$R$4:$W$4,0))))</f>
        <v>0</v>
      </c>
      <c r="AI58">
        <f>IF($C58-AI$1&lt;År1,0,AH57*(1-VLOOKUP($A58,[1]Hugst!$R$5:$W$9,MATCH(ROUNDUP((AI$1)/10,0)*10,[1]Hugst!$R$4:$W$4,0))))</f>
        <v>0</v>
      </c>
      <c r="AJ58">
        <f>IF($C58-AJ$1&lt;År1,0,AI57*(1-VLOOKUP($A58,[1]Hugst!$R$5:$W$9,MATCH(ROUNDUP((AJ$1)/10,0)*10,[1]Hugst!$R$4:$W$4,0))))</f>
        <v>0</v>
      </c>
    </row>
    <row r="59" spans="1:38" x14ac:dyDescent="0.25">
      <c r="A59" t="s">
        <v>176</v>
      </c>
      <c r="B59" t="s">
        <v>24</v>
      </c>
      <c r="C59">
        <v>2046</v>
      </c>
      <c r="D59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27.946256269443325</v>
      </c>
      <c r="E59">
        <f t="shared" ca="1" si="0"/>
        <v>0</v>
      </c>
      <c r="F5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88.988780274930321</v>
      </c>
      <c r="G59">
        <f ca="1">IF($C59-G$1&lt;År1,0,F58*(1-VLOOKUP($A59,[1]Hugst!$R$5:$W$9,MATCH(ROUNDUP((G$1)/10,0)*10,[1]Hugst!$R$4:$W$4,0))))</f>
        <v>89.12921372351974</v>
      </c>
      <c r="H59">
        <f ca="1">IF($C59-H$1&lt;År1,0,G58*(1-VLOOKUP($A59,[1]Hugst!$R$5:$W$9,MATCH(ROUNDUP((H$1)/10,0)*10,[1]Hugst!$R$4:$W$4,0))))</f>
        <v>89.27035286783115</v>
      </c>
      <c r="I59">
        <f ca="1">IF($C59-I$1&lt;År1,0,H58*(1-VLOOKUP($A59,[1]Hugst!$R$5:$W$9,MATCH(ROUNDUP((I$1)/10,0)*10,[1]Hugst!$R$4:$W$4,0))))</f>
        <v>89.41220125407466</v>
      </c>
      <c r="J59">
        <f ca="1">IF($C59-J$1&lt;År1,0,I58*(1-VLOOKUP($A59,[1]Hugst!$R$5:$W$9,MATCH(ROUNDUP((J$1)/10,0)*10,[1]Hugst!$R$4:$W$4,0))))</f>
        <v>89.554762446278403</v>
      </c>
      <c r="K59">
        <f ca="1">IF($C59-K$1&lt;År1,0,J58*(1-VLOOKUP($A59,[1]Hugst!$R$5:$W$9,MATCH(ROUNDUP((K$1)/10,0)*10,[1]Hugst!$R$4:$W$4,0))))</f>
        <v>89.698040026383126</v>
      </c>
      <c r="L59">
        <f ca="1">IF($C59-L$1&lt;År1,0,K58*(1-VLOOKUP($A59,[1]Hugst!$R$5:$W$9,MATCH(ROUNDUP((L$1)/10,0)*10,[1]Hugst!$R$4:$W$4,0))))</f>
        <v>89.842037594326996</v>
      </c>
      <c r="M59">
        <f ca="1">IF($C59-M$1&lt;År1,0,L58*(1-VLOOKUP($A59,[1]Hugst!$R$5:$W$9,MATCH(ROUNDUP((M$1)/10,0)*10,[1]Hugst!$R$4:$W$4,0))))</f>
        <v>89.98675876813985</v>
      </c>
      <c r="N59">
        <f ca="1">IF($C59-N$1&lt;År1,0,M58*(1-VLOOKUP($A59,[1]Hugst!$R$5:$W$9,MATCH(ROUNDUP((N$1)/10,0)*10,[1]Hugst!$R$4:$W$4,0))))</f>
        <v>90.132207184033689</v>
      </c>
      <c r="O59">
        <f ca="1">IF($C59-O$1&lt;År1,0,N58*(1-VLOOKUP($A59,[1]Hugst!$R$5:$W$9,MATCH(ROUNDUP((O$1)/10,0)*10,[1]Hugst!$R$4:$W$4,0))))</f>
        <v>90.278386496488167</v>
      </c>
      <c r="P59">
        <f ca="1">IF($C59-P$1&lt;År1,0,O58*(1-VLOOKUP($A59,[1]Hugst!$R$5:$W$9,MATCH(ROUNDUP((P$1)/10,0)*10,[1]Hugst!$R$4:$W$4,0))))</f>
        <v>90.425300378352233</v>
      </c>
      <c r="Q59">
        <f ca="1">IF($C59-Q$1&lt;År1,0,P58*(1-VLOOKUP($A59,[1]Hugst!$R$5:$W$9,MATCH(ROUNDUP((Q$1)/10,0)*10,[1]Hugst!$R$4:$W$4,0))))</f>
        <v>90.572952520930073</v>
      </c>
      <c r="R59">
        <f ca="1">IF($C59-R$1&lt;År1,0,Q58*(1-VLOOKUP($A59,[1]Hugst!$R$5:$W$9,MATCH(ROUNDUP((R$1)/10,0)*10,[1]Hugst!$R$4:$W$4,0))))</f>
        <v>90.721346634072461</v>
      </c>
      <c r="S59">
        <f ca="1">IF($C59-S$1&lt;År1,0,R58*(1-VLOOKUP($A59,[1]Hugst!$R$5:$W$9,MATCH(ROUNDUP((S$1)/10,0)*10,[1]Hugst!$R$4:$W$4,0))))</f>
        <v>90.870486446276232</v>
      </c>
      <c r="T59">
        <f ca="1">IF($C59-T$1&lt;År1,0,S58*(1-VLOOKUP($A59,[1]Hugst!$R$5:$W$9,MATCH(ROUNDUP((T$1)/10,0)*10,[1]Hugst!$R$4:$W$4,0))))</f>
        <v>91.02037570477313</v>
      </c>
      <c r="U59">
        <f ca="1">IF($C59-U$1&lt;År1,0,T58*(1-VLOOKUP($A59,[1]Hugst!$R$5:$W$9,MATCH(ROUNDUP((U$1)/10,0)*10,[1]Hugst!$R$4:$W$4,0))))</f>
        <v>91.171018175622692</v>
      </c>
      <c r="V59">
        <f ca="1">IF($C59-V$1&lt;År1,0,U58*(1-VLOOKUP($A59,[1]Hugst!$R$5:$W$9,MATCH(ROUNDUP((V$1)/10,0)*10,[1]Hugst!$R$4:$W$4,0))))</f>
        <v>69.125136187275132</v>
      </c>
      <c r="W59">
        <f ca="1">IF($C59-W$1&lt;År1,0,V58*(1-VLOOKUP($A59,[1]Hugst!$R$5:$W$9,MATCH(ROUNDUP((W$1)/10,0)*10,[1]Hugst!$R$4:$W$4,0))))</f>
        <v>69.277296456813701</v>
      </c>
      <c r="X59">
        <f ca="1">IF($C59-X$1&lt;År1,0,W58*(1-VLOOKUP($A59,[1]Hugst!$R$5:$W$9,MATCH(ROUNDUP((X$1)/10,0)*10,[1]Hugst!$R$4:$W$4,0))))</f>
        <v>69.430221350823388</v>
      </c>
      <c r="Y59">
        <f ca="1">IF($C59-Y$1&lt;År1,0,X58*(1-VLOOKUP($A59,[1]Hugst!$R$5:$W$9,MATCH(ROUNDUP((Y$1)/10,0)*10,[1]Hugst!$R$4:$W$4,0))))</f>
        <v>69.583914711636112</v>
      </c>
      <c r="Z59">
        <f ca="1">IF($C59-Z$1&lt;År1,0,Y58*(1-VLOOKUP($A59,[1]Hugst!$R$5:$W$9,MATCH(ROUNDUP((Z$1)/10,0)*10,[1]Hugst!$R$4:$W$4,0))))</f>
        <v>69.73838040089737</v>
      </c>
      <c r="AA59">
        <f ca="1">IF($C59-AA$1&lt;År1,0,Z58*(1-VLOOKUP($A59,[1]Hugst!$R$5:$W$9,MATCH(ROUNDUP((AA$1)/10,0)*10,[1]Hugst!$R$4:$W$4,0))))</f>
        <v>69.893622299649508</v>
      </c>
      <c r="AB59">
        <f ca="1">IF($C59-AB$1&lt;År1,0,AA58*(1-VLOOKUP($A59,[1]Hugst!$R$5:$W$9,MATCH(ROUNDUP((AB$1)/10,0)*10,[1]Hugst!$R$4:$W$4,0))))</f>
        <v>70.049644308447569</v>
      </c>
      <c r="AC59">
        <f ca="1">IF($C59-AC$1&lt;År1,0,AB58*(1-VLOOKUP($A59,[1]Hugst!$R$5:$W$9,MATCH(ROUNDUP((AC$1)/10,0)*10,[1]Hugst!$R$4:$W$4,0))))</f>
        <v>70.206450347439187</v>
      </c>
      <c r="AD59">
        <f ca="1">IF($C59-AD$1&lt;År1,0,AC58*(1-VLOOKUP($A59,[1]Hugst!$R$5:$W$9,MATCH(ROUNDUP((AD$1)/10,0)*10,[1]Hugst!$R$4:$W$4,0))))</f>
        <v>70.364044356477635</v>
      </c>
      <c r="AE59">
        <f ca="1">IF($C59-AE$1&lt;År1,0,AD58*(1-VLOOKUP($A59,[1]Hugst!$R$5:$W$9,MATCH(ROUNDUP((AE$1)/10,0)*10,[1]Hugst!$R$4:$W$4,0))))</f>
        <v>70.522430295208849</v>
      </c>
      <c r="AF59">
        <f ca="1">IF($C59-AF$1&lt;År1,0,AE58*(1-VLOOKUP($A59,[1]Hugst!$R$5:$W$9,MATCH(ROUNDUP((AF$1)/10,0)*10,[1]Hugst!$R$4:$W$4,0))))</f>
        <v>70.681612143180047</v>
      </c>
      <c r="AG59">
        <f>IF($C59-AG$1&lt;År1,0,AF58*(1-VLOOKUP($A59,[1]Hugst!$R$5:$W$9,MATCH(ROUNDUP((AG$1)/10,0)*10,[1]Hugst!$R$4:$W$4,0))))</f>
        <v>0</v>
      </c>
      <c r="AH59">
        <f>IF($C59-AH$1&lt;År1,0,AG58*(1-VLOOKUP($A59,[1]Hugst!$R$5:$W$9,MATCH(ROUNDUP((AH$1)/10,0)*10,[1]Hugst!$R$4:$W$4,0))))</f>
        <v>0</v>
      </c>
      <c r="AI59">
        <f>IF($C59-AI$1&lt;År1,0,AH58*(1-VLOOKUP($A59,[1]Hugst!$R$5:$W$9,MATCH(ROUNDUP((AI$1)/10,0)*10,[1]Hugst!$R$4:$W$4,0))))</f>
        <v>0</v>
      </c>
      <c r="AJ59">
        <f>IF($C59-AJ$1&lt;År1,0,AI58*(1-VLOOKUP($A59,[1]Hugst!$R$5:$W$9,MATCH(ROUNDUP((AJ$1)/10,0)*10,[1]Hugst!$R$4:$W$4,0))))</f>
        <v>0</v>
      </c>
    </row>
    <row r="60" spans="1:38" x14ac:dyDescent="0.25">
      <c r="A60" t="s">
        <v>176</v>
      </c>
      <c r="B60" t="s">
        <v>24</v>
      </c>
      <c r="C60">
        <v>2047</v>
      </c>
      <c r="D60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27.806524988094225</v>
      </c>
      <c r="E60">
        <f t="shared" ca="1" si="0"/>
        <v>0</v>
      </c>
      <c r="F60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88.849048993581221</v>
      </c>
      <c r="G60">
        <f ca="1">IF($C60-G$1&lt;År1,0,F59*(1-VLOOKUP($A60,[1]Hugst!$R$5:$W$9,MATCH(ROUNDUP((G$1)/10,0)*10,[1]Hugst!$R$4:$W$4,0))))</f>
        <v>88.988780274930321</v>
      </c>
      <c r="H60">
        <f ca="1">IF($C60-H$1&lt;År1,0,G59*(1-VLOOKUP($A60,[1]Hugst!$R$5:$W$9,MATCH(ROUNDUP((H$1)/10,0)*10,[1]Hugst!$R$4:$W$4,0))))</f>
        <v>89.12921372351974</v>
      </c>
      <c r="I60">
        <f ca="1">IF($C60-I$1&lt;År1,0,H59*(1-VLOOKUP($A60,[1]Hugst!$R$5:$W$9,MATCH(ROUNDUP((I$1)/10,0)*10,[1]Hugst!$R$4:$W$4,0))))</f>
        <v>89.27035286783115</v>
      </c>
      <c r="J60">
        <f ca="1">IF($C60-J$1&lt;År1,0,I59*(1-VLOOKUP($A60,[1]Hugst!$R$5:$W$9,MATCH(ROUNDUP((J$1)/10,0)*10,[1]Hugst!$R$4:$W$4,0))))</f>
        <v>89.41220125407466</v>
      </c>
      <c r="K60">
        <f ca="1">IF($C60-K$1&lt;År1,0,J59*(1-VLOOKUP($A60,[1]Hugst!$R$5:$W$9,MATCH(ROUNDUP((K$1)/10,0)*10,[1]Hugst!$R$4:$W$4,0))))</f>
        <v>89.554762446278403</v>
      </c>
      <c r="L60">
        <f ca="1">IF($C60-L$1&lt;År1,0,K59*(1-VLOOKUP($A60,[1]Hugst!$R$5:$W$9,MATCH(ROUNDUP((L$1)/10,0)*10,[1]Hugst!$R$4:$W$4,0))))</f>
        <v>89.698040026383126</v>
      </c>
      <c r="M60">
        <f ca="1">IF($C60-M$1&lt;År1,0,L59*(1-VLOOKUP($A60,[1]Hugst!$R$5:$W$9,MATCH(ROUNDUP((M$1)/10,0)*10,[1]Hugst!$R$4:$W$4,0))))</f>
        <v>89.842037594326996</v>
      </c>
      <c r="N60">
        <f ca="1">IF($C60-N$1&lt;År1,0,M59*(1-VLOOKUP($A60,[1]Hugst!$R$5:$W$9,MATCH(ROUNDUP((N$1)/10,0)*10,[1]Hugst!$R$4:$W$4,0))))</f>
        <v>89.98675876813985</v>
      </c>
      <c r="O60">
        <f ca="1">IF($C60-O$1&lt;År1,0,N59*(1-VLOOKUP($A60,[1]Hugst!$R$5:$W$9,MATCH(ROUNDUP((O$1)/10,0)*10,[1]Hugst!$R$4:$W$4,0))))</f>
        <v>90.132207184033689</v>
      </c>
      <c r="P60">
        <f ca="1">IF($C60-P$1&lt;År1,0,O59*(1-VLOOKUP($A60,[1]Hugst!$R$5:$W$9,MATCH(ROUNDUP((P$1)/10,0)*10,[1]Hugst!$R$4:$W$4,0))))</f>
        <v>90.278386496488167</v>
      </c>
      <c r="Q60">
        <f ca="1">IF($C60-Q$1&lt;År1,0,P59*(1-VLOOKUP($A60,[1]Hugst!$R$5:$W$9,MATCH(ROUNDUP((Q$1)/10,0)*10,[1]Hugst!$R$4:$W$4,0))))</f>
        <v>90.425300378352233</v>
      </c>
      <c r="R60">
        <f ca="1">IF($C60-R$1&lt;År1,0,Q59*(1-VLOOKUP($A60,[1]Hugst!$R$5:$W$9,MATCH(ROUNDUP((R$1)/10,0)*10,[1]Hugst!$R$4:$W$4,0))))</f>
        <v>90.572952520930073</v>
      </c>
      <c r="S60">
        <f ca="1">IF($C60-S$1&lt;År1,0,R59*(1-VLOOKUP($A60,[1]Hugst!$R$5:$W$9,MATCH(ROUNDUP((S$1)/10,0)*10,[1]Hugst!$R$4:$W$4,0))))</f>
        <v>90.721346634072461</v>
      </c>
      <c r="T60">
        <f ca="1">IF($C60-T$1&lt;År1,0,S59*(1-VLOOKUP($A60,[1]Hugst!$R$5:$W$9,MATCH(ROUNDUP((T$1)/10,0)*10,[1]Hugst!$R$4:$W$4,0))))</f>
        <v>90.870486446276232</v>
      </c>
      <c r="U60">
        <f ca="1">IF($C60-U$1&lt;År1,0,T59*(1-VLOOKUP($A60,[1]Hugst!$R$5:$W$9,MATCH(ROUNDUP((U$1)/10,0)*10,[1]Hugst!$R$4:$W$4,0))))</f>
        <v>91.02037570477313</v>
      </c>
      <c r="V60">
        <f ca="1">IF($C60-V$1&lt;År1,0,U59*(1-VLOOKUP($A60,[1]Hugst!$R$5:$W$9,MATCH(ROUNDUP((V$1)/10,0)*10,[1]Hugst!$R$4:$W$4,0))))</f>
        <v>91.171018175622692</v>
      </c>
      <c r="W60">
        <f ca="1">IF($C60-W$1&lt;År1,0,V59*(1-VLOOKUP($A60,[1]Hugst!$R$5:$W$9,MATCH(ROUNDUP((W$1)/10,0)*10,[1]Hugst!$R$4:$W$4,0))))</f>
        <v>69.125136187275132</v>
      </c>
      <c r="X60">
        <f ca="1">IF($C60-X$1&lt;År1,0,W59*(1-VLOOKUP($A60,[1]Hugst!$R$5:$W$9,MATCH(ROUNDUP((X$1)/10,0)*10,[1]Hugst!$R$4:$W$4,0))))</f>
        <v>69.277296456813701</v>
      </c>
      <c r="Y60">
        <f ca="1">IF($C60-Y$1&lt;År1,0,X59*(1-VLOOKUP($A60,[1]Hugst!$R$5:$W$9,MATCH(ROUNDUP((Y$1)/10,0)*10,[1]Hugst!$R$4:$W$4,0))))</f>
        <v>69.430221350823388</v>
      </c>
      <c r="Z60">
        <f ca="1">IF($C60-Z$1&lt;År1,0,Y59*(1-VLOOKUP($A60,[1]Hugst!$R$5:$W$9,MATCH(ROUNDUP((Z$1)/10,0)*10,[1]Hugst!$R$4:$W$4,0))))</f>
        <v>69.583914711636112</v>
      </c>
      <c r="AA60">
        <f ca="1">IF($C60-AA$1&lt;År1,0,Z59*(1-VLOOKUP($A60,[1]Hugst!$R$5:$W$9,MATCH(ROUNDUP((AA$1)/10,0)*10,[1]Hugst!$R$4:$W$4,0))))</f>
        <v>69.73838040089737</v>
      </c>
      <c r="AB60">
        <f ca="1">IF($C60-AB$1&lt;År1,0,AA59*(1-VLOOKUP($A60,[1]Hugst!$R$5:$W$9,MATCH(ROUNDUP((AB$1)/10,0)*10,[1]Hugst!$R$4:$W$4,0))))</f>
        <v>69.893622299649508</v>
      </c>
      <c r="AC60">
        <f ca="1">IF($C60-AC$1&lt;År1,0,AB59*(1-VLOOKUP($A60,[1]Hugst!$R$5:$W$9,MATCH(ROUNDUP((AC$1)/10,0)*10,[1]Hugst!$R$4:$W$4,0))))</f>
        <v>70.049644308447569</v>
      </c>
      <c r="AD60">
        <f ca="1">IF($C60-AD$1&lt;År1,0,AC59*(1-VLOOKUP($A60,[1]Hugst!$R$5:$W$9,MATCH(ROUNDUP((AD$1)/10,0)*10,[1]Hugst!$R$4:$W$4,0))))</f>
        <v>70.206450347439187</v>
      </c>
      <c r="AE60">
        <f ca="1">IF($C60-AE$1&lt;År1,0,AD59*(1-VLOOKUP($A60,[1]Hugst!$R$5:$W$9,MATCH(ROUNDUP((AE$1)/10,0)*10,[1]Hugst!$R$4:$W$4,0))))</f>
        <v>70.364044356477635</v>
      </c>
      <c r="AF60">
        <f ca="1">IF($C60-AF$1&lt;År1,0,AE59*(1-VLOOKUP($A60,[1]Hugst!$R$5:$W$9,MATCH(ROUNDUP((AF$1)/10,0)*10,[1]Hugst!$R$4:$W$4,0))))</f>
        <v>70.522430295208849</v>
      </c>
      <c r="AG60">
        <f ca="1">IF($C60-AG$1&lt;År1,0,AF59*(1-VLOOKUP($A60,[1]Hugst!$R$5:$W$9,MATCH(ROUNDUP((AG$1)/10,0)*10,[1]Hugst!$R$4:$W$4,0))))</f>
        <v>70.681612143180047</v>
      </c>
      <c r="AH60">
        <f>IF($C60-AH$1&lt;År1,0,AG59*(1-VLOOKUP($A60,[1]Hugst!$R$5:$W$9,MATCH(ROUNDUP((AH$1)/10,0)*10,[1]Hugst!$R$4:$W$4,0))))</f>
        <v>0</v>
      </c>
      <c r="AI60">
        <f>IF($C60-AI$1&lt;År1,0,AH59*(1-VLOOKUP($A60,[1]Hugst!$R$5:$W$9,MATCH(ROUNDUP((AI$1)/10,0)*10,[1]Hugst!$R$4:$W$4,0))))</f>
        <v>0</v>
      </c>
      <c r="AJ60">
        <f>IF($C60-AJ$1&lt;År1,0,AI59*(1-VLOOKUP($A60,[1]Hugst!$R$5:$W$9,MATCH(ROUNDUP((AJ$1)/10,0)*10,[1]Hugst!$R$4:$W$4,0))))</f>
        <v>0</v>
      </c>
    </row>
    <row r="61" spans="1:38" x14ac:dyDescent="0.25">
      <c r="A61" t="s">
        <v>176</v>
      </c>
      <c r="B61" t="s">
        <v>24</v>
      </c>
      <c r="C61">
        <v>2048</v>
      </c>
      <c r="D61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27.667492363154452</v>
      </c>
      <c r="E61">
        <f t="shared" ca="1" si="0"/>
        <v>0</v>
      </c>
      <c r="F61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88.710016368641448</v>
      </c>
      <c r="G61">
        <f ca="1">IF($C61-G$1&lt;År1,0,F60*(1-VLOOKUP($A61,[1]Hugst!$R$5:$W$9,MATCH(ROUNDUP((G$1)/10,0)*10,[1]Hugst!$R$4:$W$4,0))))</f>
        <v>88.849048993581221</v>
      </c>
      <c r="H61">
        <f ca="1">IF($C61-H$1&lt;År1,0,G60*(1-VLOOKUP($A61,[1]Hugst!$R$5:$W$9,MATCH(ROUNDUP((H$1)/10,0)*10,[1]Hugst!$R$4:$W$4,0))))</f>
        <v>88.988780274930321</v>
      </c>
      <c r="I61">
        <f ca="1">IF($C61-I$1&lt;År1,0,H60*(1-VLOOKUP($A61,[1]Hugst!$R$5:$W$9,MATCH(ROUNDUP((I$1)/10,0)*10,[1]Hugst!$R$4:$W$4,0))))</f>
        <v>89.12921372351974</v>
      </c>
      <c r="J61">
        <f ca="1">IF($C61-J$1&lt;År1,0,I60*(1-VLOOKUP($A61,[1]Hugst!$R$5:$W$9,MATCH(ROUNDUP((J$1)/10,0)*10,[1]Hugst!$R$4:$W$4,0))))</f>
        <v>89.27035286783115</v>
      </c>
      <c r="K61">
        <f ca="1">IF($C61-K$1&lt;År1,0,J60*(1-VLOOKUP($A61,[1]Hugst!$R$5:$W$9,MATCH(ROUNDUP((K$1)/10,0)*10,[1]Hugst!$R$4:$W$4,0))))</f>
        <v>89.41220125407466</v>
      </c>
      <c r="L61">
        <f ca="1">IF($C61-L$1&lt;År1,0,K60*(1-VLOOKUP($A61,[1]Hugst!$R$5:$W$9,MATCH(ROUNDUP((L$1)/10,0)*10,[1]Hugst!$R$4:$W$4,0))))</f>
        <v>89.554762446278403</v>
      </c>
      <c r="M61">
        <f ca="1">IF($C61-M$1&lt;År1,0,L60*(1-VLOOKUP($A61,[1]Hugst!$R$5:$W$9,MATCH(ROUNDUP((M$1)/10,0)*10,[1]Hugst!$R$4:$W$4,0))))</f>
        <v>89.698040026383126</v>
      </c>
      <c r="N61">
        <f ca="1">IF($C61-N$1&lt;År1,0,M60*(1-VLOOKUP($A61,[1]Hugst!$R$5:$W$9,MATCH(ROUNDUP((N$1)/10,0)*10,[1]Hugst!$R$4:$W$4,0))))</f>
        <v>89.842037594326996</v>
      </c>
      <c r="O61">
        <f ca="1">IF($C61-O$1&lt;År1,0,N60*(1-VLOOKUP($A61,[1]Hugst!$R$5:$W$9,MATCH(ROUNDUP((O$1)/10,0)*10,[1]Hugst!$R$4:$W$4,0))))</f>
        <v>89.98675876813985</v>
      </c>
      <c r="P61">
        <f ca="1">IF($C61-P$1&lt;År1,0,O60*(1-VLOOKUP($A61,[1]Hugst!$R$5:$W$9,MATCH(ROUNDUP((P$1)/10,0)*10,[1]Hugst!$R$4:$W$4,0))))</f>
        <v>90.132207184033689</v>
      </c>
      <c r="Q61">
        <f ca="1">IF($C61-Q$1&lt;År1,0,P60*(1-VLOOKUP($A61,[1]Hugst!$R$5:$W$9,MATCH(ROUNDUP((Q$1)/10,0)*10,[1]Hugst!$R$4:$W$4,0))))</f>
        <v>90.278386496488167</v>
      </c>
      <c r="R61">
        <f ca="1">IF($C61-R$1&lt;År1,0,Q60*(1-VLOOKUP($A61,[1]Hugst!$R$5:$W$9,MATCH(ROUNDUP((R$1)/10,0)*10,[1]Hugst!$R$4:$W$4,0))))</f>
        <v>90.425300378352233</v>
      </c>
      <c r="S61">
        <f ca="1">IF($C61-S$1&lt;År1,0,R60*(1-VLOOKUP($A61,[1]Hugst!$R$5:$W$9,MATCH(ROUNDUP((S$1)/10,0)*10,[1]Hugst!$R$4:$W$4,0))))</f>
        <v>90.572952520930073</v>
      </c>
      <c r="T61">
        <f ca="1">IF($C61-T$1&lt;År1,0,S60*(1-VLOOKUP($A61,[1]Hugst!$R$5:$W$9,MATCH(ROUNDUP((T$1)/10,0)*10,[1]Hugst!$R$4:$W$4,0))))</f>
        <v>90.721346634072461</v>
      </c>
      <c r="U61">
        <f ca="1">IF($C61-U$1&lt;År1,0,T60*(1-VLOOKUP($A61,[1]Hugst!$R$5:$W$9,MATCH(ROUNDUP((U$1)/10,0)*10,[1]Hugst!$R$4:$W$4,0))))</f>
        <v>90.870486446276232</v>
      </c>
      <c r="V61">
        <f ca="1">IF($C61-V$1&lt;År1,0,U60*(1-VLOOKUP($A61,[1]Hugst!$R$5:$W$9,MATCH(ROUNDUP((V$1)/10,0)*10,[1]Hugst!$R$4:$W$4,0))))</f>
        <v>91.02037570477313</v>
      </c>
      <c r="W61">
        <f ca="1">IF($C61-W$1&lt;År1,0,V60*(1-VLOOKUP($A61,[1]Hugst!$R$5:$W$9,MATCH(ROUNDUP((W$1)/10,0)*10,[1]Hugst!$R$4:$W$4,0))))</f>
        <v>91.171018175622692</v>
      </c>
      <c r="X61">
        <f ca="1">IF($C61-X$1&lt;År1,0,W60*(1-VLOOKUP($A61,[1]Hugst!$R$5:$W$9,MATCH(ROUNDUP((X$1)/10,0)*10,[1]Hugst!$R$4:$W$4,0))))</f>
        <v>69.125136187275132</v>
      </c>
      <c r="Y61">
        <f ca="1">IF($C61-Y$1&lt;År1,0,X60*(1-VLOOKUP($A61,[1]Hugst!$R$5:$W$9,MATCH(ROUNDUP((Y$1)/10,0)*10,[1]Hugst!$R$4:$W$4,0))))</f>
        <v>69.277296456813701</v>
      </c>
      <c r="Z61">
        <f ca="1">IF($C61-Z$1&lt;År1,0,Y60*(1-VLOOKUP($A61,[1]Hugst!$R$5:$W$9,MATCH(ROUNDUP((Z$1)/10,0)*10,[1]Hugst!$R$4:$W$4,0))))</f>
        <v>69.430221350823388</v>
      </c>
      <c r="AA61">
        <f ca="1">IF($C61-AA$1&lt;År1,0,Z60*(1-VLOOKUP($A61,[1]Hugst!$R$5:$W$9,MATCH(ROUNDUP((AA$1)/10,0)*10,[1]Hugst!$R$4:$W$4,0))))</f>
        <v>69.583914711636112</v>
      </c>
      <c r="AB61">
        <f ca="1">IF($C61-AB$1&lt;År1,0,AA60*(1-VLOOKUP($A61,[1]Hugst!$R$5:$W$9,MATCH(ROUNDUP((AB$1)/10,0)*10,[1]Hugst!$R$4:$W$4,0))))</f>
        <v>69.73838040089737</v>
      </c>
      <c r="AC61">
        <f ca="1">IF($C61-AC$1&lt;År1,0,AB60*(1-VLOOKUP($A61,[1]Hugst!$R$5:$W$9,MATCH(ROUNDUP((AC$1)/10,0)*10,[1]Hugst!$R$4:$W$4,0))))</f>
        <v>69.893622299649508</v>
      </c>
      <c r="AD61">
        <f ca="1">IF($C61-AD$1&lt;År1,0,AC60*(1-VLOOKUP($A61,[1]Hugst!$R$5:$W$9,MATCH(ROUNDUP((AD$1)/10,0)*10,[1]Hugst!$R$4:$W$4,0))))</f>
        <v>70.049644308447569</v>
      </c>
      <c r="AE61">
        <f ca="1">IF($C61-AE$1&lt;År1,0,AD60*(1-VLOOKUP($A61,[1]Hugst!$R$5:$W$9,MATCH(ROUNDUP((AE$1)/10,0)*10,[1]Hugst!$R$4:$W$4,0))))</f>
        <v>70.206450347439187</v>
      </c>
      <c r="AF61">
        <f ca="1">IF($C61-AF$1&lt;År1,0,AE60*(1-VLOOKUP($A61,[1]Hugst!$R$5:$W$9,MATCH(ROUNDUP((AF$1)/10,0)*10,[1]Hugst!$R$4:$W$4,0))))</f>
        <v>70.364044356477635</v>
      </c>
      <c r="AG61">
        <f ca="1">IF($C61-AG$1&lt;År1,0,AF60*(1-VLOOKUP($A61,[1]Hugst!$R$5:$W$9,MATCH(ROUNDUP((AG$1)/10,0)*10,[1]Hugst!$R$4:$W$4,0))))</f>
        <v>70.522430295208849</v>
      </c>
      <c r="AH61">
        <f ca="1">IF($C61-AH$1&lt;År1,0,AG60*(1-VLOOKUP($A61,[1]Hugst!$R$5:$W$9,MATCH(ROUNDUP((AH$1)/10,0)*10,[1]Hugst!$R$4:$W$4,0))))</f>
        <v>70.681612143180047</v>
      </c>
      <c r="AI61">
        <f>IF($C61-AI$1&lt;År1,0,AH60*(1-VLOOKUP($A61,[1]Hugst!$R$5:$W$9,MATCH(ROUNDUP((AI$1)/10,0)*10,[1]Hugst!$R$4:$W$4,0))))</f>
        <v>0</v>
      </c>
      <c r="AJ61">
        <f>IF($C61-AJ$1&lt;År1,0,AI60*(1-VLOOKUP($A61,[1]Hugst!$R$5:$W$9,MATCH(ROUNDUP((AJ$1)/10,0)*10,[1]Hugst!$R$4:$W$4,0))))</f>
        <v>0</v>
      </c>
    </row>
    <row r="62" spans="1:38" x14ac:dyDescent="0.25">
      <c r="A62" t="s">
        <v>176</v>
      </c>
      <c r="B62" t="s">
        <v>24</v>
      </c>
      <c r="C62">
        <v>2049</v>
      </c>
      <c r="D62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27.529154901339666</v>
      </c>
      <c r="E62">
        <f t="shared" ca="1" si="0"/>
        <v>0</v>
      </c>
      <c r="F62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88.571678906826662</v>
      </c>
      <c r="G62">
        <f ca="1">IF($C62-G$1&lt;År1,0,F61*(1-VLOOKUP($A62,[1]Hugst!$R$5:$W$9,MATCH(ROUNDUP((G$1)/10,0)*10,[1]Hugst!$R$4:$W$4,0))))</f>
        <v>88.710016368641448</v>
      </c>
      <c r="H62">
        <f ca="1">IF($C62-H$1&lt;År1,0,G61*(1-VLOOKUP($A62,[1]Hugst!$R$5:$W$9,MATCH(ROUNDUP((H$1)/10,0)*10,[1]Hugst!$R$4:$W$4,0))))</f>
        <v>88.849048993581221</v>
      </c>
      <c r="I62">
        <f ca="1">IF($C62-I$1&lt;År1,0,H61*(1-VLOOKUP($A62,[1]Hugst!$R$5:$W$9,MATCH(ROUNDUP((I$1)/10,0)*10,[1]Hugst!$R$4:$W$4,0))))</f>
        <v>88.988780274930321</v>
      </c>
      <c r="J62">
        <f ca="1">IF($C62-J$1&lt;År1,0,I61*(1-VLOOKUP($A62,[1]Hugst!$R$5:$W$9,MATCH(ROUNDUP((J$1)/10,0)*10,[1]Hugst!$R$4:$W$4,0))))</f>
        <v>89.12921372351974</v>
      </c>
      <c r="K62">
        <f ca="1">IF($C62-K$1&lt;År1,0,J61*(1-VLOOKUP($A62,[1]Hugst!$R$5:$W$9,MATCH(ROUNDUP((K$1)/10,0)*10,[1]Hugst!$R$4:$W$4,0))))</f>
        <v>89.27035286783115</v>
      </c>
      <c r="L62">
        <f ca="1">IF($C62-L$1&lt;År1,0,K61*(1-VLOOKUP($A62,[1]Hugst!$R$5:$W$9,MATCH(ROUNDUP((L$1)/10,0)*10,[1]Hugst!$R$4:$W$4,0))))</f>
        <v>89.41220125407466</v>
      </c>
      <c r="M62">
        <f ca="1">IF($C62-M$1&lt;År1,0,L61*(1-VLOOKUP($A62,[1]Hugst!$R$5:$W$9,MATCH(ROUNDUP((M$1)/10,0)*10,[1]Hugst!$R$4:$W$4,0))))</f>
        <v>89.554762446278403</v>
      </c>
      <c r="N62">
        <f ca="1">IF($C62-N$1&lt;År1,0,M61*(1-VLOOKUP($A62,[1]Hugst!$R$5:$W$9,MATCH(ROUNDUP((N$1)/10,0)*10,[1]Hugst!$R$4:$W$4,0))))</f>
        <v>89.698040026383126</v>
      </c>
      <c r="O62">
        <f ca="1">IF($C62-O$1&lt;År1,0,N61*(1-VLOOKUP($A62,[1]Hugst!$R$5:$W$9,MATCH(ROUNDUP((O$1)/10,0)*10,[1]Hugst!$R$4:$W$4,0))))</f>
        <v>89.842037594326996</v>
      </c>
      <c r="P62">
        <f ca="1">IF($C62-P$1&lt;År1,0,O61*(1-VLOOKUP($A62,[1]Hugst!$R$5:$W$9,MATCH(ROUNDUP((P$1)/10,0)*10,[1]Hugst!$R$4:$W$4,0))))</f>
        <v>89.98675876813985</v>
      </c>
      <c r="Q62">
        <f ca="1">IF($C62-Q$1&lt;År1,0,P61*(1-VLOOKUP($A62,[1]Hugst!$R$5:$W$9,MATCH(ROUNDUP((Q$1)/10,0)*10,[1]Hugst!$R$4:$W$4,0))))</f>
        <v>90.132207184033689</v>
      </c>
      <c r="R62">
        <f ca="1">IF($C62-R$1&lt;År1,0,Q61*(1-VLOOKUP($A62,[1]Hugst!$R$5:$W$9,MATCH(ROUNDUP((R$1)/10,0)*10,[1]Hugst!$R$4:$W$4,0))))</f>
        <v>90.278386496488167</v>
      </c>
      <c r="S62">
        <f ca="1">IF($C62-S$1&lt;År1,0,R61*(1-VLOOKUP($A62,[1]Hugst!$R$5:$W$9,MATCH(ROUNDUP((S$1)/10,0)*10,[1]Hugst!$R$4:$W$4,0))))</f>
        <v>90.425300378352233</v>
      </c>
      <c r="T62">
        <f ca="1">IF($C62-T$1&lt;År1,0,S61*(1-VLOOKUP($A62,[1]Hugst!$R$5:$W$9,MATCH(ROUNDUP((T$1)/10,0)*10,[1]Hugst!$R$4:$W$4,0))))</f>
        <v>90.572952520930073</v>
      </c>
      <c r="U62">
        <f ca="1">IF($C62-U$1&lt;År1,0,T61*(1-VLOOKUP($A62,[1]Hugst!$R$5:$W$9,MATCH(ROUNDUP((U$1)/10,0)*10,[1]Hugst!$R$4:$W$4,0))))</f>
        <v>90.721346634072461</v>
      </c>
      <c r="V62">
        <f ca="1">IF($C62-V$1&lt;År1,0,U61*(1-VLOOKUP($A62,[1]Hugst!$R$5:$W$9,MATCH(ROUNDUP((V$1)/10,0)*10,[1]Hugst!$R$4:$W$4,0))))</f>
        <v>90.870486446276232</v>
      </c>
      <c r="W62">
        <f ca="1">IF($C62-W$1&lt;År1,0,V61*(1-VLOOKUP($A62,[1]Hugst!$R$5:$W$9,MATCH(ROUNDUP((W$1)/10,0)*10,[1]Hugst!$R$4:$W$4,0))))</f>
        <v>91.02037570477313</v>
      </c>
      <c r="X62">
        <f ca="1">IF($C62-X$1&lt;År1,0,W61*(1-VLOOKUP($A62,[1]Hugst!$R$5:$W$9,MATCH(ROUNDUP((X$1)/10,0)*10,[1]Hugst!$R$4:$W$4,0))))</f>
        <v>91.171018175622692</v>
      </c>
      <c r="Y62">
        <f ca="1">IF($C62-Y$1&lt;År1,0,X61*(1-VLOOKUP($A62,[1]Hugst!$R$5:$W$9,MATCH(ROUNDUP((Y$1)/10,0)*10,[1]Hugst!$R$4:$W$4,0))))</f>
        <v>69.125136187275132</v>
      </c>
      <c r="Z62">
        <f ca="1">IF($C62-Z$1&lt;År1,0,Y61*(1-VLOOKUP($A62,[1]Hugst!$R$5:$W$9,MATCH(ROUNDUP((Z$1)/10,0)*10,[1]Hugst!$R$4:$W$4,0))))</f>
        <v>69.277296456813701</v>
      </c>
      <c r="AA62">
        <f ca="1">IF($C62-AA$1&lt;År1,0,Z61*(1-VLOOKUP($A62,[1]Hugst!$R$5:$W$9,MATCH(ROUNDUP((AA$1)/10,0)*10,[1]Hugst!$R$4:$W$4,0))))</f>
        <v>69.430221350823388</v>
      </c>
      <c r="AB62">
        <f ca="1">IF($C62-AB$1&lt;År1,0,AA61*(1-VLOOKUP($A62,[1]Hugst!$R$5:$W$9,MATCH(ROUNDUP((AB$1)/10,0)*10,[1]Hugst!$R$4:$W$4,0))))</f>
        <v>69.583914711636112</v>
      </c>
      <c r="AC62">
        <f ca="1">IF($C62-AC$1&lt;År1,0,AB61*(1-VLOOKUP($A62,[1]Hugst!$R$5:$W$9,MATCH(ROUNDUP((AC$1)/10,0)*10,[1]Hugst!$R$4:$W$4,0))))</f>
        <v>69.73838040089737</v>
      </c>
      <c r="AD62">
        <f ca="1">IF($C62-AD$1&lt;År1,0,AC61*(1-VLOOKUP($A62,[1]Hugst!$R$5:$W$9,MATCH(ROUNDUP((AD$1)/10,0)*10,[1]Hugst!$R$4:$W$4,0))))</f>
        <v>69.893622299649508</v>
      </c>
      <c r="AE62">
        <f ca="1">IF($C62-AE$1&lt;År1,0,AD61*(1-VLOOKUP($A62,[1]Hugst!$R$5:$W$9,MATCH(ROUNDUP((AE$1)/10,0)*10,[1]Hugst!$R$4:$W$4,0))))</f>
        <v>70.049644308447569</v>
      </c>
      <c r="AF62">
        <f ca="1">IF($C62-AF$1&lt;År1,0,AE61*(1-VLOOKUP($A62,[1]Hugst!$R$5:$W$9,MATCH(ROUNDUP((AF$1)/10,0)*10,[1]Hugst!$R$4:$W$4,0))))</f>
        <v>70.206450347439187</v>
      </c>
      <c r="AG62">
        <f ca="1">IF($C62-AG$1&lt;År1,0,AF61*(1-VLOOKUP($A62,[1]Hugst!$R$5:$W$9,MATCH(ROUNDUP((AG$1)/10,0)*10,[1]Hugst!$R$4:$W$4,0))))</f>
        <v>70.364044356477635</v>
      </c>
      <c r="AH62">
        <f ca="1">IF($C62-AH$1&lt;År1,0,AG61*(1-VLOOKUP($A62,[1]Hugst!$R$5:$W$9,MATCH(ROUNDUP((AH$1)/10,0)*10,[1]Hugst!$R$4:$W$4,0))))</f>
        <v>70.522430295208849</v>
      </c>
      <c r="AI62">
        <f ca="1">IF($C62-AI$1&lt;År1,0,AH61*(1-VLOOKUP($A62,[1]Hugst!$R$5:$W$9,MATCH(ROUNDUP((AI$1)/10,0)*10,[1]Hugst!$R$4:$W$4,0))))</f>
        <v>70.681612143180047</v>
      </c>
      <c r="AJ62">
        <f>IF($C62-AJ$1&lt;År1,0,AI61*(1-VLOOKUP($A62,[1]Hugst!$R$5:$W$9,MATCH(ROUNDUP((AJ$1)/10,0)*10,[1]Hugst!$R$4:$W$4,0))))</f>
        <v>0</v>
      </c>
    </row>
    <row r="63" spans="1:38" x14ac:dyDescent="0.25">
      <c r="A63" t="s">
        <v>176</v>
      </c>
      <c r="B63" t="s">
        <v>24</v>
      </c>
      <c r="C63">
        <v>2050</v>
      </c>
      <c r="D63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27.391509126832602</v>
      </c>
      <c r="E63">
        <f t="shared" ca="1" si="0"/>
        <v>0.23309893366376855</v>
      </c>
      <c r="F63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88.667132065983367</v>
      </c>
      <c r="G63">
        <f ca="1">IF($C63-G$1&lt;År1,0,F62*(1-VLOOKUP($A63,[1]Hugst!$R$5:$W$9,MATCH(ROUNDUP((G$1)/10,0)*10,[1]Hugst!$R$4:$W$4,0))))</f>
        <v>88.571678906826662</v>
      </c>
      <c r="H63">
        <f ca="1">IF($C63-H$1&lt;År1,0,G62*(1-VLOOKUP($A63,[1]Hugst!$R$5:$W$9,MATCH(ROUNDUP((H$1)/10,0)*10,[1]Hugst!$R$4:$W$4,0))))</f>
        <v>88.710016368641448</v>
      </c>
      <c r="I63">
        <f ca="1">IF($C63-I$1&lt;År1,0,H62*(1-VLOOKUP($A63,[1]Hugst!$R$5:$W$9,MATCH(ROUNDUP((I$1)/10,0)*10,[1]Hugst!$R$4:$W$4,0))))</f>
        <v>88.849048993581221</v>
      </c>
      <c r="J63">
        <f ca="1">IF($C63-J$1&lt;År1,0,I62*(1-VLOOKUP($A63,[1]Hugst!$R$5:$W$9,MATCH(ROUNDUP((J$1)/10,0)*10,[1]Hugst!$R$4:$W$4,0))))</f>
        <v>88.988780274930321</v>
      </c>
      <c r="K63">
        <f ca="1">IF($C63-K$1&lt;År1,0,J62*(1-VLOOKUP($A63,[1]Hugst!$R$5:$W$9,MATCH(ROUNDUP((K$1)/10,0)*10,[1]Hugst!$R$4:$W$4,0))))</f>
        <v>89.12921372351974</v>
      </c>
      <c r="L63">
        <f ca="1">IF($C63-L$1&lt;År1,0,K62*(1-VLOOKUP($A63,[1]Hugst!$R$5:$W$9,MATCH(ROUNDUP((L$1)/10,0)*10,[1]Hugst!$R$4:$W$4,0))))</f>
        <v>89.27035286783115</v>
      </c>
      <c r="M63">
        <f ca="1">IF($C63-M$1&lt;År1,0,L62*(1-VLOOKUP($A63,[1]Hugst!$R$5:$W$9,MATCH(ROUNDUP((M$1)/10,0)*10,[1]Hugst!$R$4:$W$4,0))))</f>
        <v>89.41220125407466</v>
      </c>
      <c r="N63">
        <f ca="1">IF($C63-N$1&lt;År1,0,M62*(1-VLOOKUP($A63,[1]Hugst!$R$5:$W$9,MATCH(ROUNDUP((N$1)/10,0)*10,[1]Hugst!$R$4:$W$4,0))))</f>
        <v>89.554762446278403</v>
      </c>
      <c r="O63">
        <f ca="1">IF($C63-O$1&lt;År1,0,N62*(1-VLOOKUP($A63,[1]Hugst!$R$5:$W$9,MATCH(ROUNDUP((O$1)/10,0)*10,[1]Hugst!$R$4:$W$4,0))))</f>
        <v>89.698040026383126</v>
      </c>
      <c r="P63">
        <f ca="1">IF($C63-P$1&lt;År1,0,O62*(1-VLOOKUP($A63,[1]Hugst!$R$5:$W$9,MATCH(ROUNDUP((P$1)/10,0)*10,[1]Hugst!$R$4:$W$4,0))))</f>
        <v>89.842037594326996</v>
      </c>
      <c r="Q63">
        <f ca="1">IF($C63-Q$1&lt;År1,0,P62*(1-VLOOKUP($A63,[1]Hugst!$R$5:$W$9,MATCH(ROUNDUP((Q$1)/10,0)*10,[1]Hugst!$R$4:$W$4,0))))</f>
        <v>89.98675876813985</v>
      </c>
      <c r="R63">
        <f ca="1">IF($C63-R$1&lt;År1,0,Q62*(1-VLOOKUP($A63,[1]Hugst!$R$5:$W$9,MATCH(ROUNDUP((R$1)/10,0)*10,[1]Hugst!$R$4:$W$4,0))))</f>
        <v>90.132207184033689</v>
      </c>
      <c r="S63">
        <f ca="1">IF($C63-S$1&lt;År1,0,R62*(1-VLOOKUP($A63,[1]Hugst!$R$5:$W$9,MATCH(ROUNDUP((S$1)/10,0)*10,[1]Hugst!$R$4:$W$4,0))))</f>
        <v>90.278386496488167</v>
      </c>
      <c r="T63">
        <f ca="1">IF($C63-T$1&lt;År1,0,S62*(1-VLOOKUP($A63,[1]Hugst!$R$5:$W$9,MATCH(ROUNDUP((T$1)/10,0)*10,[1]Hugst!$R$4:$W$4,0))))</f>
        <v>90.425300378352233</v>
      </c>
      <c r="U63">
        <f ca="1">IF($C63-U$1&lt;År1,0,T62*(1-VLOOKUP($A63,[1]Hugst!$R$5:$W$9,MATCH(ROUNDUP((U$1)/10,0)*10,[1]Hugst!$R$4:$W$4,0))))</f>
        <v>90.572952520930073</v>
      </c>
      <c r="V63">
        <f ca="1">IF($C63-V$1&lt;År1,0,U62*(1-VLOOKUP($A63,[1]Hugst!$R$5:$W$9,MATCH(ROUNDUP((V$1)/10,0)*10,[1]Hugst!$R$4:$W$4,0))))</f>
        <v>90.721346634072461</v>
      </c>
      <c r="W63">
        <f ca="1">IF($C63-W$1&lt;År1,0,V62*(1-VLOOKUP($A63,[1]Hugst!$R$5:$W$9,MATCH(ROUNDUP((W$1)/10,0)*10,[1]Hugst!$R$4:$W$4,0))))</f>
        <v>90.870486446276232</v>
      </c>
      <c r="X63">
        <f ca="1">IF($C63-X$1&lt;År1,0,W62*(1-VLOOKUP($A63,[1]Hugst!$R$5:$W$9,MATCH(ROUNDUP((X$1)/10,0)*10,[1]Hugst!$R$4:$W$4,0))))</f>
        <v>91.02037570477313</v>
      </c>
      <c r="Y63">
        <f ca="1">IF($C63-Y$1&lt;År1,0,X62*(1-VLOOKUP($A63,[1]Hugst!$R$5:$W$9,MATCH(ROUNDUP((Y$1)/10,0)*10,[1]Hugst!$R$4:$W$4,0))))</f>
        <v>91.171018175622692</v>
      </c>
      <c r="Z63">
        <f ca="1">IF($C63-Z$1&lt;År1,0,Y62*(1-VLOOKUP($A63,[1]Hugst!$R$5:$W$9,MATCH(ROUNDUP((Z$1)/10,0)*10,[1]Hugst!$R$4:$W$4,0))))</f>
        <v>69.125136187275132</v>
      </c>
      <c r="AA63">
        <f ca="1">IF($C63-AA$1&lt;År1,0,Z62*(1-VLOOKUP($A63,[1]Hugst!$R$5:$W$9,MATCH(ROUNDUP((AA$1)/10,0)*10,[1]Hugst!$R$4:$W$4,0))))</f>
        <v>69.277296456813701</v>
      </c>
      <c r="AB63">
        <f ca="1">IF($C63-AB$1&lt;År1,0,AA62*(1-VLOOKUP($A63,[1]Hugst!$R$5:$W$9,MATCH(ROUNDUP((AB$1)/10,0)*10,[1]Hugst!$R$4:$W$4,0))))</f>
        <v>69.430221350823388</v>
      </c>
      <c r="AC63">
        <f ca="1">IF($C63-AC$1&lt;År1,0,AB62*(1-VLOOKUP($A63,[1]Hugst!$R$5:$W$9,MATCH(ROUNDUP((AC$1)/10,0)*10,[1]Hugst!$R$4:$W$4,0))))</f>
        <v>69.583914711636112</v>
      </c>
      <c r="AD63">
        <f ca="1">IF($C63-AD$1&lt;År1,0,AC62*(1-VLOOKUP($A63,[1]Hugst!$R$5:$W$9,MATCH(ROUNDUP((AD$1)/10,0)*10,[1]Hugst!$R$4:$W$4,0))))</f>
        <v>69.73838040089737</v>
      </c>
      <c r="AE63">
        <f ca="1">IF($C63-AE$1&lt;År1,0,AD62*(1-VLOOKUP($A63,[1]Hugst!$R$5:$W$9,MATCH(ROUNDUP((AE$1)/10,0)*10,[1]Hugst!$R$4:$W$4,0))))</f>
        <v>69.893622299649508</v>
      </c>
      <c r="AF63">
        <f ca="1">IF($C63-AF$1&lt;År1,0,AE62*(1-VLOOKUP($A63,[1]Hugst!$R$5:$W$9,MATCH(ROUNDUP((AF$1)/10,0)*10,[1]Hugst!$R$4:$W$4,0))))</f>
        <v>70.049644308447569</v>
      </c>
      <c r="AG63">
        <f ca="1">IF($C63-AG$1&lt;År1,0,AF62*(1-VLOOKUP($A63,[1]Hugst!$R$5:$W$9,MATCH(ROUNDUP((AG$1)/10,0)*10,[1]Hugst!$R$4:$W$4,0))))</f>
        <v>70.206450347439187</v>
      </c>
      <c r="AH63">
        <f ca="1">IF($C63-AH$1&lt;År1,0,AG62*(1-VLOOKUP($A63,[1]Hugst!$R$5:$W$9,MATCH(ROUNDUP((AH$1)/10,0)*10,[1]Hugst!$R$4:$W$4,0))))</f>
        <v>70.364044356477635</v>
      </c>
      <c r="AI63">
        <f ca="1">IF($C63-AI$1&lt;År1,0,AH62*(1-VLOOKUP($A63,[1]Hugst!$R$5:$W$9,MATCH(ROUNDUP((AI$1)/10,0)*10,[1]Hugst!$R$4:$W$4,0))))</f>
        <v>70.522430295208849</v>
      </c>
      <c r="AJ63">
        <f ca="1">IF($C63-AJ$1&lt;År1,0,AI62*(1-VLOOKUP($A63,[1]Hugst!$R$5:$W$9,MATCH(ROUNDUP((AJ$1)/10,0)*10,[1]Hugst!$R$4:$W$4,0))))</f>
        <v>70.448513209516364</v>
      </c>
      <c r="AL63">
        <f ca="1">SUM(F63:AJ63)</f>
        <v>2564.5117507552504</v>
      </c>
    </row>
    <row r="64" spans="1:38" x14ac:dyDescent="0.25">
      <c r="A64" t="s">
        <v>177</v>
      </c>
      <c r="B64" t="s">
        <v>23</v>
      </c>
      <c r="C64">
        <v>2020</v>
      </c>
      <c r="D64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978.89517365189681</v>
      </c>
      <c r="E64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3280.8031422265312</v>
      </c>
      <c r="G64">
        <f>IF($C64-G$1&lt;År1,0,F63*(1-VLOOKUP($A64,[1]Hugst!$R$5:$W$9,MATCH(ROUNDUP((G$1)/10,0)*10,[1]Hugst!$R$4:$W$4,0))))</f>
        <v>0</v>
      </c>
      <c r="H64">
        <f>IF($C64-H$1&lt;År1,0,G63*(1-VLOOKUP($A64,[1]Hugst!$R$5:$W$9,MATCH(ROUNDUP((H$1)/10,0)*10,[1]Hugst!$R$4:$W$4,0))))</f>
        <v>0</v>
      </c>
      <c r="I64">
        <f>IF($C64-I$1&lt;År1,0,H63*(1-VLOOKUP($A64,[1]Hugst!$R$5:$W$9,MATCH(ROUNDUP((I$1)/10,0)*10,[1]Hugst!$R$4:$W$4,0))))</f>
        <v>0</v>
      </c>
      <c r="J64">
        <f>IF($C64-J$1&lt;År1,0,I63*(1-VLOOKUP($A64,[1]Hugst!$R$5:$W$9,MATCH(ROUNDUP((J$1)/10,0)*10,[1]Hugst!$R$4:$W$4,0))))</f>
        <v>0</v>
      </c>
      <c r="K64">
        <f>IF($C64-K$1&lt;År1,0,J63*(1-VLOOKUP($A64,[1]Hugst!$R$5:$W$9,MATCH(ROUNDUP((K$1)/10,0)*10,[1]Hugst!$R$4:$W$4,0))))</f>
        <v>0</v>
      </c>
      <c r="L64">
        <f>IF($C64-L$1&lt;År1,0,K63*(1-VLOOKUP($A64,[1]Hugst!$R$5:$W$9,MATCH(ROUNDUP((L$1)/10,0)*10,[1]Hugst!$R$4:$W$4,0))))</f>
        <v>0</v>
      </c>
      <c r="M64">
        <f>IF($C64-M$1&lt;År1,0,L63*(1-VLOOKUP($A64,[1]Hugst!$R$5:$W$9,MATCH(ROUNDUP((M$1)/10,0)*10,[1]Hugst!$R$4:$W$4,0))))</f>
        <v>0</v>
      </c>
      <c r="N64">
        <f>IF($C64-N$1&lt;År1,0,M63*(1-VLOOKUP($A64,[1]Hugst!$R$5:$W$9,MATCH(ROUNDUP((N$1)/10,0)*10,[1]Hugst!$R$4:$W$4,0))))</f>
        <v>0</v>
      </c>
      <c r="O64">
        <f>IF($C64-O$1&lt;År1,0,N63*(1-VLOOKUP($A64,[1]Hugst!$R$5:$W$9,MATCH(ROUNDUP((O$1)/10,0)*10,[1]Hugst!$R$4:$W$4,0))))</f>
        <v>0</v>
      </c>
      <c r="P64">
        <f>IF($C64-P$1&lt;År1,0,O63*(1-VLOOKUP($A64,[1]Hugst!$R$5:$W$9,MATCH(ROUNDUP((P$1)/10,0)*10,[1]Hugst!$R$4:$W$4,0))))</f>
        <v>0</v>
      </c>
      <c r="Q64">
        <f>IF($C64-Q$1&lt;År1,0,P63*(1-VLOOKUP($A64,[1]Hugst!$R$5:$W$9,MATCH(ROUNDUP((Q$1)/10,0)*10,[1]Hugst!$R$4:$W$4,0))))</f>
        <v>0</v>
      </c>
      <c r="R64">
        <f>IF($C64-R$1&lt;År1,0,Q63*(1-VLOOKUP($A64,[1]Hugst!$R$5:$W$9,MATCH(ROUNDUP((R$1)/10,0)*10,[1]Hugst!$R$4:$W$4,0))))</f>
        <v>0</v>
      </c>
      <c r="S64">
        <f>IF($C64-S$1&lt;År1,0,R63*(1-VLOOKUP($A64,[1]Hugst!$R$5:$W$9,MATCH(ROUNDUP((S$1)/10,0)*10,[1]Hugst!$R$4:$W$4,0))))</f>
        <v>0</v>
      </c>
      <c r="T64">
        <f>IF($C64-T$1&lt;År1,0,S63*(1-VLOOKUP($A64,[1]Hugst!$R$5:$W$9,MATCH(ROUNDUP((T$1)/10,0)*10,[1]Hugst!$R$4:$W$4,0))))</f>
        <v>0</v>
      </c>
      <c r="U64">
        <f>IF($C64-U$1&lt;År1,0,T63*(1-VLOOKUP($A64,[1]Hugst!$R$5:$W$9,MATCH(ROUNDUP((U$1)/10,0)*10,[1]Hugst!$R$4:$W$4,0))))</f>
        <v>0</v>
      </c>
      <c r="V64">
        <f>IF($C64-V$1&lt;År1,0,U63*(1-VLOOKUP($A64,[1]Hugst!$R$5:$W$9,MATCH(ROUNDUP((V$1)/10,0)*10,[1]Hugst!$R$4:$W$4,0))))</f>
        <v>0</v>
      </c>
      <c r="W64">
        <f>IF($C64-W$1&lt;År1,0,V63*(1-VLOOKUP($A64,[1]Hugst!$R$5:$W$9,MATCH(ROUNDUP((W$1)/10,0)*10,[1]Hugst!$R$4:$W$4,0))))</f>
        <v>0</v>
      </c>
      <c r="X64">
        <f>IF($C64-X$1&lt;År1,0,W63*(1-VLOOKUP($A64,[1]Hugst!$R$5:$W$9,MATCH(ROUNDUP((X$1)/10,0)*10,[1]Hugst!$R$4:$W$4,0))))</f>
        <v>0</v>
      </c>
      <c r="Y64">
        <f>IF($C64-Y$1&lt;År1,0,X63*(1-VLOOKUP($A64,[1]Hugst!$R$5:$W$9,MATCH(ROUNDUP((Y$1)/10,0)*10,[1]Hugst!$R$4:$W$4,0))))</f>
        <v>0</v>
      </c>
      <c r="Z64">
        <f>IF($C64-Z$1&lt;År1,0,Y63*(1-VLOOKUP($A64,[1]Hugst!$R$5:$W$9,MATCH(ROUNDUP((Z$1)/10,0)*10,[1]Hugst!$R$4:$W$4,0))))</f>
        <v>0</v>
      </c>
      <c r="AA64">
        <f>IF($C64-AA$1&lt;År1,0,Z63*(1-VLOOKUP($A64,[1]Hugst!$R$5:$W$9,MATCH(ROUNDUP((AA$1)/10,0)*10,[1]Hugst!$R$4:$W$4,0))))</f>
        <v>0</v>
      </c>
      <c r="AB64">
        <f>IF($C64-AB$1&lt;År1,0,AA63*(1-VLOOKUP($A64,[1]Hugst!$R$5:$W$9,MATCH(ROUNDUP((AB$1)/10,0)*10,[1]Hugst!$R$4:$W$4,0))))</f>
        <v>0</v>
      </c>
      <c r="AC64">
        <f>IF($C64-AC$1&lt;År1,0,AB63*(1-VLOOKUP($A64,[1]Hugst!$R$5:$W$9,MATCH(ROUNDUP((AC$1)/10,0)*10,[1]Hugst!$R$4:$W$4,0))))</f>
        <v>0</v>
      </c>
      <c r="AD64">
        <f>IF($C64-AD$1&lt;År1,0,AC63*(1-VLOOKUP($A64,[1]Hugst!$R$5:$W$9,MATCH(ROUNDUP((AD$1)/10,0)*10,[1]Hugst!$R$4:$W$4,0))))</f>
        <v>0</v>
      </c>
      <c r="AE64">
        <f>IF($C64-AE$1&lt;År1,0,AD63*(1-VLOOKUP($A64,[1]Hugst!$R$5:$W$9,MATCH(ROUNDUP((AE$1)/10,0)*10,[1]Hugst!$R$4:$W$4,0))))</f>
        <v>0</v>
      </c>
      <c r="AF64">
        <f>IF($C64-AF$1&lt;År1,0,AE63*(1-VLOOKUP($A64,[1]Hugst!$R$5:$W$9,MATCH(ROUNDUP((AF$1)/10,0)*10,[1]Hugst!$R$4:$W$4,0))))</f>
        <v>0</v>
      </c>
      <c r="AG64">
        <f>IF($C64-AG$1&lt;År1,0,AF63*(1-VLOOKUP($A64,[1]Hugst!$R$5:$W$9,MATCH(ROUNDUP((AG$1)/10,0)*10,[1]Hugst!$R$4:$W$4,0))))</f>
        <v>0</v>
      </c>
      <c r="AH64">
        <f>IF($C64-AH$1&lt;År1,0,AG63*(1-VLOOKUP($A64,[1]Hugst!$R$5:$W$9,MATCH(ROUNDUP((AH$1)/10,0)*10,[1]Hugst!$R$4:$W$4,0))))</f>
        <v>0</v>
      </c>
      <c r="AI64">
        <f>IF($C64-AI$1&lt;År1,0,AH63*(1-VLOOKUP($A64,[1]Hugst!$R$5:$W$9,MATCH(ROUNDUP((AI$1)/10,0)*10,[1]Hugst!$R$4:$W$4,0))))</f>
        <v>0</v>
      </c>
      <c r="AJ64">
        <f>IF($C64-AJ$1&lt;År1,0,AI63*(1-VLOOKUP($A64,[1]Hugst!$R$5:$W$9,MATCH(ROUNDUP((AJ$1)/10,0)*10,[1]Hugst!$R$4:$W$4,0))))</f>
        <v>0</v>
      </c>
    </row>
    <row r="65" spans="1:36" x14ac:dyDescent="0.25">
      <c r="A65" t="s">
        <v>177</v>
      </c>
      <c r="B65" t="s">
        <v>23</v>
      </c>
      <c r="C65">
        <v>2021</v>
      </c>
      <c r="D65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974.00069778361353</v>
      </c>
      <c r="E65">
        <f t="shared" ref="E65:E94" ca="1" si="1">IF(C65=2020,SUM(G65:AJ65),SUM(F64:AJ64)-SUM(G65:AJ65))</f>
        <v>0</v>
      </c>
      <c r="F65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3275.9086663582484</v>
      </c>
      <c r="G65">
        <f ca="1">IF($C65-G$1&lt;År1,0,F64*(1-VLOOKUP($A65,[1]Hugst!$R$5:$W$9,MATCH(ROUNDUP((G$1)/10,0)*10,[1]Hugst!$R$4:$W$4,0))))</f>
        <v>3280.8031422265312</v>
      </c>
      <c r="H65">
        <f>IF($C65-H$1&lt;År1,0,G64*(1-VLOOKUP($A65,[1]Hugst!$R$5:$W$9,MATCH(ROUNDUP((H$1)/10,0)*10,[1]Hugst!$R$4:$W$4,0))))</f>
        <v>0</v>
      </c>
      <c r="I65">
        <f>IF($C65-I$1&lt;År1,0,H64*(1-VLOOKUP($A65,[1]Hugst!$R$5:$W$9,MATCH(ROUNDUP((I$1)/10,0)*10,[1]Hugst!$R$4:$W$4,0))))</f>
        <v>0</v>
      </c>
      <c r="J65">
        <f>IF($C65-J$1&lt;År1,0,I64*(1-VLOOKUP($A65,[1]Hugst!$R$5:$W$9,MATCH(ROUNDUP((J$1)/10,0)*10,[1]Hugst!$R$4:$W$4,0))))</f>
        <v>0</v>
      </c>
      <c r="K65">
        <f>IF($C65-K$1&lt;År1,0,J64*(1-VLOOKUP($A65,[1]Hugst!$R$5:$W$9,MATCH(ROUNDUP((K$1)/10,0)*10,[1]Hugst!$R$4:$W$4,0))))</f>
        <v>0</v>
      </c>
      <c r="L65">
        <f>IF($C65-L$1&lt;År1,0,K64*(1-VLOOKUP($A65,[1]Hugst!$R$5:$W$9,MATCH(ROUNDUP((L$1)/10,0)*10,[1]Hugst!$R$4:$W$4,0))))</f>
        <v>0</v>
      </c>
      <c r="M65">
        <f>IF($C65-M$1&lt;År1,0,L64*(1-VLOOKUP($A65,[1]Hugst!$R$5:$W$9,MATCH(ROUNDUP((M$1)/10,0)*10,[1]Hugst!$R$4:$W$4,0))))</f>
        <v>0</v>
      </c>
      <c r="N65">
        <f>IF($C65-N$1&lt;År1,0,M64*(1-VLOOKUP($A65,[1]Hugst!$R$5:$W$9,MATCH(ROUNDUP((N$1)/10,0)*10,[1]Hugst!$R$4:$W$4,0))))</f>
        <v>0</v>
      </c>
      <c r="O65">
        <f>IF($C65-O$1&lt;År1,0,N64*(1-VLOOKUP($A65,[1]Hugst!$R$5:$W$9,MATCH(ROUNDUP((O$1)/10,0)*10,[1]Hugst!$R$4:$W$4,0))))</f>
        <v>0</v>
      </c>
      <c r="P65">
        <f>IF($C65-P$1&lt;År1,0,O64*(1-VLOOKUP($A65,[1]Hugst!$R$5:$W$9,MATCH(ROUNDUP((P$1)/10,0)*10,[1]Hugst!$R$4:$W$4,0))))</f>
        <v>0</v>
      </c>
      <c r="Q65">
        <f>IF($C65-Q$1&lt;År1,0,P64*(1-VLOOKUP($A65,[1]Hugst!$R$5:$W$9,MATCH(ROUNDUP((Q$1)/10,0)*10,[1]Hugst!$R$4:$W$4,0))))</f>
        <v>0</v>
      </c>
      <c r="R65">
        <f>IF($C65-R$1&lt;År1,0,Q64*(1-VLOOKUP($A65,[1]Hugst!$R$5:$W$9,MATCH(ROUNDUP((R$1)/10,0)*10,[1]Hugst!$R$4:$W$4,0))))</f>
        <v>0</v>
      </c>
      <c r="S65">
        <f>IF($C65-S$1&lt;År1,0,R64*(1-VLOOKUP($A65,[1]Hugst!$R$5:$W$9,MATCH(ROUNDUP((S$1)/10,0)*10,[1]Hugst!$R$4:$W$4,0))))</f>
        <v>0</v>
      </c>
      <c r="T65">
        <f>IF($C65-T$1&lt;År1,0,S64*(1-VLOOKUP($A65,[1]Hugst!$R$5:$W$9,MATCH(ROUNDUP((T$1)/10,0)*10,[1]Hugst!$R$4:$W$4,0))))</f>
        <v>0</v>
      </c>
      <c r="U65">
        <f>IF($C65-U$1&lt;År1,0,T64*(1-VLOOKUP($A65,[1]Hugst!$R$5:$W$9,MATCH(ROUNDUP((U$1)/10,0)*10,[1]Hugst!$R$4:$W$4,0))))</f>
        <v>0</v>
      </c>
      <c r="V65">
        <f>IF($C65-V$1&lt;År1,0,U64*(1-VLOOKUP($A65,[1]Hugst!$R$5:$W$9,MATCH(ROUNDUP((V$1)/10,0)*10,[1]Hugst!$R$4:$W$4,0))))</f>
        <v>0</v>
      </c>
      <c r="W65">
        <f>IF($C65-W$1&lt;År1,0,V64*(1-VLOOKUP($A65,[1]Hugst!$R$5:$W$9,MATCH(ROUNDUP((W$1)/10,0)*10,[1]Hugst!$R$4:$W$4,0))))</f>
        <v>0</v>
      </c>
      <c r="X65">
        <f>IF($C65-X$1&lt;År1,0,W64*(1-VLOOKUP($A65,[1]Hugst!$R$5:$W$9,MATCH(ROUNDUP((X$1)/10,0)*10,[1]Hugst!$R$4:$W$4,0))))</f>
        <v>0</v>
      </c>
      <c r="Y65">
        <f>IF($C65-Y$1&lt;År1,0,X64*(1-VLOOKUP($A65,[1]Hugst!$R$5:$W$9,MATCH(ROUNDUP((Y$1)/10,0)*10,[1]Hugst!$R$4:$W$4,0))))</f>
        <v>0</v>
      </c>
      <c r="Z65">
        <f>IF($C65-Z$1&lt;År1,0,Y64*(1-VLOOKUP($A65,[1]Hugst!$R$5:$W$9,MATCH(ROUNDUP((Z$1)/10,0)*10,[1]Hugst!$R$4:$W$4,0))))</f>
        <v>0</v>
      </c>
      <c r="AA65">
        <f>IF($C65-AA$1&lt;År1,0,Z64*(1-VLOOKUP($A65,[1]Hugst!$R$5:$W$9,MATCH(ROUNDUP((AA$1)/10,0)*10,[1]Hugst!$R$4:$W$4,0))))</f>
        <v>0</v>
      </c>
      <c r="AB65">
        <f>IF($C65-AB$1&lt;År1,0,AA64*(1-VLOOKUP($A65,[1]Hugst!$R$5:$W$9,MATCH(ROUNDUP((AB$1)/10,0)*10,[1]Hugst!$R$4:$W$4,0))))</f>
        <v>0</v>
      </c>
      <c r="AC65">
        <f>IF($C65-AC$1&lt;År1,0,AB64*(1-VLOOKUP($A65,[1]Hugst!$R$5:$W$9,MATCH(ROUNDUP((AC$1)/10,0)*10,[1]Hugst!$R$4:$W$4,0))))</f>
        <v>0</v>
      </c>
      <c r="AD65">
        <f>IF($C65-AD$1&lt;År1,0,AC64*(1-VLOOKUP($A65,[1]Hugst!$R$5:$W$9,MATCH(ROUNDUP((AD$1)/10,0)*10,[1]Hugst!$R$4:$W$4,0))))</f>
        <v>0</v>
      </c>
      <c r="AE65">
        <f>IF($C65-AE$1&lt;År1,0,AD64*(1-VLOOKUP($A65,[1]Hugst!$R$5:$W$9,MATCH(ROUNDUP((AE$1)/10,0)*10,[1]Hugst!$R$4:$W$4,0))))</f>
        <v>0</v>
      </c>
      <c r="AF65">
        <f>IF($C65-AF$1&lt;År1,0,AE64*(1-VLOOKUP($A65,[1]Hugst!$R$5:$W$9,MATCH(ROUNDUP((AF$1)/10,0)*10,[1]Hugst!$R$4:$W$4,0))))</f>
        <v>0</v>
      </c>
      <c r="AG65">
        <f>IF($C65-AG$1&lt;År1,0,AF64*(1-VLOOKUP($A65,[1]Hugst!$R$5:$W$9,MATCH(ROUNDUP((AG$1)/10,0)*10,[1]Hugst!$R$4:$W$4,0))))</f>
        <v>0</v>
      </c>
      <c r="AH65">
        <f>IF($C65-AH$1&lt;År1,0,AG64*(1-VLOOKUP($A65,[1]Hugst!$R$5:$W$9,MATCH(ROUNDUP((AH$1)/10,0)*10,[1]Hugst!$R$4:$W$4,0))))</f>
        <v>0</v>
      </c>
      <c r="AI65">
        <f>IF($C65-AI$1&lt;År1,0,AH64*(1-VLOOKUP($A65,[1]Hugst!$R$5:$W$9,MATCH(ROUNDUP((AI$1)/10,0)*10,[1]Hugst!$R$4:$W$4,0))))</f>
        <v>0</v>
      </c>
      <c r="AJ65">
        <f>IF($C65-AJ$1&lt;År1,0,AI64*(1-VLOOKUP($A65,[1]Hugst!$R$5:$W$9,MATCH(ROUNDUP((AJ$1)/10,0)*10,[1]Hugst!$R$4:$W$4,0))))</f>
        <v>0</v>
      </c>
    </row>
    <row r="66" spans="1:36" x14ac:dyDescent="0.25">
      <c r="A66" t="s">
        <v>177</v>
      </c>
      <c r="B66" t="s">
        <v>23</v>
      </c>
      <c r="C66">
        <v>2022</v>
      </c>
      <c r="D66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969.13069429472398</v>
      </c>
      <c r="E66">
        <f t="shared" ca="1" si="1"/>
        <v>0</v>
      </c>
      <c r="F66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3271.0386628693586</v>
      </c>
      <c r="G66">
        <f ca="1">IF($C66-G$1&lt;År1,0,F65*(1-VLOOKUP($A66,[1]Hugst!$R$5:$W$9,MATCH(ROUNDUP((G$1)/10,0)*10,[1]Hugst!$R$4:$W$4,0))))</f>
        <v>3275.9086663582484</v>
      </c>
      <c r="H66">
        <f ca="1">IF($C66-H$1&lt;År1,0,G65*(1-VLOOKUP($A66,[1]Hugst!$R$5:$W$9,MATCH(ROUNDUP((H$1)/10,0)*10,[1]Hugst!$R$4:$W$4,0))))</f>
        <v>3280.8031422265312</v>
      </c>
      <c r="I66">
        <f>IF($C66-I$1&lt;År1,0,H65*(1-VLOOKUP($A66,[1]Hugst!$R$5:$W$9,MATCH(ROUNDUP((I$1)/10,0)*10,[1]Hugst!$R$4:$W$4,0))))</f>
        <v>0</v>
      </c>
      <c r="J66">
        <f>IF($C66-J$1&lt;År1,0,I65*(1-VLOOKUP($A66,[1]Hugst!$R$5:$W$9,MATCH(ROUNDUP((J$1)/10,0)*10,[1]Hugst!$R$4:$W$4,0))))</f>
        <v>0</v>
      </c>
      <c r="K66">
        <f>IF($C66-K$1&lt;År1,0,J65*(1-VLOOKUP($A66,[1]Hugst!$R$5:$W$9,MATCH(ROUNDUP((K$1)/10,0)*10,[1]Hugst!$R$4:$W$4,0))))</f>
        <v>0</v>
      </c>
      <c r="L66">
        <f>IF($C66-L$1&lt;År1,0,K65*(1-VLOOKUP($A66,[1]Hugst!$R$5:$W$9,MATCH(ROUNDUP((L$1)/10,0)*10,[1]Hugst!$R$4:$W$4,0))))</f>
        <v>0</v>
      </c>
      <c r="M66">
        <f>IF($C66-M$1&lt;År1,0,L65*(1-VLOOKUP($A66,[1]Hugst!$R$5:$W$9,MATCH(ROUNDUP((M$1)/10,0)*10,[1]Hugst!$R$4:$W$4,0))))</f>
        <v>0</v>
      </c>
      <c r="N66">
        <f>IF($C66-N$1&lt;År1,0,M65*(1-VLOOKUP($A66,[1]Hugst!$R$5:$W$9,MATCH(ROUNDUP((N$1)/10,0)*10,[1]Hugst!$R$4:$W$4,0))))</f>
        <v>0</v>
      </c>
      <c r="O66">
        <f>IF($C66-O$1&lt;År1,0,N65*(1-VLOOKUP($A66,[1]Hugst!$R$5:$W$9,MATCH(ROUNDUP((O$1)/10,0)*10,[1]Hugst!$R$4:$W$4,0))))</f>
        <v>0</v>
      </c>
      <c r="P66">
        <f>IF($C66-P$1&lt;År1,0,O65*(1-VLOOKUP($A66,[1]Hugst!$R$5:$W$9,MATCH(ROUNDUP((P$1)/10,0)*10,[1]Hugst!$R$4:$W$4,0))))</f>
        <v>0</v>
      </c>
      <c r="Q66">
        <f>IF($C66-Q$1&lt;År1,0,P65*(1-VLOOKUP($A66,[1]Hugst!$R$5:$W$9,MATCH(ROUNDUP((Q$1)/10,0)*10,[1]Hugst!$R$4:$W$4,0))))</f>
        <v>0</v>
      </c>
      <c r="R66">
        <f>IF($C66-R$1&lt;År1,0,Q65*(1-VLOOKUP($A66,[1]Hugst!$R$5:$W$9,MATCH(ROUNDUP((R$1)/10,0)*10,[1]Hugst!$R$4:$W$4,0))))</f>
        <v>0</v>
      </c>
      <c r="S66">
        <f>IF($C66-S$1&lt;År1,0,R65*(1-VLOOKUP($A66,[1]Hugst!$R$5:$W$9,MATCH(ROUNDUP((S$1)/10,0)*10,[1]Hugst!$R$4:$W$4,0))))</f>
        <v>0</v>
      </c>
      <c r="T66">
        <f>IF($C66-T$1&lt;År1,0,S65*(1-VLOOKUP($A66,[1]Hugst!$R$5:$W$9,MATCH(ROUNDUP((T$1)/10,0)*10,[1]Hugst!$R$4:$W$4,0))))</f>
        <v>0</v>
      </c>
      <c r="U66">
        <f>IF($C66-U$1&lt;År1,0,T65*(1-VLOOKUP($A66,[1]Hugst!$R$5:$W$9,MATCH(ROUNDUP((U$1)/10,0)*10,[1]Hugst!$R$4:$W$4,0))))</f>
        <v>0</v>
      </c>
      <c r="V66">
        <f>IF($C66-V$1&lt;År1,0,U65*(1-VLOOKUP($A66,[1]Hugst!$R$5:$W$9,MATCH(ROUNDUP((V$1)/10,0)*10,[1]Hugst!$R$4:$W$4,0))))</f>
        <v>0</v>
      </c>
      <c r="W66">
        <f>IF($C66-W$1&lt;År1,0,V65*(1-VLOOKUP($A66,[1]Hugst!$R$5:$W$9,MATCH(ROUNDUP((W$1)/10,0)*10,[1]Hugst!$R$4:$W$4,0))))</f>
        <v>0</v>
      </c>
      <c r="X66">
        <f>IF($C66-X$1&lt;År1,0,W65*(1-VLOOKUP($A66,[1]Hugst!$R$5:$W$9,MATCH(ROUNDUP((X$1)/10,0)*10,[1]Hugst!$R$4:$W$4,0))))</f>
        <v>0</v>
      </c>
      <c r="Y66">
        <f>IF($C66-Y$1&lt;År1,0,X65*(1-VLOOKUP($A66,[1]Hugst!$R$5:$W$9,MATCH(ROUNDUP((Y$1)/10,0)*10,[1]Hugst!$R$4:$W$4,0))))</f>
        <v>0</v>
      </c>
      <c r="Z66">
        <f>IF($C66-Z$1&lt;År1,0,Y65*(1-VLOOKUP($A66,[1]Hugst!$R$5:$W$9,MATCH(ROUNDUP((Z$1)/10,0)*10,[1]Hugst!$R$4:$W$4,0))))</f>
        <v>0</v>
      </c>
      <c r="AA66">
        <f>IF($C66-AA$1&lt;År1,0,Z65*(1-VLOOKUP($A66,[1]Hugst!$R$5:$W$9,MATCH(ROUNDUP((AA$1)/10,0)*10,[1]Hugst!$R$4:$W$4,0))))</f>
        <v>0</v>
      </c>
      <c r="AB66">
        <f>IF($C66-AB$1&lt;År1,0,AA65*(1-VLOOKUP($A66,[1]Hugst!$R$5:$W$9,MATCH(ROUNDUP((AB$1)/10,0)*10,[1]Hugst!$R$4:$W$4,0))))</f>
        <v>0</v>
      </c>
      <c r="AC66">
        <f>IF($C66-AC$1&lt;År1,0,AB65*(1-VLOOKUP($A66,[1]Hugst!$R$5:$W$9,MATCH(ROUNDUP((AC$1)/10,0)*10,[1]Hugst!$R$4:$W$4,0))))</f>
        <v>0</v>
      </c>
      <c r="AD66">
        <f>IF($C66-AD$1&lt;År1,0,AC65*(1-VLOOKUP($A66,[1]Hugst!$R$5:$W$9,MATCH(ROUNDUP((AD$1)/10,0)*10,[1]Hugst!$R$4:$W$4,0))))</f>
        <v>0</v>
      </c>
      <c r="AE66">
        <f>IF($C66-AE$1&lt;År1,0,AD65*(1-VLOOKUP($A66,[1]Hugst!$R$5:$W$9,MATCH(ROUNDUP((AE$1)/10,0)*10,[1]Hugst!$R$4:$W$4,0))))</f>
        <v>0</v>
      </c>
      <c r="AF66">
        <f>IF($C66-AF$1&lt;År1,0,AE65*(1-VLOOKUP($A66,[1]Hugst!$R$5:$W$9,MATCH(ROUNDUP((AF$1)/10,0)*10,[1]Hugst!$R$4:$W$4,0))))</f>
        <v>0</v>
      </c>
      <c r="AG66">
        <f>IF($C66-AG$1&lt;År1,0,AF65*(1-VLOOKUP($A66,[1]Hugst!$R$5:$W$9,MATCH(ROUNDUP((AG$1)/10,0)*10,[1]Hugst!$R$4:$W$4,0))))</f>
        <v>0</v>
      </c>
      <c r="AH66">
        <f>IF($C66-AH$1&lt;År1,0,AG65*(1-VLOOKUP($A66,[1]Hugst!$R$5:$W$9,MATCH(ROUNDUP((AH$1)/10,0)*10,[1]Hugst!$R$4:$W$4,0))))</f>
        <v>0</v>
      </c>
      <c r="AI66">
        <f>IF($C66-AI$1&lt;År1,0,AH65*(1-VLOOKUP($A66,[1]Hugst!$R$5:$W$9,MATCH(ROUNDUP((AI$1)/10,0)*10,[1]Hugst!$R$4:$W$4,0))))</f>
        <v>0</v>
      </c>
      <c r="AJ66">
        <f>IF($C66-AJ$1&lt;År1,0,AI65*(1-VLOOKUP($A66,[1]Hugst!$R$5:$W$9,MATCH(ROUNDUP((AJ$1)/10,0)*10,[1]Hugst!$R$4:$W$4,0))))</f>
        <v>0</v>
      </c>
    </row>
    <row r="67" spans="1:36" x14ac:dyDescent="0.25">
      <c r="A67" t="s">
        <v>177</v>
      </c>
      <c r="B67" t="s">
        <v>23</v>
      </c>
      <c r="C67">
        <v>2023</v>
      </c>
      <c r="D67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964.2850408232448</v>
      </c>
      <c r="E67">
        <f t="shared" ca="1" si="1"/>
        <v>0</v>
      </c>
      <c r="F67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3266.1930093978795</v>
      </c>
      <c r="G67">
        <f ca="1">IF($C67-G$1&lt;År1,0,F66*(1-VLOOKUP($A67,[1]Hugst!$R$5:$W$9,MATCH(ROUNDUP((G$1)/10,0)*10,[1]Hugst!$R$4:$W$4,0))))</f>
        <v>3271.0386628693586</v>
      </c>
      <c r="H67">
        <f ca="1">IF($C67-H$1&lt;År1,0,G66*(1-VLOOKUP($A67,[1]Hugst!$R$5:$W$9,MATCH(ROUNDUP((H$1)/10,0)*10,[1]Hugst!$R$4:$W$4,0))))</f>
        <v>3275.9086663582484</v>
      </c>
      <c r="I67">
        <f ca="1">IF($C67-I$1&lt;År1,0,H66*(1-VLOOKUP($A67,[1]Hugst!$R$5:$W$9,MATCH(ROUNDUP((I$1)/10,0)*10,[1]Hugst!$R$4:$W$4,0))))</f>
        <v>3280.8031422265312</v>
      </c>
      <c r="J67">
        <f>IF($C67-J$1&lt;År1,0,I66*(1-VLOOKUP($A67,[1]Hugst!$R$5:$W$9,MATCH(ROUNDUP((J$1)/10,0)*10,[1]Hugst!$R$4:$W$4,0))))</f>
        <v>0</v>
      </c>
      <c r="K67">
        <f>IF($C67-K$1&lt;År1,0,J66*(1-VLOOKUP($A67,[1]Hugst!$R$5:$W$9,MATCH(ROUNDUP((K$1)/10,0)*10,[1]Hugst!$R$4:$W$4,0))))</f>
        <v>0</v>
      </c>
      <c r="L67">
        <f>IF($C67-L$1&lt;År1,0,K66*(1-VLOOKUP($A67,[1]Hugst!$R$5:$W$9,MATCH(ROUNDUP((L$1)/10,0)*10,[1]Hugst!$R$4:$W$4,0))))</f>
        <v>0</v>
      </c>
      <c r="M67">
        <f>IF($C67-M$1&lt;År1,0,L66*(1-VLOOKUP($A67,[1]Hugst!$R$5:$W$9,MATCH(ROUNDUP((M$1)/10,0)*10,[1]Hugst!$R$4:$W$4,0))))</f>
        <v>0</v>
      </c>
      <c r="N67">
        <f>IF($C67-N$1&lt;År1,0,M66*(1-VLOOKUP($A67,[1]Hugst!$R$5:$W$9,MATCH(ROUNDUP((N$1)/10,0)*10,[1]Hugst!$R$4:$W$4,0))))</f>
        <v>0</v>
      </c>
      <c r="O67">
        <f>IF($C67-O$1&lt;År1,0,N66*(1-VLOOKUP($A67,[1]Hugst!$R$5:$W$9,MATCH(ROUNDUP((O$1)/10,0)*10,[1]Hugst!$R$4:$W$4,0))))</f>
        <v>0</v>
      </c>
      <c r="P67">
        <f>IF($C67-P$1&lt;År1,0,O66*(1-VLOOKUP($A67,[1]Hugst!$R$5:$W$9,MATCH(ROUNDUP((P$1)/10,0)*10,[1]Hugst!$R$4:$W$4,0))))</f>
        <v>0</v>
      </c>
      <c r="Q67">
        <f>IF($C67-Q$1&lt;År1,0,P66*(1-VLOOKUP($A67,[1]Hugst!$R$5:$W$9,MATCH(ROUNDUP((Q$1)/10,0)*10,[1]Hugst!$R$4:$W$4,0))))</f>
        <v>0</v>
      </c>
      <c r="R67">
        <f>IF($C67-R$1&lt;År1,0,Q66*(1-VLOOKUP($A67,[1]Hugst!$R$5:$W$9,MATCH(ROUNDUP((R$1)/10,0)*10,[1]Hugst!$R$4:$W$4,0))))</f>
        <v>0</v>
      </c>
      <c r="S67">
        <f>IF($C67-S$1&lt;År1,0,R66*(1-VLOOKUP($A67,[1]Hugst!$R$5:$W$9,MATCH(ROUNDUP((S$1)/10,0)*10,[1]Hugst!$R$4:$W$4,0))))</f>
        <v>0</v>
      </c>
      <c r="T67">
        <f>IF($C67-T$1&lt;År1,0,S66*(1-VLOOKUP($A67,[1]Hugst!$R$5:$W$9,MATCH(ROUNDUP((T$1)/10,0)*10,[1]Hugst!$R$4:$W$4,0))))</f>
        <v>0</v>
      </c>
      <c r="U67">
        <f>IF($C67-U$1&lt;År1,0,T66*(1-VLOOKUP($A67,[1]Hugst!$R$5:$W$9,MATCH(ROUNDUP((U$1)/10,0)*10,[1]Hugst!$R$4:$W$4,0))))</f>
        <v>0</v>
      </c>
      <c r="V67">
        <f>IF($C67-V$1&lt;År1,0,U66*(1-VLOOKUP($A67,[1]Hugst!$R$5:$W$9,MATCH(ROUNDUP((V$1)/10,0)*10,[1]Hugst!$R$4:$W$4,0))))</f>
        <v>0</v>
      </c>
      <c r="W67">
        <f>IF($C67-W$1&lt;År1,0,V66*(1-VLOOKUP($A67,[1]Hugst!$R$5:$W$9,MATCH(ROUNDUP((W$1)/10,0)*10,[1]Hugst!$R$4:$W$4,0))))</f>
        <v>0</v>
      </c>
      <c r="X67">
        <f>IF($C67-X$1&lt;År1,0,W66*(1-VLOOKUP($A67,[1]Hugst!$R$5:$W$9,MATCH(ROUNDUP((X$1)/10,0)*10,[1]Hugst!$R$4:$W$4,0))))</f>
        <v>0</v>
      </c>
      <c r="Y67">
        <f>IF($C67-Y$1&lt;År1,0,X66*(1-VLOOKUP($A67,[1]Hugst!$R$5:$W$9,MATCH(ROUNDUP((Y$1)/10,0)*10,[1]Hugst!$R$4:$W$4,0))))</f>
        <v>0</v>
      </c>
      <c r="Z67">
        <f>IF($C67-Z$1&lt;År1,0,Y66*(1-VLOOKUP($A67,[1]Hugst!$R$5:$W$9,MATCH(ROUNDUP((Z$1)/10,0)*10,[1]Hugst!$R$4:$W$4,0))))</f>
        <v>0</v>
      </c>
      <c r="AA67">
        <f>IF($C67-AA$1&lt;År1,0,Z66*(1-VLOOKUP($A67,[1]Hugst!$R$5:$W$9,MATCH(ROUNDUP((AA$1)/10,0)*10,[1]Hugst!$R$4:$W$4,0))))</f>
        <v>0</v>
      </c>
      <c r="AB67">
        <f>IF($C67-AB$1&lt;År1,0,AA66*(1-VLOOKUP($A67,[1]Hugst!$R$5:$W$9,MATCH(ROUNDUP((AB$1)/10,0)*10,[1]Hugst!$R$4:$W$4,0))))</f>
        <v>0</v>
      </c>
      <c r="AC67">
        <f>IF($C67-AC$1&lt;År1,0,AB66*(1-VLOOKUP($A67,[1]Hugst!$R$5:$W$9,MATCH(ROUNDUP((AC$1)/10,0)*10,[1]Hugst!$R$4:$W$4,0))))</f>
        <v>0</v>
      </c>
      <c r="AD67">
        <f>IF($C67-AD$1&lt;År1,0,AC66*(1-VLOOKUP($A67,[1]Hugst!$R$5:$W$9,MATCH(ROUNDUP((AD$1)/10,0)*10,[1]Hugst!$R$4:$W$4,0))))</f>
        <v>0</v>
      </c>
      <c r="AE67">
        <f>IF($C67-AE$1&lt;År1,0,AD66*(1-VLOOKUP($A67,[1]Hugst!$R$5:$W$9,MATCH(ROUNDUP((AE$1)/10,0)*10,[1]Hugst!$R$4:$W$4,0))))</f>
        <v>0</v>
      </c>
      <c r="AF67">
        <f>IF($C67-AF$1&lt;År1,0,AE66*(1-VLOOKUP($A67,[1]Hugst!$R$5:$W$9,MATCH(ROUNDUP((AF$1)/10,0)*10,[1]Hugst!$R$4:$W$4,0))))</f>
        <v>0</v>
      </c>
      <c r="AG67">
        <f>IF($C67-AG$1&lt;År1,0,AF66*(1-VLOOKUP($A67,[1]Hugst!$R$5:$W$9,MATCH(ROUNDUP((AG$1)/10,0)*10,[1]Hugst!$R$4:$W$4,0))))</f>
        <v>0</v>
      </c>
      <c r="AH67">
        <f>IF($C67-AH$1&lt;År1,0,AG66*(1-VLOOKUP($A67,[1]Hugst!$R$5:$W$9,MATCH(ROUNDUP((AH$1)/10,0)*10,[1]Hugst!$R$4:$W$4,0))))</f>
        <v>0</v>
      </c>
      <c r="AI67">
        <f>IF($C67-AI$1&lt;År1,0,AH66*(1-VLOOKUP($A67,[1]Hugst!$R$5:$W$9,MATCH(ROUNDUP((AI$1)/10,0)*10,[1]Hugst!$R$4:$W$4,0))))</f>
        <v>0</v>
      </c>
      <c r="AJ67">
        <f>IF($C67-AJ$1&lt;År1,0,AI66*(1-VLOOKUP($A67,[1]Hugst!$R$5:$W$9,MATCH(ROUNDUP((AJ$1)/10,0)*10,[1]Hugst!$R$4:$W$4,0))))</f>
        <v>0</v>
      </c>
    </row>
    <row r="68" spans="1:36" x14ac:dyDescent="0.25">
      <c r="A68" t="s">
        <v>177</v>
      </c>
      <c r="B68" t="s">
        <v>23</v>
      </c>
      <c r="C68">
        <v>2024</v>
      </c>
      <c r="D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959.46361561912681</v>
      </c>
      <c r="E68">
        <f t="shared" ca="1" si="1"/>
        <v>0</v>
      </c>
      <c r="F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3261.3715841937615</v>
      </c>
      <c r="G68">
        <f ca="1">IF($C68-G$1&lt;År1,0,F67*(1-VLOOKUP($A68,[1]Hugst!$R$5:$W$9,MATCH(ROUNDUP((G$1)/10,0)*10,[1]Hugst!$R$4:$W$4,0))))</f>
        <v>3266.1930093978795</v>
      </c>
      <c r="H68">
        <f ca="1">IF($C68-H$1&lt;År1,0,G67*(1-VLOOKUP($A68,[1]Hugst!$R$5:$W$9,MATCH(ROUNDUP((H$1)/10,0)*10,[1]Hugst!$R$4:$W$4,0))))</f>
        <v>3271.0386628693586</v>
      </c>
      <c r="I68">
        <f ca="1">IF($C68-I$1&lt;År1,0,H67*(1-VLOOKUP($A68,[1]Hugst!$R$5:$W$9,MATCH(ROUNDUP((I$1)/10,0)*10,[1]Hugst!$R$4:$W$4,0))))</f>
        <v>3275.9086663582484</v>
      </c>
      <c r="J68">
        <f ca="1">IF($C68-J$1&lt;År1,0,I67*(1-VLOOKUP($A68,[1]Hugst!$R$5:$W$9,MATCH(ROUNDUP((J$1)/10,0)*10,[1]Hugst!$R$4:$W$4,0))))</f>
        <v>3280.8031422265312</v>
      </c>
      <c r="K68">
        <f>IF($C68-K$1&lt;År1,0,J67*(1-VLOOKUP($A68,[1]Hugst!$R$5:$W$9,MATCH(ROUNDUP((K$1)/10,0)*10,[1]Hugst!$R$4:$W$4,0))))</f>
        <v>0</v>
      </c>
      <c r="L68">
        <f>IF($C68-L$1&lt;År1,0,K67*(1-VLOOKUP($A68,[1]Hugst!$R$5:$W$9,MATCH(ROUNDUP((L$1)/10,0)*10,[1]Hugst!$R$4:$W$4,0))))</f>
        <v>0</v>
      </c>
      <c r="M68">
        <f>IF($C68-M$1&lt;År1,0,L67*(1-VLOOKUP($A68,[1]Hugst!$R$5:$W$9,MATCH(ROUNDUP((M$1)/10,0)*10,[1]Hugst!$R$4:$W$4,0))))</f>
        <v>0</v>
      </c>
      <c r="N68">
        <f>IF($C68-N$1&lt;År1,0,M67*(1-VLOOKUP($A68,[1]Hugst!$R$5:$W$9,MATCH(ROUNDUP((N$1)/10,0)*10,[1]Hugst!$R$4:$W$4,0))))</f>
        <v>0</v>
      </c>
      <c r="O68">
        <f>IF($C68-O$1&lt;År1,0,N67*(1-VLOOKUP($A68,[1]Hugst!$R$5:$W$9,MATCH(ROUNDUP((O$1)/10,0)*10,[1]Hugst!$R$4:$W$4,0))))</f>
        <v>0</v>
      </c>
      <c r="P68">
        <f>IF($C68-P$1&lt;År1,0,O67*(1-VLOOKUP($A68,[1]Hugst!$R$5:$W$9,MATCH(ROUNDUP((P$1)/10,0)*10,[1]Hugst!$R$4:$W$4,0))))</f>
        <v>0</v>
      </c>
      <c r="Q68">
        <f>IF($C68-Q$1&lt;År1,0,P67*(1-VLOOKUP($A68,[1]Hugst!$R$5:$W$9,MATCH(ROUNDUP((Q$1)/10,0)*10,[1]Hugst!$R$4:$W$4,0))))</f>
        <v>0</v>
      </c>
      <c r="R68">
        <f>IF($C68-R$1&lt;År1,0,Q67*(1-VLOOKUP($A68,[1]Hugst!$R$5:$W$9,MATCH(ROUNDUP((R$1)/10,0)*10,[1]Hugst!$R$4:$W$4,0))))</f>
        <v>0</v>
      </c>
      <c r="S68">
        <f>IF($C68-S$1&lt;År1,0,R67*(1-VLOOKUP($A68,[1]Hugst!$R$5:$W$9,MATCH(ROUNDUP((S$1)/10,0)*10,[1]Hugst!$R$4:$W$4,0))))</f>
        <v>0</v>
      </c>
      <c r="T68">
        <f>IF($C68-T$1&lt;År1,0,S67*(1-VLOOKUP($A68,[1]Hugst!$R$5:$W$9,MATCH(ROUNDUP((T$1)/10,0)*10,[1]Hugst!$R$4:$W$4,0))))</f>
        <v>0</v>
      </c>
      <c r="U68">
        <f>IF($C68-U$1&lt;År1,0,T67*(1-VLOOKUP($A68,[1]Hugst!$R$5:$W$9,MATCH(ROUNDUP((U$1)/10,0)*10,[1]Hugst!$R$4:$W$4,0))))</f>
        <v>0</v>
      </c>
      <c r="V68">
        <f>IF($C68-V$1&lt;År1,0,U67*(1-VLOOKUP($A68,[1]Hugst!$R$5:$W$9,MATCH(ROUNDUP((V$1)/10,0)*10,[1]Hugst!$R$4:$W$4,0))))</f>
        <v>0</v>
      </c>
      <c r="W68">
        <f>IF($C68-W$1&lt;År1,0,V67*(1-VLOOKUP($A68,[1]Hugst!$R$5:$W$9,MATCH(ROUNDUP((W$1)/10,0)*10,[1]Hugst!$R$4:$W$4,0))))</f>
        <v>0</v>
      </c>
      <c r="X68">
        <f>IF($C68-X$1&lt;År1,0,W67*(1-VLOOKUP($A68,[1]Hugst!$R$5:$W$9,MATCH(ROUNDUP((X$1)/10,0)*10,[1]Hugst!$R$4:$W$4,0))))</f>
        <v>0</v>
      </c>
      <c r="Y68">
        <f>IF($C68-Y$1&lt;År1,0,X67*(1-VLOOKUP($A68,[1]Hugst!$R$5:$W$9,MATCH(ROUNDUP((Y$1)/10,0)*10,[1]Hugst!$R$4:$W$4,0))))</f>
        <v>0</v>
      </c>
      <c r="Z68">
        <f>IF($C68-Z$1&lt;År1,0,Y67*(1-VLOOKUP($A68,[1]Hugst!$R$5:$W$9,MATCH(ROUNDUP((Z$1)/10,0)*10,[1]Hugst!$R$4:$W$4,0))))</f>
        <v>0</v>
      </c>
      <c r="AA68">
        <f>IF($C68-AA$1&lt;År1,0,Z67*(1-VLOOKUP($A68,[1]Hugst!$R$5:$W$9,MATCH(ROUNDUP((AA$1)/10,0)*10,[1]Hugst!$R$4:$W$4,0))))</f>
        <v>0</v>
      </c>
      <c r="AB68">
        <f>IF($C68-AB$1&lt;År1,0,AA67*(1-VLOOKUP($A68,[1]Hugst!$R$5:$W$9,MATCH(ROUNDUP((AB$1)/10,0)*10,[1]Hugst!$R$4:$W$4,0))))</f>
        <v>0</v>
      </c>
      <c r="AC68">
        <f>IF($C68-AC$1&lt;År1,0,AB67*(1-VLOOKUP($A68,[1]Hugst!$R$5:$W$9,MATCH(ROUNDUP((AC$1)/10,0)*10,[1]Hugst!$R$4:$W$4,0))))</f>
        <v>0</v>
      </c>
      <c r="AD68">
        <f>IF($C68-AD$1&lt;År1,0,AC67*(1-VLOOKUP($A68,[1]Hugst!$R$5:$W$9,MATCH(ROUNDUP((AD$1)/10,0)*10,[1]Hugst!$R$4:$W$4,0))))</f>
        <v>0</v>
      </c>
      <c r="AE68">
        <f>IF($C68-AE$1&lt;År1,0,AD67*(1-VLOOKUP($A68,[1]Hugst!$R$5:$W$9,MATCH(ROUNDUP((AE$1)/10,0)*10,[1]Hugst!$R$4:$W$4,0))))</f>
        <v>0</v>
      </c>
      <c r="AF68">
        <f>IF($C68-AF$1&lt;År1,0,AE67*(1-VLOOKUP($A68,[1]Hugst!$R$5:$W$9,MATCH(ROUNDUP((AF$1)/10,0)*10,[1]Hugst!$R$4:$W$4,0))))</f>
        <v>0</v>
      </c>
      <c r="AG68">
        <f>IF($C68-AG$1&lt;År1,0,AF67*(1-VLOOKUP($A68,[1]Hugst!$R$5:$W$9,MATCH(ROUNDUP((AG$1)/10,0)*10,[1]Hugst!$R$4:$W$4,0))))</f>
        <v>0</v>
      </c>
      <c r="AH68">
        <f>IF($C68-AH$1&lt;År1,0,AG67*(1-VLOOKUP($A68,[1]Hugst!$R$5:$W$9,MATCH(ROUNDUP((AH$1)/10,0)*10,[1]Hugst!$R$4:$W$4,0))))</f>
        <v>0</v>
      </c>
      <c r="AI68">
        <f>IF($C68-AI$1&lt;År1,0,AH67*(1-VLOOKUP($A68,[1]Hugst!$R$5:$W$9,MATCH(ROUNDUP((AI$1)/10,0)*10,[1]Hugst!$R$4:$W$4,0))))</f>
        <v>0</v>
      </c>
      <c r="AJ68">
        <f>IF($C68-AJ$1&lt;År1,0,AI67*(1-VLOOKUP($A68,[1]Hugst!$R$5:$W$9,MATCH(ROUNDUP((AJ$1)/10,0)*10,[1]Hugst!$R$4:$W$4,0))))</f>
        <v>0</v>
      </c>
    </row>
    <row r="69" spans="1:36" x14ac:dyDescent="0.25">
      <c r="A69" t="s">
        <v>177</v>
      </c>
      <c r="B69" t="s">
        <v>23</v>
      </c>
      <c r="C69">
        <v>2025</v>
      </c>
      <c r="D69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954.66629754102632</v>
      </c>
      <c r="E69">
        <f t="shared" ca="1" si="1"/>
        <v>0</v>
      </c>
      <c r="F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3256.574266115661</v>
      </c>
      <c r="G69">
        <f ca="1">IF($C69-G$1&lt;År1,0,F68*(1-VLOOKUP($A69,[1]Hugst!$R$5:$W$9,MATCH(ROUNDUP((G$1)/10,0)*10,[1]Hugst!$R$4:$W$4,0))))</f>
        <v>3261.3715841937615</v>
      </c>
      <c r="H69">
        <f ca="1">IF($C69-H$1&lt;År1,0,G68*(1-VLOOKUP($A69,[1]Hugst!$R$5:$W$9,MATCH(ROUNDUP((H$1)/10,0)*10,[1]Hugst!$R$4:$W$4,0))))</f>
        <v>3266.1930093978795</v>
      </c>
      <c r="I69">
        <f ca="1">IF($C69-I$1&lt;År1,0,H68*(1-VLOOKUP($A69,[1]Hugst!$R$5:$W$9,MATCH(ROUNDUP((I$1)/10,0)*10,[1]Hugst!$R$4:$W$4,0))))</f>
        <v>3271.0386628693586</v>
      </c>
      <c r="J69">
        <f ca="1">IF($C69-J$1&lt;År1,0,I68*(1-VLOOKUP($A69,[1]Hugst!$R$5:$W$9,MATCH(ROUNDUP((J$1)/10,0)*10,[1]Hugst!$R$4:$W$4,0))))</f>
        <v>3275.9086663582484</v>
      </c>
      <c r="K69">
        <f ca="1">IF($C69-K$1&lt;År1,0,J68*(1-VLOOKUP($A69,[1]Hugst!$R$5:$W$9,MATCH(ROUNDUP((K$1)/10,0)*10,[1]Hugst!$R$4:$W$4,0))))</f>
        <v>3280.8031422265312</v>
      </c>
      <c r="L69">
        <f>IF($C69-L$1&lt;År1,0,K68*(1-VLOOKUP($A69,[1]Hugst!$R$5:$W$9,MATCH(ROUNDUP((L$1)/10,0)*10,[1]Hugst!$R$4:$W$4,0))))</f>
        <v>0</v>
      </c>
      <c r="M69">
        <f>IF($C69-M$1&lt;År1,0,L68*(1-VLOOKUP($A69,[1]Hugst!$R$5:$W$9,MATCH(ROUNDUP((M$1)/10,0)*10,[1]Hugst!$R$4:$W$4,0))))</f>
        <v>0</v>
      </c>
      <c r="N69">
        <f>IF($C69-N$1&lt;År1,0,M68*(1-VLOOKUP($A69,[1]Hugst!$R$5:$W$9,MATCH(ROUNDUP((N$1)/10,0)*10,[1]Hugst!$R$4:$W$4,0))))</f>
        <v>0</v>
      </c>
      <c r="O69">
        <f>IF($C69-O$1&lt;År1,0,N68*(1-VLOOKUP($A69,[1]Hugst!$R$5:$W$9,MATCH(ROUNDUP((O$1)/10,0)*10,[1]Hugst!$R$4:$W$4,0))))</f>
        <v>0</v>
      </c>
      <c r="P69">
        <f>IF($C69-P$1&lt;År1,0,O68*(1-VLOOKUP($A69,[1]Hugst!$R$5:$W$9,MATCH(ROUNDUP((P$1)/10,0)*10,[1]Hugst!$R$4:$W$4,0))))</f>
        <v>0</v>
      </c>
      <c r="Q69">
        <f>IF($C69-Q$1&lt;År1,0,P68*(1-VLOOKUP($A69,[1]Hugst!$R$5:$W$9,MATCH(ROUNDUP((Q$1)/10,0)*10,[1]Hugst!$R$4:$W$4,0))))</f>
        <v>0</v>
      </c>
      <c r="R69">
        <f>IF($C69-R$1&lt;År1,0,Q68*(1-VLOOKUP($A69,[1]Hugst!$R$5:$W$9,MATCH(ROUNDUP((R$1)/10,0)*10,[1]Hugst!$R$4:$W$4,0))))</f>
        <v>0</v>
      </c>
      <c r="S69">
        <f>IF($C69-S$1&lt;År1,0,R68*(1-VLOOKUP($A69,[1]Hugst!$R$5:$W$9,MATCH(ROUNDUP((S$1)/10,0)*10,[1]Hugst!$R$4:$W$4,0))))</f>
        <v>0</v>
      </c>
      <c r="T69">
        <f>IF($C69-T$1&lt;År1,0,S68*(1-VLOOKUP($A69,[1]Hugst!$R$5:$W$9,MATCH(ROUNDUP((T$1)/10,0)*10,[1]Hugst!$R$4:$W$4,0))))</f>
        <v>0</v>
      </c>
      <c r="U69">
        <f>IF($C69-U$1&lt;År1,0,T68*(1-VLOOKUP($A69,[1]Hugst!$R$5:$W$9,MATCH(ROUNDUP((U$1)/10,0)*10,[1]Hugst!$R$4:$W$4,0))))</f>
        <v>0</v>
      </c>
      <c r="V69">
        <f>IF($C69-V$1&lt;År1,0,U68*(1-VLOOKUP($A69,[1]Hugst!$R$5:$W$9,MATCH(ROUNDUP((V$1)/10,0)*10,[1]Hugst!$R$4:$W$4,0))))</f>
        <v>0</v>
      </c>
      <c r="W69">
        <f>IF($C69-W$1&lt;År1,0,V68*(1-VLOOKUP($A69,[1]Hugst!$R$5:$W$9,MATCH(ROUNDUP((W$1)/10,0)*10,[1]Hugst!$R$4:$W$4,0))))</f>
        <v>0</v>
      </c>
      <c r="X69">
        <f>IF($C69-X$1&lt;År1,0,W68*(1-VLOOKUP($A69,[1]Hugst!$R$5:$W$9,MATCH(ROUNDUP((X$1)/10,0)*10,[1]Hugst!$R$4:$W$4,0))))</f>
        <v>0</v>
      </c>
      <c r="Y69">
        <f>IF($C69-Y$1&lt;År1,0,X68*(1-VLOOKUP($A69,[1]Hugst!$R$5:$W$9,MATCH(ROUNDUP((Y$1)/10,0)*10,[1]Hugst!$R$4:$W$4,0))))</f>
        <v>0</v>
      </c>
      <c r="Z69">
        <f>IF($C69-Z$1&lt;År1,0,Y68*(1-VLOOKUP($A69,[1]Hugst!$R$5:$W$9,MATCH(ROUNDUP((Z$1)/10,0)*10,[1]Hugst!$R$4:$W$4,0))))</f>
        <v>0</v>
      </c>
      <c r="AA69">
        <f>IF($C69-AA$1&lt;År1,0,Z68*(1-VLOOKUP($A69,[1]Hugst!$R$5:$W$9,MATCH(ROUNDUP((AA$1)/10,0)*10,[1]Hugst!$R$4:$W$4,0))))</f>
        <v>0</v>
      </c>
      <c r="AB69">
        <f>IF($C69-AB$1&lt;År1,0,AA68*(1-VLOOKUP($A69,[1]Hugst!$R$5:$W$9,MATCH(ROUNDUP((AB$1)/10,0)*10,[1]Hugst!$R$4:$W$4,0))))</f>
        <v>0</v>
      </c>
      <c r="AC69">
        <f>IF($C69-AC$1&lt;År1,0,AB68*(1-VLOOKUP($A69,[1]Hugst!$R$5:$W$9,MATCH(ROUNDUP((AC$1)/10,0)*10,[1]Hugst!$R$4:$W$4,0))))</f>
        <v>0</v>
      </c>
      <c r="AD69">
        <f>IF($C69-AD$1&lt;År1,0,AC68*(1-VLOOKUP($A69,[1]Hugst!$R$5:$W$9,MATCH(ROUNDUP((AD$1)/10,0)*10,[1]Hugst!$R$4:$W$4,0))))</f>
        <v>0</v>
      </c>
      <c r="AE69">
        <f>IF($C69-AE$1&lt;År1,0,AD68*(1-VLOOKUP($A69,[1]Hugst!$R$5:$W$9,MATCH(ROUNDUP((AE$1)/10,0)*10,[1]Hugst!$R$4:$W$4,0))))</f>
        <v>0</v>
      </c>
      <c r="AF69">
        <f>IF($C69-AF$1&lt;År1,0,AE68*(1-VLOOKUP($A69,[1]Hugst!$R$5:$W$9,MATCH(ROUNDUP((AF$1)/10,0)*10,[1]Hugst!$R$4:$W$4,0))))</f>
        <v>0</v>
      </c>
      <c r="AG69">
        <f>IF($C69-AG$1&lt;År1,0,AF68*(1-VLOOKUP($A69,[1]Hugst!$R$5:$W$9,MATCH(ROUNDUP((AG$1)/10,0)*10,[1]Hugst!$R$4:$W$4,0))))</f>
        <v>0</v>
      </c>
      <c r="AH69">
        <f>IF($C69-AH$1&lt;År1,0,AG68*(1-VLOOKUP($A69,[1]Hugst!$R$5:$W$9,MATCH(ROUNDUP((AH$1)/10,0)*10,[1]Hugst!$R$4:$W$4,0))))</f>
        <v>0</v>
      </c>
      <c r="AI69">
        <f>IF($C69-AI$1&lt;År1,0,AH68*(1-VLOOKUP($A69,[1]Hugst!$R$5:$W$9,MATCH(ROUNDUP((AI$1)/10,0)*10,[1]Hugst!$R$4:$W$4,0))))</f>
        <v>0</v>
      </c>
      <c r="AJ69">
        <f>IF($C69-AJ$1&lt;År1,0,AI68*(1-VLOOKUP($A69,[1]Hugst!$R$5:$W$9,MATCH(ROUNDUP((AJ$1)/10,0)*10,[1]Hugst!$R$4:$W$4,0))))</f>
        <v>0</v>
      </c>
    </row>
    <row r="70" spans="1:36" x14ac:dyDescent="0.25">
      <c r="A70" t="s">
        <v>177</v>
      </c>
      <c r="B70" t="s">
        <v>23</v>
      </c>
      <c r="C70">
        <v>2026</v>
      </c>
      <c r="D70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949.89296605332584</v>
      </c>
      <c r="E70">
        <f t="shared" ca="1" si="1"/>
        <v>0</v>
      </c>
      <c r="F70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3251.8009346279605</v>
      </c>
      <c r="G70">
        <f ca="1">IF($C70-G$1&lt;År1,0,F69*(1-VLOOKUP($A70,[1]Hugst!$R$5:$W$9,MATCH(ROUNDUP((G$1)/10,0)*10,[1]Hugst!$R$4:$W$4,0))))</f>
        <v>3256.574266115661</v>
      </c>
      <c r="H70">
        <f ca="1">IF($C70-H$1&lt;År1,0,G69*(1-VLOOKUP($A70,[1]Hugst!$R$5:$W$9,MATCH(ROUNDUP((H$1)/10,0)*10,[1]Hugst!$R$4:$W$4,0))))</f>
        <v>3261.3715841937615</v>
      </c>
      <c r="I70">
        <f ca="1">IF($C70-I$1&lt;År1,0,H69*(1-VLOOKUP($A70,[1]Hugst!$R$5:$W$9,MATCH(ROUNDUP((I$1)/10,0)*10,[1]Hugst!$R$4:$W$4,0))))</f>
        <v>3266.1930093978795</v>
      </c>
      <c r="J70">
        <f ca="1">IF($C70-J$1&lt;År1,0,I69*(1-VLOOKUP($A70,[1]Hugst!$R$5:$W$9,MATCH(ROUNDUP((J$1)/10,0)*10,[1]Hugst!$R$4:$W$4,0))))</f>
        <v>3271.0386628693586</v>
      </c>
      <c r="K70">
        <f ca="1">IF($C70-K$1&lt;År1,0,J69*(1-VLOOKUP($A70,[1]Hugst!$R$5:$W$9,MATCH(ROUNDUP((K$1)/10,0)*10,[1]Hugst!$R$4:$W$4,0))))</f>
        <v>3275.9086663582484</v>
      </c>
      <c r="L70">
        <f ca="1">IF($C70-L$1&lt;År1,0,K69*(1-VLOOKUP($A70,[1]Hugst!$R$5:$W$9,MATCH(ROUNDUP((L$1)/10,0)*10,[1]Hugst!$R$4:$W$4,0))))</f>
        <v>3280.8031422265312</v>
      </c>
      <c r="M70">
        <f>IF($C70-M$1&lt;År1,0,L69*(1-VLOOKUP($A70,[1]Hugst!$R$5:$W$9,MATCH(ROUNDUP((M$1)/10,0)*10,[1]Hugst!$R$4:$W$4,0))))</f>
        <v>0</v>
      </c>
      <c r="N70">
        <f>IF($C70-N$1&lt;År1,0,M69*(1-VLOOKUP($A70,[1]Hugst!$R$5:$W$9,MATCH(ROUNDUP((N$1)/10,0)*10,[1]Hugst!$R$4:$W$4,0))))</f>
        <v>0</v>
      </c>
      <c r="O70">
        <f>IF($C70-O$1&lt;År1,0,N69*(1-VLOOKUP($A70,[1]Hugst!$R$5:$W$9,MATCH(ROUNDUP((O$1)/10,0)*10,[1]Hugst!$R$4:$W$4,0))))</f>
        <v>0</v>
      </c>
      <c r="P70">
        <f>IF($C70-P$1&lt;År1,0,O69*(1-VLOOKUP($A70,[1]Hugst!$R$5:$W$9,MATCH(ROUNDUP((P$1)/10,0)*10,[1]Hugst!$R$4:$W$4,0))))</f>
        <v>0</v>
      </c>
      <c r="Q70">
        <f>IF($C70-Q$1&lt;År1,0,P69*(1-VLOOKUP($A70,[1]Hugst!$R$5:$W$9,MATCH(ROUNDUP((Q$1)/10,0)*10,[1]Hugst!$R$4:$W$4,0))))</f>
        <v>0</v>
      </c>
      <c r="R70">
        <f>IF($C70-R$1&lt;År1,0,Q69*(1-VLOOKUP($A70,[1]Hugst!$R$5:$W$9,MATCH(ROUNDUP((R$1)/10,0)*10,[1]Hugst!$R$4:$W$4,0))))</f>
        <v>0</v>
      </c>
      <c r="S70">
        <f>IF($C70-S$1&lt;År1,0,R69*(1-VLOOKUP($A70,[1]Hugst!$R$5:$W$9,MATCH(ROUNDUP((S$1)/10,0)*10,[1]Hugst!$R$4:$W$4,0))))</f>
        <v>0</v>
      </c>
      <c r="T70">
        <f>IF($C70-T$1&lt;År1,0,S69*(1-VLOOKUP($A70,[1]Hugst!$R$5:$W$9,MATCH(ROUNDUP((T$1)/10,0)*10,[1]Hugst!$R$4:$W$4,0))))</f>
        <v>0</v>
      </c>
      <c r="U70">
        <f>IF($C70-U$1&lt;År1,0,T69*(1-VLOOKUP($A70,[1]Hugst!$R$5:$W$9,MATCH(ROUNDUP((U$1)/10,0)*10,[1]Hugst!$R$4:$W$4,0))))</f>
        <v>0</v>
      </c>
      <c r="V70">
        <f>IF($C70-V$1&lt;År1,0,U69*(1-VLOOKUP($A70,[1]Hugst!$R$5:$W$9,MATCH(ROUNDUP((V$1)/10,0)*10,[1]Hugst!$R$4:$W$4,0))))</f>
        <v>0</v>
      </c>
      <c r="W70">
        <f>IF($C70-W$1&lt;År1,0,V69*(1-VLOOKUP($A70,[1]Hugst!$R$5:$W$9,MATCH(ROUNDUP((W$1)/10,0)*10,[1]Hugst!$R$4:$W$4,0))))</f>
        <v>0</v>
      </c>
      <c r="X70">
        <f>IF($C70-X$1&lt;År1,0,W69*(1-VLOOKUP($A70,[1]Hugst!$R$5:$W$9,MATCH(ROUNDUP((X$1)/10,0)*10,[1]Hugst!$R$4:$W$4,0))))</f>
        <v>0</v>
      </c>
      <c r="Y70">
        <f>IF($C70-Y$1&lt;År1,0,X69*(1-VLOOKUP($A70,[1]Hugst!$R$5:$W$9,MATCH(ROUNDUP((Y$1)/10,0)*10,[1]Hugst!$R$4:$W$4,0))))</f>
        <v>0</v>
      </c>
      <c r="Z70">
        <f>IF($C70-Z$1&lt;År1,0,Y69*(1-VLOOKUP($A70,[1]Hugst!$R$5:$W$9,MATCH(ROUNDUP((Z$1)/10,0)*10,[1]Hugst!$R$4:$W$4,0))))</f>
        <v>0</v>
      </c>
      <c r="AA70">
        <f>IF($C70-AA$1&lt;År1,0,Z69*(1-VLOOKUP($A70,[1]Hugst!$R$5:$W$9,MATCH(ROUNDUP((AA$1)/10,0)*10,[1]Hugst!$R$4:$W$4,0))))</f>
        <v>0</v>
      </c>
      <c r="AB70">
        <f>IF($C70-AB$1&lt;År1,0,AA69*(1-VLOOKUP($A70,[1]Hugst!$R$5:$W$9,MATCH(ROUNDUP((AB$1)/10,0)*10,[1]Hugst!$R$4:$W$4,0))))</f>
        <v>0</v>
      </c>
      <c r="AC70">
        <f>IF($C70-AC$1&lt;År1,0,AB69*(1-VLOOKUP($A70,[1]Hugst!$R$5:$W$9,MATCH(ROUNDUP((AC$1)/10,0)*10,[1]Hugst!$R$4:$W$4,0))))</f>
        <v>0</v>
      </c>
      <c r="AD70">
        <f>IF($C70-AD$1&lt;År1,0,AC69*(1-VLOOKUP($A70,[1]Hugst!$R$5:$W$9,MATCH(ROUNDUP((AD$1)/10,0)*10,[1]Hugst!$R$4:$W$4,0))))</f>
        <v>0</v>
      </c>
      <c r="AE70">
        <f>IF($C70-AE$1&lt;År1,0,AD69*(1-VLOOKUP($A70,[1]Hugst!$R$5:$W$9,MATCH(ROUNDUP((AE$1)/10,0)*10,[1]Hugst!$R$4:$W$4,0))))</f>
        <v>0</v>
      </c>
      <c r="AF70">
        <f>IF($C70-AF$1&lt;År1,0,AE69*(1-VLOOKUP($A70,[1]Hugst!$R$5:$W$9,MATCH(ROUNDUP((AF$1)/10,0)*10,[1]Hugst!$R$4:$W$4,0))))</f>
        <v>0</v>
      </c>
      <c r="AG70">
        <f>IF($C70-AG$1&lt;År1,0,AF69*(1-VLOOKUP($A70,[1]Hugst!$R$5:$W$9,MATCH(ROUNDUP((AG$1)/10,0)*10,[1]Hugst!$R$4:$W$4,0))))</f>
        <v>0</v>
      </c>
      <c r="AH70">
        <f>IF($C70-AH$1&lt;År1,0,AG69*(1-VLOOKUP($A70,[1]Hugst!$R$5:$W$9,MATCH(ROUNDUP((AH$1)/10,0)*10,[1]Hugst!$R$4:$W$4,0))))</f>
        <v>0</v>
      </c>
      <c r="AI70">
        <f>IF($C70-AI$1&lt;År1,0,AH69*(1-VLOOKUP($A70,[1]Hugst!$R$5:$W$9,MATCH(ROUNDUP((AI$1)/10,0)*10,[1]Hugst!$R$4:$W$4,0))))</f>
        <v>0</v>
      </c>
      <c r="AJ70">
        <f>IF($C70-AJ$1&lt;År1,0,AI69*(1-VLOOKUP($A70,[1]Hugst!$R$5:$W$9,MATCH(ROUNDUP((AJ$1)/10,0)*10,[1]Hugst!$R$4:$W$4,0))))</f>
        <v>0</v>
      </c>
    </row>
    <row r="71" spans="1:36" x14ac:dyDescent="0.25">
      <c r="A71" t="s">
        <v>177</v>
      </c>
      <c r="B71" t="s">
        <v>23</v>
      </c>
      <c r="C71">
        <v>2027</v>
      </c>
      <c r="D71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945.14350122306769</v>
      </c>
      <c r="E71">
        <f t="shared" ca="1" si="1"/>
        <v>0</v>
      </c>
      <c r="F71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3247.0514697977023</v>
      </c>
      <c r="G71">
        <f ca="1">IF($C71-G$1&lt;År1,0,F70*(1-VLOOKUP($A71,[1]Hugst!$R$5:$W$9,MATCH(ROUNDUP((G$1)/10,0)*10,[1]Hugst!$R$4:$W$4,0))))</f>
        <v>3251.8009346279605</v>
      </c>
      <c r="H71">
        <f ca="1">IF($C71-H$1&lt;År1,0,G70*(1-VLOOKUP($A71,[1]Hugst!$R$5:$W$9,MATCH(ROUNDUP((H$1)/10,0)*10,[1]Hugst!$R$4:$W$4,0))))</f>
        <v>3256.574266115661</v>
      </c>
      <c r="I71">
        <f ca="1">IF($C71-I$1&lt;År1,0,H70*(1-VLOOKUP($A71,[1]Hugst!$R$5:$W$9,MATCH(ROUNDUP((I$1)/10,0)*10,[1]Hugst!$R$4:$W$4,0))))</f>
        <v>3261.3715841937615</v>
      </c>
      <c r="J71">
        <f ca="1">IF($C71-J$1&lt;År1,0,I70*(1-VLOOKUP($A71,[1]Hugst!$R$5:$W$9,MATCH(ROUNDUP((J$1)/10,0)*10,[1]Hugst!$R$4:$W$4,0))))</f>
        <v>3266.1930093978795</v>
      </c>
      <c r="K71">
        <f ca="1">IF($C71-K$1&lt;År1,0,J70*(1-VLOOKUP($A71,[1]Hugst!$R$5:$W$9,MATCH(ROUNDUP((K$1)/10,0)*10,[1]Hugst!$R$4:$W$4,0))))</f>
        <v>3271.0386628693586</v>
      </c>
      <c r="L71">
        <f ca="1">IF($C71-L$1&lt;År1,0,K70*(1-VLOOKUP($A71,[1]Hugst!$R$5:$W$9,MATCH(ROUNDUP((L$1)/10,0)*10,[1]Hugst!$R$4:$W$4,0))))</f>
        <v>3275.9086663582484</v>
      </c>
      <c r="M71">
        <f ca="1">IF($C71-M$1&lt;År1,0,L70*(1-VLOOKUP($A71,[1]Hugst!$R$5:$W$9,MATCH(ROUNDUP((M$1)/10,0)*10,[1]Hugst!$R$4:$W$4,0))))</f>
        <v>3280.8031422265312</v>
      </c>
      <c r="N71">
        <f>IF($C71-N$1&lt;År1,0,M70*(1-VLOOKUP($A71,[1]Hugst!$R$5:$W$9,MATCH(ROUNDUP((N$1)/10,0)*10,[1]Hugst!$R$4:$W$4,0))))</f>
        <v>0</v>
      </c>
      <c r="O71">
        <f>IF($C71-O$1&lt;År1,0,N70*(1-VLOOKUP($A71,[1]Hugst!$R$5:$W$9,MATCH(ROUNDUP((O$1)/10,0)*10,[1]Hugst!$R$4:$W$4,0))))</f>
        <v>0</v>
      </c>
      <c r="P71">
        <f>IF($C71-P$1&lt;År1,0,O70*(1-VLOOKUP($A71,[1]Hugst!$R$5:$W$9,MATCH(ROUNDUP((P$1)/10,0)*10,[1]Hugst!$R$4:$W$4,0))))</f>
        <v>0</v>
      </c>
      <c r="Q71">
        <f>IF($C71-Q$1&lt;År1,0,P70*(1-VLOOKUP($A71,[1]Hugst!$R$5:$W$9,MATCH(ROUNDUP((Q$1)/10,0)*10,[1]Hugst!$R$4:$W$4,0))))</f>
        <v>0</v>
      </c>
      <c r="R71">
        <f>IF($C71-R$1&lt;År1,0,Q70*(1-VLOOKUP($A71,[1]Hugst!$R$5:$W$9,MATCH(ROUNDUP((R$1)/10,0)*10,[1]Hugst!$R$4:$W$4,0))))</f>
        <v>0</v>
      </c>
      <c r="S71">
        <f>IF($C71-S$1&lt;År1,0,R70*(1-VLOOKUP($A71,[1]Hugst!$R$5:$W$9,MATCH(ROUNDUP((S$1)/10,0)*10,[1]Hugst!$R$4:$W$4,0))))</f>
        <v>0</v>
      </c>
      <c r="T71">
        <f>IF($C71-T$1&lt;År1,0,S70*(1-VLOOKUP($A71,[1]Hugst!$R$5:$W$9,MATCH(ROUNDUP((T$1)/10,0)*10,[1]Hugst!$R$4:$W$4,0))))</f>
        <v>0</v>
      </c>
      <c r="U71">
        <f>IF($C71-U$1&lt;År1,0,T70*(1-VLOOKUP($A71,[1]Hugst!$R$5:$W$9,MATCH(ROUNDUP((U$1)/10,0)*10,[1]Hugst!$R$4:$W$4,0))))</f>
        <v>0</v>
      </c>
      <c r="V71">
        <f>IF($C71-V$1&lt;År1,0,U70*(1-VLOOKUP($A71,[1]Hugst!$R$5:$W$9,MATCH(ROUNDUP((V$1)/10,0)*10,[1]Hugst!$R$4:$W$4,0))))</f>
        <v>0</v>
      </c>
      <c r="W71">
        <f>IF($C71-W$1&lt;År1,0,V70*(1-VLOOKUP($A71,[1]Hugst!$R$5:$W$9,MATCH(ROUNDUP((W$1)/10,0)*10,[1]Hugst!$R$4:$W$4,0))))</f>
        <v>0</v>
      </c>
      <c r="X71">
        <f>IF($C71-X$1&lt;År1,0,W70*(1-VLOOKUP($A71,[1]Hugst!$R$5:$W$9,MATCH(ROUNDUP((X$1)/10,0)*10,[1]Hugst!$R$4:$W$4,0))))</f>
        <v>0</v>
      </c>
      <c r="Y71">
        <f>IF($C71-Y$1&lt;År1,0,X70*(1-VLOOKUP($A71,[1]Hugst!$R$5:$W$9,MATCH(ROUNDUP((Y$1)/10,0)*10,[1]Hugst!$R$4:$W$4,0))))</f>
        <v>0</v>
      </c>
      <c r="Z71">
        <f>IF($C71-Z$1&lt;År1,0,Y70*(1-VLOOKUP($A71,[1]Hugst!$R$5:$W$9,MATCH(ROUNDUP((Z$1)/10,0)*10,[1]Hugst!$R$4:$W$4,0))))</f>
        <v>0</v>
      </c>
      <c r="AA71">
        <f>IF($C71-AA$1&lt;År1,0,Z70*(1-VLOOKUP($A71,[1]Hugst!$R$5:$W$9,MATCH(ROUNDUP((AA$1)/10,0)*10,[1]Hugst!$R$4:$W$4,0))))</f>
        <v>0</v>
      </c>
      <c r="AB71">
        <f>IF($C71-AB$1&lt;År1,0,AA70*(1-VLOOKUP($A71,[1]Hugst!$R$5:$W$9,MATCH(ROUNDUP((AB$1)/10,0)*10,[1]Hugst!$R$4:$W$4,0))))</f>
        <v>0</v>
      </c>
      <c r="AC71">
        <f>IF($C71-AC$1&lt;År1,0,AB70*(1-VLOOKUP($A71,[1]Hugst!$R$5:$W$9,MATCH(ROUNDUP((AC$1)/10,0)*10,[1]Hugst!$R$4:$W$4,0))))</f>
        <v>0</v>
      </c>
      <c r="AD71">
        <f>IF($C71-AD$1&lt;År1,0,AC70*(1-VLOOKUP($A71,[1]Hugst!$R$5:$W$9,MATCH(ROUNDUP((AD$1)/10,0)*10,[1]Hugst!$R$4:$W$4,0))))</f>
        <v>0</v>
      </c>
      <c r="AE71">
        <f>IF($C71-AE$1&lt;År1,0,AD70*(1-VLOOKUP($A71,[1]Hugst!$R$5:$W$9,MATCH(ROUNDUP((AE$1)/10,0)*10,[1]Hugst!$R$4:$W$4,0))))</f>
        <v>0</v>
      </c>
      <c r="AF71">
        <f>IF($C71-AF$1&lt;År1,0,AE70*(1-VLOOKUP($A71,[1]Hugst!$R$5:$W$9,MATCH(ROUNDUP((AF$1)/10,0)*10,[1]Hugst!$R$4:$W$4,0))))</f>
        <v>0</v>
      </c>
      <c r="AG71">
        <f>IF($C71-AG$1&lt;År1,0,AF70*(1-VLOOKUP($A71,[1]Hugst!$R$5:$W$9,MATCH(ROUNDUP((AG$1)/10,0)*10,[1]Hugst!$R$4:$W$4,0))))</f>
        <v>0</v>
      </c>
      <c r="AH71">
        <f>IF($C71-AH$1&lt;År1,0,AG70*(1-VLOOKUP($A71,[1]Hugst!$R$5:$W$9,MATCH(ROUNDUP((AH$1)/10,0)*10,[1]Hugst!$R$4:$W$4,0))))</f>
        <v>0</v>
      </c>
      <c r="AI71">
        <f>IF($C71-AI$1&lt;År1,0,AH70*(1-VLOOKUP($A71,[1]Hugst!$R$5:$W$9,MATCH(ROUNDUP((AI$1)/10,0)*10,[1]Hugst!$R$4:$W$4,0))))</f>
        <v>0</v>
      </c>
      <c r="AJ71">
        <f>IF($C71-AJ$1&lt;År1,0,AI70*(1-VLOOKUP($A71,[1]Hugst!$R$5:$W$9,MATCH(ROUNDUP((AJ$1)/10,0)*10,[1]Hugst!$R$4:$W$4,0))))</f>
        <v>0</v>
      </c>
    </row>
    <row r="72" spans="1:36" x14ac:dyDescent="0.25">
      <c r="A72" t="s">
        <v>177</v>
      </c>
      <c r="B72" t="s">
        <v>23</v>
      </c>
      <c r="C72">
        <v>2028</v>
      </c>
      <c r="D72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940.41778371696546</v>
      </c>
      <c r="E72">
        <f t="shared" ca="1" si="1"/>
        <v>0</v>
      </c>
      <c r="F72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3242.3257522916001</v>
      </c>
      <c r="G72">
        <f ca="1">IF($C72-G$1&lt;År1,0,F71*(1-VLOOKUP($A72,[1]Hugst!$R$5:$W$9,MATCH(ROUNDUP((G$1)/10,0)*10,[1]Hugst!$R$4:$W$4,0))))</f>
        <v>3247.0514697977023</v>
      </c>
      <c r="H72">
        <f ca="1">IF($C72-H$1&lt;År1,0,G71*(1-VLOOKUP($A72,[1]Hugst!$R$5:$W$9,MATCH(ROUNDUP((H$1)/10,0)*10,[1]Hugst!$R$4:$W$4,0))))</f>
        <v>3251.8009346279605</v>
      </c>
      <c r="I72">
        <f ca="1">IF($C72-I$1&lt;År1,0,H71*(1-VLOOKUP($A72,[1]Hugst!$R$5:$W$9,MATCH(ROUNDUP((I$1)/10,0)*10,[1]Hugst!$R$4:$W$4,0))))</f>
        <v>3256.574266115661</v>
      </c>
      <c r="J72">
        <f ca="1">IF($C72-J$1&lt;År1,0,I71*(1-VLOOKUP($A72,[1]Hugst!$R$5:$W$9,MATCH(ROUNDUP((J$1)/10,0)*10,[1]Hugst!$R$4:$W$4,0))))</f>
        <v>3261.3715841937615</v>
      </c>
      <c r="K72">
        <f ca="1">IF($C72-K$1&lt;År1,0,J71*(1-VLOOKUP($A72,[1]Hugst!$R$5:$W$9,MATCH(ROUNDUP((K$1)/10,0)*10,[1]Hugst!$R$4:$W$4,0))))</f>
        <v>3266.1930093978795</v>
      </c>
      <c r="L72">
        <f ca="1">IF($C72-L$1&lt;År1,0,K71*(1-VLOOKUP($A72,[1]Hugst!$R$5:$W$9,MATCH(ROUNDUP((L$1)/10,0)*10,[1]Hugst!$R$4:$W$4,0))))</f>
        <v>3271.0386628693586</v>
      </c>
      <c r="M72">
        <f ca="1">IF($C72-M$1&lt;År1,0,L71*(1-VLOOKUP($A72,[1]Hugst!$R$5:$W$9,MATCH(ROUNDUP((M$1)/10,0)*10,[1]Hugst!$R$4:$W$4,0))))</f>
        <v>3275.9086663582484</v>
      </c>
      <c r="N72">
        <f ca="1">IF($C72-N$1&lt;År1,0,M71*(1-VLOOKUP($A72,[1]Hugst!$R$5:$W$9,MATCH(ROUNDUP((N$1)/10,0)*10,[1]Hugst!$R$4:$W$4,0))))</f>
        <v>3280.8031422265312</v>
      </c>
      <c r="O72">
        <f>IF($C72-O$1&lt;År1,0,N71*(1-VLOOKUP($A72,[1]Hugst!$R$5:$W$9,MATCH(ROUNDUP((O$1)/10,0)*10,[1]Hugst!$R$4:$W$4,0))))</f>
        <v>0</v>
      </c>
      <c r="P72">
        <f>IF($C72-P$1&lt;År1,0,O71*(1-VLOOKUP($A72,[1]Hugst!$R$5:$W$9,MATCH(ROUNDUP((P$1)/10,0)*10,[1]Hugst!$R$4:$W$4,0))))</f>
        <v>0</v>
      </c>
      <c r="Q72">
        <f>IF($C72-Q$1&lt;År1,0,P71*(1-VLOOKUP($A72,[1]Hugst!$R$5:$W$9,MATCH(ROUNDUP((Q$1)/10,0)*10,[1]Hugst!$R$4:$W$4,0))))</f>
        <v>0</v>
      </c>
      <c r="R72">
        <f>IF($C72-R$1&lt;År1,0,Q71*(1-VLOOKUP($A72,[1]Hugst!$R$5:$W$9,MATCH(ROUNDUP((R$1)/10,0)*10,[1]Hugst!$R$4:$W$4,0))))</f>
        <v>0</v>
      </c>
      <c r="S72">
        <f>IF($C72-S$1&lt;År1,0,R71*(1-VLOOKUP($A72,[1]Hugst!$R$5:$W$9,MATCH(ROUNDUP((S$1)/10,0)*10,[1]Hugst!$R$4:$W$4,0))))</f>
        <v>0</v>
      </c>
      <c r="T72">
        <f>IF($C72-T$1&lt;År1,0,S71*(1-VLOOKUP($A72,[1]Hugst!$R$5:$W$9,MATCH(ROUNDUP((T$1)/10,0)*10,[1]Hugst!$R$4:$W$4,0))))</f>
        <v>0</v>
      </c>
      <c r="U72">
        <f>IF($C72-U$1&lt;År1,0,T71*(1-VLOOKUP($A72,[1]Hugst!$R$5:$W$9,MATCH(ROUNDUP((U$1)/10,0)*10,[1]Hugst!$R$4:$W$4,0))))</f>
        <v>0</v>
      </c>
      <c r="V72">
        <f>IF($C72-V$1&lt;År1,0,U71*(1-VLOOKUP($A72,[1]Hugst!$R$5:$W$9,MATCH(ROUNDUP((V$1)/10,0)*10,[1]Hugst!$R$4:$W$4,0))))</f>
        <v>0</v>
      </c>
      <c r="W72">
        <f>IF($C72-W$1&lt;År1,0,V71*(1-VLOOKUP($A72,[1]Hugst!$R$5:$W$9,MATCH(ROUNDUP((W$1)/10,0)*10,[1]Hugst!$R$4:$W$4,0))))</f>
        <v>0</v>
      </c>
      <c r="X72">
        <f>IF($C72-X$1&lt;År1,0,W71*(1-VLOOKUP($A72,[1]Hugst!$R$5:$W$9,MATCH(ROUNDUP((X$1)/10,0)*10,[1]Hugst!$R$4:$W$4,0))))</f>
        <v>0</v>
      </c>
      <c r="Y72">
        <f>IF($C72-Y$1&lt;År1,0,X71*(1-VLOOKUP($A72,[1]Hugst!$R$5:$W$9,MATCH(ROUNDUP((Y$1)/10,0)*10,[1]Hugst!$R$4:$W$4,0))))</f>
        <v>0</v>
      </c>
      <c r="Z72">
        <f>IF($C72-Z$1&lt;År1,0,Y71*(1-VLOOKUP($A72,[1]Hugst!$R$5:$W$9,MATCH(ROUNDUP((Z$1)/10,0)*10,[1]Hugst!$R$4:$W$4,0))))</f>
        <v>0</v>
      </c>
      <c r="AA72">
        <f>IF($C72-AA$1&lt;År1,0,Z71*(1-VLOOKUP($A72,[1]Hugst!$R$5:$W$9,MATCH(ROUNDUP((AA$1)/10,0)*10,[1]Hugst!$R$4:$W$4,0))))</f>
        <v>0</v>
      </c>
      <c r="AB72">
        <f>IF($C72-AB$1&lt;År1,0,AA71*(1-VLOOKUP($A72,[1]Hugst!$R$5:$W$9,MATCH(ROUNDUP((AB$1)/10,0)*10,[1]Hugst!$R$4:$W$4,0))))</f>
        <v>0</v>
      </c>
      <c r="AC72">
        <f>IF($C72-AC$1&lt;År1,0,AB71*(1-VLOOKUP($A72,[1]Hugst!$R$5:$W$9,MATCH(ROUNDUP((AC$1)/10,0)*10,[1]Hugst!$R$4:$W$4,0))))</f>
        <v>0</v>
      </c>
      <c r="AD72">
        <f>IF($C72-AD$1&lt;År1,0,AC71*(1-VLOOKUP($A72,[1]Hugst!$R$5:$W$9,MATCH(ROUNDUP((AD$1)/10,0)*10,[1]Hugst!$R$4:$W$4,0))))</f>
        <v>0</v>
      </c>
      <c r="AE72">
        <f>IF($C72-AE$1&lt;År1,0,AD71*(1-VLOOKUP($A72,[1]Hugst!$R$5:$W$9,MATCH(ROUNDUP((AE$1)/10,0)*10,[1]Hugst!$R$4:$W$4,0))))</f>
        <v>0</v>
      </c>
      <c r="AF72">
        <f>IF($C72-AF$1&lt;År1,0,AE71*(1-VLOOKUP($A72,[1]Hugst!$R$5:$W$9,MATCH(ROUNDUP((AF$1)/10,0)*10,[1]Hugst!$R$4:$W$4,0))))</f>
        <v>0</v>
      </c>
      <c r="AG72">
        <f>IF($C72-AG$1&lt;År1,0,AF71*(1-VLOOKUP($A72,[1]Hugst!$R$5:$W$9,MATCH(ROUNDUP((AG$1)/10,0)*10,[1]Hugst!$R$4:$W$4,0))))</f>
        <v>0</v>
      </c>
      <c r="AH72">
        <f>IF($C72-AH$1&lt;År1,0,AG71*(1-VLOOKUP($A72,[1]Hugst!$R$5:$W$9,MATCH(ROUNDUP((AH$1)/10,0)*10,[1]Hugst!$R$4:$W$4,0))))</f>
        <v>0</v>
      </c>
      <c r="AI72">
        <f>IF($C72-AI$1&lt;År1,0,AH71*(1-VLOOKUP($A72,[1]Hugst!$R$5:$W$9,MATCH(ROUNDUP((AI$1)/10,0)*10,[1]Hugst!$R$4:$W$4,0))))</f>
        <v>0</v>
      </c>
      <c r="AJ72">
        <f>IF($C72-AJ$1&lt;År1,0,AI71*(1-VLOOKUP($A72,[1]Hugst!$R$5:$W$9,MATCH(ROUNDUP((AJ$1)/10,0)*10,[1]Hugst!$R$4:$W$4,0))))</f>
        <v>0</v>
      </c>
    </row>
    <row r="73" spans="1:36" x14ac:dyDescent="0.25">
      <c r="A73" t="s">
        <v>177</v>
      </c>
      <c r="B73" t="s">
        <v>23</v>
      </c>
      <c r="C73">
        <v>2029</v>
      </c>
      <c r="D73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935.7156947983367</v>
      </c>
      <c r="E73">
        <f t="shared" ca="1" si="1"/>
        <v>0</v>
      </c>
      <c r="F73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3237.6236633729714</v>
      </c>
      <c r="G73">
        <f ca="1">IF($C73-G$1&lt;År1,0,F72*(1-VLOOKUP($A73,[1]Hugst!$R$5:$W$9,MATCH(ROUNDUP((G$1)/10,0)*10,[1]Hugst!$R$4:$W$4,0))))</f>
        <v>3242.3257522916001</v>
      </c>
      <c r="H73">
        <f ca="1">IF($C73-H$1&lt;År1,0,G72*(1-VLOOKUP($A73,[1]Hugst!$R$5:$W$9,MATCH(ROUNDUP((H$1)/10,0)*10,[1]Hugst!$R$4:$W$4,0))))</f>
        <v>3247.0514697977023</v>
      </c>
      <c r="I73">
        <f ca="1">IF($C73-I$1&lt;År1,0,H72*(1-VLOOKUP($A73,[1]Hugst!$R$5:$W$9,MATCH(ROUNDUP((I$1)/10,0)*10,[1]Hugst!$R$4:$W$4,0))))</f>
        <v>3251.8009346279605</v>
      </c>
      <c r="J73">
        <f ca="1">IF($C73-J$1&lt;År1,0,I72*(1-VLOOKUP($A73,[1]Hugst!$R$5:$W$9,MATCH(ROUNDUP((J$1)/10,0)*10,[1]Hugst!$R$4:$W$4,0))))</f>
        <v>3256.574266115661</v>
      </c>
      <c r="K73">
        <f ca="1">IF($C73-K$1&lt;År1,0,J72*(1-VLOOKUP($A73,[1]Hugst!$R$5:$W$9,MATCH(ROUNDUP((K$1)/10,0)*10,[1]Hugst!$R$4:$W$4,0))))</f>
        <v>3261.3715841937615</v>
      </c>
      <c r="L73">
        <f ca="1">IF($C73-L$1&lt;År1,0,K72*(1-VLOOKUP($A73,[1]Hugst!$R$5:$W$9,MATCH(ROUNDUP((L$1)/10,0)*10,[1]Hugst!$R$4:$W$4,0))))</f>
        <v>3266.1930093978795</v>
      </c>
      <c r="M73">
        <f ca="1">IF($C73-M$1&lt;År1,0,L72*(1-VLOOKUP($A73,[1]Hugst!$R$5:$W$9,MATCH(ROUNDUP((M$1)/10,0)*10,[1]Hugst!$R$4:$W$4,0))))</f>
        <v>3271.0386628693586</v>
      </c>
      <c r="N73">
        <f ca="1">IF($C73-N$1&lt;År1,0,M72*(1-VLOOKUP($A73,[1]Hugst!$R$5:$W$9,MATCH(ROUNDUP((N$1)/10,0)*10,[1]Hugst!$R$4:$W$4,0))))</f>
        <v>3275.9086663582484</v>
      </c>
      <c r="O73">
        <f ca="1">IF($C73-O$1&lt;År1,0,N72*(1-VLOOKUP($A73,[1]Hugst!$R$5:$W$9,MATCH(ROUNDUP((O$1)/10,0)*10,[1]Hugst!$R$4:$W$4,0))))</f>
        <v>3280.8031422265312</v>
      </c>
      <c r="P73">
        <f>IF($C73-P$1&lt;År1,0,O72*(1-VLOOKUP($A73,[1]Hugst!$R$5:$W$9,MATCH(ROUNDUP((P$1)/10,0)*10,[1]Hugst!$R$4:$W$4,0))))</f>
        <v>0</v>
      </c>
      <c r="Q73">
        <f>IF($C73-Q$1&lt;År1,0,P72*(1-VLOOKUP($A73,[1]Hugst!$R$5:$W$9,MATCH(ROUNDUP((Q$1)/10,0)*10,[1]Hugst!$R$4:$W$4,0))))</f>
        <v>0</v>
      </c>
      <c r="R73">
        <f>IF($C73-R$1&lt;År1,0,Q72*(1-VLOOKUP($A73,[1]Hugst!$R$5:$W$9,MATCH(ROUNDUP((R$1)/10,0)*10,[1]Hugst!$R$4:$W$4,0))))</f>
        <v>0</v>
      </c>
      <c r="S73">
        <f>IF($C73-S$1&lt;År1,0,R72*(1-VLOOKUP($A73,[1]Hugst!$R$5:$W$9,MATCH(ROUNDUP((S$1)/10,0)*10,[1]Hugst!$R$4:$W$4,0))))</f>
        <v>0</v>
      </c>
      <c r="T73">
        <f>IF($C73-T$1&lt;År1,0,S72*(1-VLOOKUP($A73,[1]Hugst!$R$5:$W$9,MATCH(ROUNDUP((T$1)/10,0)*10,[1]Hugst!$R$4:$W$4,0))))</f>
        <v>0</v>
      </c>
      <c r="U73">
        <f>IF($C73-U$1&lt;År1,0,T72*(1-VLOOKUP($A73,[1]Hugst!$R$5:$W$9,MATCH(ROUNDUP((U$1)/10,0)*10,[1]Hugst!$R$4:$W$4,0))))</f>
        <v>0</v>
      </c>
      <c r="V73">
        <f>IF($C73-V$1&lt;År1,0,U72*(1-VLOOKUP($A73,[1]Hugst!$R$5:$W$9,MATCH(ROUNDUP((V$1)/10,0)*10,[1]Hugst!$R$4:$W$4,0))))</f>
        <v>0</v>
      </c>
      <c r="W73">
        <f>IF($C73-W$1&lt;År1,0,V72*(1-VLOOKUP($A73,[1]Hugst!$R$5:$W$9,MATCH(ROUNDUP((W$1)/10,0)*10,[1]Hugst!$R$4:$W$4,0))))</f>
        <v>0</v>
      </c>
      <c r="X73">
        <f>IF($C73-X$1&lt;År1,0,W72*(1-VLOOKUP($A73,[1]Hugst!$R$5:$W$9,MATCH(ROUNDUP((X$1)/10,0)*10,[1]Hugst!$R$4:$W$4,0))))</f>
        <v>0</v>
      </c>
      <c r="Y73">
        <f>IF($C73-Y$1&lt;År1,0,X72*(1-VLOOKUP($A73,[1]Hugst!$R$5:$W$9,MATCH(ROUNDUP((Y$1)/10,0)*10,[1]Hugst!$R$4:$W$4,0))))</f>
        <v>0</v>
      </c>
      <c r="Z73">
        <f>IF($C73-Z$1&lt;År1,0,Y72*(1-VLOOKUP($A73,[1]Hugst!$R$5:$W$9,MATCH(ROUNDUP((Z$1)/10,0)*10,[1]Hugst!$R$4:$W$4,0))))</f>
        <v>0</v>
      </c>
      <c r="AA73">
        <f>IF($C73-AA$1&lt;År1,0,Z72*(1-VLOOKUP($A73,[1]Hugst!$R$5:$W$9,MATCH(ROUNDUP((AA$1)/10,0)*10,[1]Hugst!$R$4:$W$4,0))))</f>
        <v>0</v>
      </c>
      <c r="AB73">
        <f>IF($C73-AB$1&lt;År1,0,AA72*(1-VLOOKUP($A73,[1]Hugst!$R$5:$W$9,MATCH(ROUNDUP((AB$1)/10,0)*10,[1]Hugst!$R$4:$W$4,0))))</f>
        <v>0</v>
      </c>
      <c r="AC73">
        <f>IF($C73-AC$1&lt;År1,0,AB72*(1-VLOOKUP($A73,[1]Hugst!$R$5:$W$9,MATCH(ROUNDUP((AC$1)/10,0)*10,[1]Hugst!$R$4:$W$4,0))))</f>
        <v>0</v>
      </c>
      <c r="AD73">
        <f>IF($C73-AD$1&lt;År1,0,AC72*(1-VLOOKUP($A73,[1]Hugst!$R$5:$W$9,MATCH(ROUNDUP((AD$1)/10,0)*10,[1]Hugst!$R$4:$W$4,0))))</f>
        <v>0</v>
      </c>
      <c r="AE73">
        <f>IF($C73-AE$1&lt;År1,0,AD72*(1-VLOOKUP($A73,[1]Hugst!$R$5:$W$9,MATCH(ROUNDUP((AE$1)/10,0)*10,[1]Hugst!$R$4:$W$4,0))))</f>
        <v>0</v>
      </c>
      <c r="AF73">
        <f>IF($C73-AF$1&lt;År1,0,AE72*(1-VLOOKUP($A73,[1]Hugst!$R$5:$W$9,MATCH(ROUNDUP((AF$1)/10,0)*10,[1]Hugst!$R$4:$W$4,0))))</f>
        <v>0</v>
      </c>
      <c r="AG73">
        <f>IF($C73-AG$1&lt;År1,0,AF72*(1-VLOOKUP($A73,[1]Hugst!$R$5:$W$9,MATCH(ROUNDUP((AG$1)/10,0)*10,[1]Hugst!$R$4:$W$4,0))))</f>
        <v>0</v>
      </c>
      <c r="AH73">
        <f>IF($C73-AH$1&lt;År1,0,AG72*(1-VLOOKUP($A73,[1]Hugst!$R$5:$W$9,MATCH(ROUNDUP((AH$1)/10,0)*10,[1]Hugst!$R$4:$W$4,0))))</f>
        <v>0</v>
      </c>
      <c r="AI73">
        <f>IF($C73-AI$1&lt;År1,0,AH72*(1-VLOOKUP($A73,[1]Hugst!$R$5:$W$9,MATCH(ROUNDUP((AI$1)/10,0)*10,[1]Hugst!$R$4:$W$4,0))))</f>
        <v>0</v>
      </c>
      <c r="AJ73">
        <f>IF($C73-AJ$1&lt;År1,0,AI72*(1-VLOOKUP($A73,[1]Hugst!$R$5:$W$9,MATCH(ROUNDUP((AJ$1)/10,0)*10,[1]Hugst!$R$4:$W$4,0))))</f>
        <v>0</v>
      </c>
    </row>
    <row r="74" spans="1:36" x14ac:dyDescent="0.25">
      <c r="A74" t="s">
        <v>177</v>
      </c>
      <c r="B74" t="s">
        <v>23</v>
      </c>
      <c r="C74">
        <v>2030</v>
      </c>
      <c r="D74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931.03711632439263</v>
      </c>
      <c r="E74">
        <f t="shared" ca="1" si="1"/>
        <v>5.0046149627196428</v>
      </c>
      <c r="F74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3237.9496998617469</v>
      </c>
      <c r="G74">
        <f ca="1">IF($C74-G$1&lt;År1,0,F73*(1-VLOOKUP($A74,[1]Hugst!$R$5:$W$9,MATCH(ROUNDUP((G$1)/10,0)*10,[1]Hugst!$R$4:$W$4,0))))</f>
        <v>3237.6236633729714</v>
      </c>
      <c r="H74">
        <f ca="1">IF($C74-H$1&lt;År1,0,G73*(1-VLOOKUP($A74,[1]Hugst!$R$5:$W$9,MATCH(ROUNDUP((H$1)/10,0)*10,[1]Hugst!$R$4:$W$4,0))))</f>
        <v>3242.3257522916001</v>
      </c>
      <c r="I74">
        <f ca="1">IF($C74-I$1&lt;År1,0,H73*(1-VLOOKUP($A74,[1]Hugst!$R$5:$W$9,MATCH(ROUNDUP((I$1)/10,0)*10,[1]Hugst!$R$4:$W$4,0))))</f>
        <v>3247.0514697977023</v>
      </c>
      <c r="J74">
        <f ca="1">IF($C74-J$1&lt;År1,0,I73*(1-VLOOKUP($A74,[1]Hugst!$R$5:$W$9,MATCH(ROUNDUP((J$1)/10,0)*10,[1]Hugst!$R$4:$W$4,0))))</f>
        <v>3251.8009346279605</v>
      </c>
      <c r="K74">
        <f ca="1">IF($C74-K$1&lt;År1,0,J73*(1-VLOOKUP($A74,[1]Hugst!$R$5:$W$9,MATCH(ROUNDUP((K$1)/10,0)*10,[1]Hugst!$R$4:$W$4,0))))</f>
        <v>3256.574266115661</v>
      </c>
      <c r="L74">
        <f ca="1">IF($C74-L$1&lt;År1,0,K73*(1-VLOOKUP($A74,[1]Hugst!$R$5:$W$9,MATCH(ROUNDUP((L$1)/10,0)*10,[1]Hugst!$R$4:$W$4,0))))</f>
        <v>3261.3715841937615</v>
      </c>
      <c r="M74">
        <f ca="1">IF($C74-M$1&lt;År1,0,L73*(1-VLOOKUP($A74,[1]Hugst!$R$5:$W$9,MATCH(ROUNDUP((M$1)/10,0)*10,[1]Hugst!$R$4:$W$4,0))))</f>
        <v>3266.1930093978795</v>
      </c>
      <c r="N74">
        <f ca="1">IF($C74-N$1&lt;År1,0,M73*(1-VLOOKUP($A74,[1]Hugst!$R$5:$W$9,MATCH(ROUNDUP((N$1)/10,0)*10,[1]Hugst!$R$4:$W$4,0))))</f>
        <v>3271.0386628693586</v>
      </c>
      <c r="O74">
        <f ca="1">IF($C74-O$1&lt;År1,0,N73*(1-VLOOKUP($A74,[1]Hugst!$R$5:$W$9,MATCH(ROUNDUP((O$1)/10,0)*10,[1]Hugst!$R$4:$W$4,0))))</f>
        <v>3275.9086663582484</v>
      </c>
      <c r="P74">
        <f ca="1">IF($C74-P$1&lt;År1,0,O73*(1-VLOOKUP($A74,[1]Hugst!$R$5:$W$9,MATCH(ROUNDUP((P$1)/10,0)*10,[1]Hugst!$R$4:$W$4,0))))</f>
        <v>3275.7985272638125</v>
      </c>
      <c r="Q74">
        <f>IF($C74-Q$1&lt;År1,0,P73*(1-VLOOKUP($A74,[1]Hugst!$R$5:$W$9,MATCH(ROUNDUP((Q$1)/10,0)*10,[1]Hugst!$R$4:$W$4,0))))</f>
        <v>0</v>
      </c>
      <c r="R74">
        <f>IF($C74-R$1&lt;År1,0,Q73*(1-VLOOKUP($A74,[1]Hugst!$R$5:$W$9,MATCH(ROUNDUP((R$1)/10,0)*10,[1]Hugst!$R$4:$W$4,0))))</f>
        <v>0</v>
      </c>
      <c r="S74">
        <f>IF($C74-S$1&lt;År1,0,R73*(1-VLOOKUP($A74,[1]Hugst!$R$5:$W$9,MATCH(ROUNDUP((S$1)/10,0)*10,[1]Hugst!$R$4:$W$4,0))))</f>
        <v>0</v>
      </c>
      <c r="T74">
        <f>IF($C74-T$1&lt;År1,0,S73*(1-VLOOKUP($A74,[1]Hugst!$R$5:$W$9,MATCH(ROUNDUP((T$1)/10,0)*10,[1]Hugst!$R$4:$W$4,0))))</f>
        <v>0</v>
      </c>
      <c r="U74">
        <f>IF($C74-U$1&lt;År1,0,T73*(1-VLOOKUP($A74,[1]Hugst!$R$5:$W$9,MATCH(ROUNDUP((U$1)/10,0)*10,[1]Hugst!$R$4:$W$4,0))))</f>
        <v>0</v>
      </c>
      <c r="V74">
        <f>IF($C74-V$1&lt;År1,0,U73*(1-VLOOKUP($A74,[1]Hugst!$R$5:$W$9,MATCH(ROUNDUP((V$1)/10,0)*10,[1]Hugst!$R$4:$W$4,0))))</f>
        <v>0</v>
      </c>
      <c r="W74">
        <f>IF($C74-W$1&lt;År1,0,V73*(1-VLOOKUP($A74,[1]Hugst!$R$5:$W$9,MATCH(ROUNDUP((W$1)/10,0)*10,[1]Hugst!$R$4:$W$4,0))))</f>
        <v>0</v>
      </c>
      <c r="X74">
        <f>IF($C74-X$1&lt;År1,0,W73*(1-VLOOKUP($A74,[1]Hugst!$R$5:$W$9,MATCH(ROUNDUP((X$1)/10,0)*10,[1]Hugst!$R$4:$W$4,0))))</f>
        <v>0</v>
      </c>
      <c r="Y74">
        <f>IF($C74-Y$1&lt;År1,0,X73*(1-VLOOKUP($A74,[1]Hugst!$R$5:$W$9,MATCH(ROUNDUP((Y$1)/10,0)*10,[1]Hugst!$R$4:$W$4,0))))</f>
        <v>0</v>
      </c>
      <c r="Z74">
        <f>IF($C74-Z$1&lt;År1,0,Y73*(1-VLOOKUP($A74,[1]Hugst!$R$5:$W$9,MATCH(ROUNDUP((Z$1)/10,0)*10,[1]Hugst!$R$4:$W$4,0))))</f>
        <v>0</v>
      </c>
      <c r="AA74">
        <f>IF($C74-AA$1&lt;År1,0,Z73*(1-VLOOKUP($A74,[1]Hugst!$R$5:$W$9,MATCH(ROUNDUP((AA$1)/10,0)*10,[1]Hugst!$R$4:$W$4,0))))</f>
        <v>0</v>
      </c>
      <c r="AB74">
        <f>IF($C74-AB$1&lt;År1,0,AA73*(1-VLOOKUP($A74,[1]Hugst!$R$5:$W$9,MATCH(ROUNDUP((AB$1)/10,0)*10,[1]Hugst!$R$4:$W$4,0))))</f>
        <v>0</v>
      </c>
      <c r="AC74">
        <f>IF($C74-AC$1&lt;År1,0,AB73*(1-VLOOKUP($A74,[1]Hugst!$R$5:$W$9,MATCH(ROUNDUP((AC$1)/10,0)*10,[1]Hugst!$R$4:$W$4,0))))</f>
        <v>0</v>
      </c>
      <c r="AD74">
        <f>IF($C74-AD$1&lt;År1,0,AC73*(1-VLOOKUP($A74,[1]Hugst!$R$5:$W$9,MATCH(ROUNDUP((AD$1)/10,0)*10,[1]Hugst!$R$4:$W$4,0))))</f>
        <v>0</v>
      </c>
      <c r="AE74">
        <f>IF($C74-AE$1&lt;År1,0,AD73*(1-VLOOKUP($A74,[1]Hugst!$R$5:$W$9,MATCH(ROUNDUP((AE$1)/10,0)*10,[1]Hugst!$R$4:$W$4,0))))</f>
        <v>0</v>
      </c>
      <c r="AF74">
        <f>IF($C74-AF$1&lt;År1,0,AE73*(1-VLOOKUP($A74,[1]Hugst!$R$5:$W$9,MATCH(ROUNDUP((AF$1)/10,0)*10,[1]Hugst!$R$4:$W$4,0))))</f>
        <v>0</v>
      </c>
      <c r="AG74">
        <f>IF($C74-AG$1&lt;År1,0,AF73*(1-VLOOKUP($A74,[1]Hugst!$R$5:$W$9,MATCH(ROUNDUP((AG$1)/10,0)*10,[1]Hugst!$R$4:$W$4,0))))</f>
        <v>0</v>
      </c>
      <c r="AH74">
        <f>IF($C74-AH$1&lt;År1,0,AG73*(1-VLOOKUP($A74,[1]Hugst!$R$5:$W$9,MATCH(ROUNDUP((AH$1)/10,0)*10,[1]Hugst!$R$4:$W$4,0))))</f>
        <v>0</v>
      </c>
      <c r="AI74">
        <f>IF($C74-AI$1&lt;År1,0,AH73*(1-VLOOKUP($A74,[1]Hugst!$R$5:$W$9,MATCH(ROUNDUP((AI$1)/10,0)*10,[1]Hugst!$R$4:$W$4,0))))</f>
        <v>0</v>
      </c>
      <c r="AJ74">
        <f>IF($C74-AJ$1&lt;År1,0,AI73*(1-VLOOKUP($A74,[1]Hugst!$R$5:$W$9,MATCH(ROUNDUP((AJ$1)/10,0)*10,[1]Hugst!$R$4:$W$4,0))))</f>
        <v>0</v>
      </c>
    </row>
    <row r="75" spans="1:36" x14ac:dyDescent="0.25">
      <c r="A75" t="s">
        <v>177</v>
      </c>
      <c r="B75" t="s">
        <v>23</v>
      </c>
      <c r="C75">
        <v>2031</v>
      </c>
      <c r="D75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926.3819307427093</v>
      </c>
      <c r="E75">
        <f t="shared" ca="1" si="1"/>
        <v>9.9941296173929004</v>
      </c>
      <c r="F75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4553.6600109773863</v>
      </c>
      <c r="G75">
        <f ca="1">IF($C75-G$1&lt;År1,0,F74*(1-VLOOKUP($A75,[1]Hugst!$R$5:$W$9,MATCH(ROUNDUP((G$1)/10,0)*10,[1]Hugst!$R$4:$W$4,0))))</f>
        <v>3237.9496998617469</v>
      </c>
      <c r="H75">
        <f ca="1">IF($C75-H$1&lt;År1,0,G74*(1-VLOOKUP($A75,[1]Hugst!$R$5:$W$9,MATCH(ROUNDUP((H$1)/10,0)*10,[1]Hugst!$R$4:$W$4,0))))</f>
        <v>3237.6236633729714</v>
      </c>
      <c r="I75">
        <f ca="1">IF($C75-I$1&lt;År1,0,H74*(1-VLOOKUP($A75,[1]Hugst!$R$5:$W$9,MATCH(ROUNDUP((I$1)/10,0)*10,[1]Hugst!$R$4:$W$4,0))))</f>
        <v>3242.3257522916001</v>
      </c>
      <c r="J75">
        <f ca="1">IF($C75-J$1&lt;År1,0,I74*(1-VLOOKUP($A75,[1]Hugst!$R$5:$W$9,MATCH(ROUNDUP((J$1)/10,0)*10,[1]Hugst!$R$4:$W$4,0))))</f>
        <v>3247.0514697977023</v>
      </c>
      <c r="K75">
        <f ca="1">IF($C75-K$1&lt;År1,0,J74*(1-VLOOKUP($A75,[1]Hugst!$R$5:$W$9,MATCH(ROUNDUP((K$1)/10,0)*10,[1]Hugst!$R$4:$W$4,0))))</f>
        <v>3251.8009346279605</v>
      </c>
      <c r="L75">
        <f ca="1">IF($C75-L$1&lt;År1,0,K74*(1-VLOOKUP($A75,[1]Hugst!$R$5:$W$9,MATCH(ROUNDUP((L$1)/10,0)*10,[1]Hugst!$R$4:$W$4,0))))</f>
        <v>3256.574266115661</v>
      </c>
      <c r="M75">
        <f ca="1">IF($C75-M$1&lt;År1,0,L74*(1-VLOOKUP($A75,[1]Hugst!$R$5:$W$9,MATCH(ROUNDUP((M$1)/10,0)*10,[1]Hugst!$R$4:$W$4,0))))</f>
        <v>3261.3715841937615</v>
      </c>
      <c r="N75">
        <f ca="1">IF($C75-N$1&lt;År1,0,M74*(1-VLOOKUP($A75,[1]Hugst!$R$5:$W$9,MATCH(ROUNDUP((N$1)/10,0)*10,[1]Hugst!$R$4:$W$4,0))))</f>
        <v>3266.1930093978795</v>
      </c>
      <c r="O75">
        <f ca="1">IF($C75-O$1&lt;År1,0,N74*(1-VLOOKUP($A75,[1]Hugst!$R$5:$W$9,MATCH(ROUNDUP((O$1)/10,0)*10,[1]Hugst!$R$4:$W$4,0))))</f>
        <v>3271.0386628693586</v>
      </c>
      <c r="P75">
        <f ca="1">IF($C75-P$1&lt;År1,0,O74*(1-VLOOKUP($A75,[1]Hugst!$R$5:$W$9,MATCH(ROUNDUP((P$1)/10,0)*10,[1]Hugst!$R$4:$W$4,0))))</f>
        <v>3270.9115175451593</v>
      </c>
      <c r="Q75">
        <f ca="1">IF($C75-Q$1&lt;År1,0,P74*(1-VLOOKUP($A75,[1]Hugst!$R$5:$W$9,MATCH(ROUNDUP((Q$1)/10,0)*10,[1]Hugst!$R$4:$W$4,0))))</f>
        <v>3270.8015464595119</v>
      </c>
      <c r="R75">
        <f>IF($C75-R$1&lt;År1,0,Q74*(1-VLOOKUP($A75,[1]Hugst!$R$5:$W$9,MATCH(ROUNDUP((R$1)/10,0)*10,[1]Hugst!$R$4:$W$4,0))))</f>
        <v>0</v>
      </c>
      <c r="S75">
        <f>IF($C75-S$1&lt;År1,0,R74*(1-VLOOKUP($A75,[1]Hugst!$R$5:$W$9,MATCH(ROUNDUP((S$1)/10,0)*10,[1]Hugst!$R$4:$W$4,0))))</f>
        <v>0</v>
      </c>
      <c r="T75">
        <f>IF($C75-T$1&lt;År1,0,S74*(1-VLOOKUP($A75,[1]Hugst!$R$5:$W$9,MATCH(ROUNDUP((T$1)/10,0)*10,[1]Hugst!$R$4:$W$4,0))))</f>
        <v>0</v>
      </c>
      <c r="U75">
        <f>IF($C75-U$1&lt;År1,0,T74*(1-VLOOKUP($A75,[1]Hugst!$R$5:$W$9,MATCH(ROUNDUP((U$1)/10,0)*10,[1]Hugst!$R$4:$W$4,0))))</f>
        <v>0</v>
      </c>
      <c r="V75">
        <f>IF($C75-V$1&lt;År1,0,U74*(1-VLOOKUP($A75,[1]Hugst!$R$5:$W$9,MATCH(ROUNDUP((V$1)/10,0)*10,[1]Hugst!$R$4:$W$4,0))))</f>
        <v>0</v>
      </c>
      <c r="W75">
        <f>IF($C75-W$1&lt;År1,0,V74*(1-VLOOKUP($A75,[1]Hugst!$R$5:$W$9,MATCH(ROUNDUP((W$1)/10,0)*10,[1]Hugst!$R$4:$W$4,0))))</f>
        <v>0</v>
      </c>
      <c r="X75">
        <f>IF($C75-X$1&lt;År1,0,W74*(1-VLOOKUP($A75,[1]Hugst!$R$5:$W$9,MATCH(ROUNDUP((X$1)/10,0)*10,[1]Hugst!$R$4:$W$4,0))))</f>
        <v>0</v>
      </c>
      <c r="Y75">
        <f>IF($C75-Y$1&lt;År1,0,X74*(1-VLOOKUP($A75,[1]Hugst!$R$5:$W$9,MATCH(ROUNDUP((Y$1)/10,0)*10,[1]Hugst!$R$4:$W$4,0))))</f>
        <v>0</v>
      </c>
      <c r="Z75">
        <f>IF($C75-Z$1&lt;År1,0,Y74*(1-VLOOKUP($A75,[1]Hugst!$R$5:$W$9,MATCH(ROUNDUP((Z$1)/10,0)*10,[1]Hugst!$R$4:$W$4,0))))</f>
        <v>0</v>
      </c>
      <c r="AA75">
        <f>IF($C75-AA$1&lt;År1,0,Z74*(1-VLOOKUP($A75,[1]Hugst!$R$5:$W$9,MATCH(ROUNDUP((AA$1)/10,0)*10,[1]Hugst!$R$4:$W$4,0))))</f>
        <v>0</v>
      </c>
      <c r="AB75">
        <f>IF($C75-AB$1&lt;År1,0,AA74*(1-VLOOKUP($A75,[1]Hugst!$R$5:$W$9,MATCH(ROUNDUP((AB$1)/10,0)*10,[1]Hugst!$R$4:$W$4,0))))</f>
        <v>0</v>
      </c>
      <c r="AC75">
        <f>IF($C75-AC$1&lt;År1,0,AB74*(1-VLOOKUP($A75,[1]Hugst!$R$5:$W$9,MATCH(ROUNDUP((AC$1)/10,0)*10,[1]Hugst!$R$4:$W$4,0))))</f>
        <v>0</v>
      </c>
      <c r="AD75">
        <f>IF($C75-AD$1&lt;År1,0,AC74*(1-VLOOKUP($A75,[1]Hugst!$R$5:$W$9,MATCH(ROUNDUP((AD$1)/10,0)*10,[1]Hugst!$R$4:$W$4,0))))</f>
        <v>0</v>
      </c>
      <c r="AE75">
        <f>IF($C75-AE$1&lt;År1,0,AD74*(1-VLOOKUP($A75,[1]Hugst!$R$5:$W$9,MATCH(ROUNDUP((AE$1)/10,0)*10,[1]Hugst!$R$4:$W$4,0))))</f>
        <v>0</v>
      </c>
      <c r="AF75">
        <f>IF($C75-AF$1&lt;År1,0,AE74*(1-VLOOKUP($A75,[1]Hugst!$R$5:$W$9,MATCH(ROUNDUP((AF$1)/10,0)*10,[1]Hugst!$R$4:$W$4,0))))</f>
        <v>0</v>
      </c>
      <c r="AG75">
        <f>IF($C75-AG$1&lt;År1,0,AF74*(1-VLOOKUP($A75,[1]Hugst!$R$5:$W$9,MATCH(ROUNDUP((AG$1)/10,0)*10,[1]Hugst!$R$4:$W$4,0))))</f>
        <v>0</v>
      </c>
      <c r="AH75">
        <f>IF($C75-AH$1&lt;År1,0,AG74*(1-VLOOKUP($A75,[1]Hugst!$R$5:$W$9,MATCH(ROUNDUP((AH$1)/10,0)*10,[1]Hugst!$R$4:$W$4,0))))</f>
        <v>0</v>
      </c>
      <c r="AI75">
        <f>IF($C75-AI$1&lt;År1,0,AH74*(1-VLOOKUP($A75,[1]Hugst!$R$5:$W$9,MATCH(ROUNDUP((AI$1)/10,0)*10,[1]Hugst!$R$4:$W$4,0))))</f>
        <v>0</v>
      </c>
      <c r="AJ75">
        <f>IF($C75-AJ$1&lt;År1,0,AI74*(1-VLOOKUP($A75,[1]Hugst!$R$5:$W$9,MATCH(ROUNDUP((AJ$1)/10,0)*10,[1]Hugst!$R$4:$W$4,0))))</f>
        <v>0</v>
      </c>
    </row>
    <row r="76" spans="1:36" x14ac:dyDescent="0.25">
      <c r="A76" t="s">
        <v>177</v>
      </c>
      <c r="B76" t="s">
        <v>23</v>
      </c>
      <c r="C76">
        <v>2032</v>
      </c>
      <c r="D76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921.750021089043</v>
      </c>
      <c r="E76">
        <f t="shared" ca="1" si="1"/>
        <v>14.968604329122172</v>
      </c>
      <c r="F76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4554.0025760354492</v>
      </c>
      <c r="G76">
        <f ca="1">IF($C76-G$1&lt;År1,0,F75*(1-VLOOKUP($A76,[1]Hugst!$R$5:$W$9,MATCH(ROUNDUP((G$1)/10,0)*10,[1]Hugst!$R$4:$W$4,0))))</f>
        <v>4553.6600109773863</v>
      </c>
      <c r="H76">
        <f ca="1">IF($C76-H$1&lt;År1,0,G75*(1-VLOOKUP($A76,[1]Hugst!$R$5:$W$9,MATCH(ROUNDUP((H$1)/10,0)*10,[1]Hugst!$R$4:$W$4,0))))</f>
        <v>3237.9496998617469</v>
      </c>
      <c r="I76">
        <f ca="1">IF($C76-I$1&lt;År1,0,H75*(1-VLOOKUP($A76,[1]Hugst!$R$5:$W$9,MATCH(ROUNDUP((I$1)/10,0)*10,[1]Hugst!$R$4:$W$4,0))))</f>
        <v>3237.6236633729714</v>
      </c>
      <c r="J76">
        <f ca="1">IF($C76-J$1&lt;År1,0,I75*(1-VLOOKUP($A76,[1]Hugst!$R$5:$W$9,MATCH(ROUNDUP((J$1)/10,0)*10,[1]Hugst!$R$4:$W$4,0))))</f>
        <v>3242.3257522916001</v>
      </c>
      <c r="K76">
        <f ca="1">IF($C76-K$1&lt;År1,0,J75*(1-VLOOKUP($A76,[1]Hugst!$R$5:$W$9,MATCH(ROUNDUP((K$1)/10,0)*10,[1]Hugst!$R$4:$W$4,0))))</f>
        <v>3247.0514697977023</v>
      </c>
      <c r="L76">
        <f ca="1">IF($C76-L$1&lt;År1,0,K75*(1-VLOOKUP($A76,[1]Hugst!$R$5:$W$9,MATCH(ROUNDUP((L$1)/10,0)*10,[1]Hugst!$R$4:$W$4,0))))</f>
        <v>3251.8009346279605</v>
      </c>
      <c r="M76">
        <f ca="1">IF($C76-M$1&lt;År1,0,L75*(1-VLOOKUP($A76,[1]Hugst!$R$5:$W$9,MATCH(ROUNDUP((M$1)/10,0)*10,[1]Hugst!$R$4:$W$4,0))))</f>
        <v>3256.574266115661</v>
      </c>
      <c r="N76">
        <f ca="1">IF($C76-N$1&lt;År1,0,M75*(1-VLOOKUP($A76,[1]Hugst!$R$5:$W$9,MATCH(ROUNDUP((N$1)/10,0)*10,[1]Hugst!$R$4:$W$4,0))))</f>
        <v>3261.3715841937615</v>
      </c>
      <c r="O76">
        <f ca="1">IF($C76-O$1&lt;År1,0,N75*(1-VLOOKUP($A76,[1]Hugst!$R$5:$W$9,MATCH(ROUNDUP((O$1)/10,0)*10,[1]Hugst!$R$4:$W$4,0))))</f>
        <v>3266.1930093978795</v>
      </c>
      <c r="P76">
        <f ca="1">IF($C76-P$1&lt;År1,0,O75*(1-VLOOKUP($A76,[1]Hugst!$R$5:$W$9,MATCH(ROUNDUP((P$1)/10,0)*10,[1]Hugst!$R$4:$W$4,0))))</f>
        <v>3266.0489428751512</v>
      </c>
      <c r="Q76">
        <f ca="1">IF($C76-Q$1&lt;År1,0,P75*(1-VLOOKUP($A76,[1]Hugst!$R$5:$W$9,MATCH(ROUNDUP((Q$1)/10,0)*10,[1]Hugst!$R$4:$W$4,0))))</f>
        <v>3265.9219915014464</v>
      </c>
      <c r="R76">
        <f ca="1">IF($C76-R$1&lt;År1,0,Q75*(1-VLOOKUP($A76,[1]Hugst!$R$5:$W$9,MATCH(ROUNDUP((R$1)/10,0)*10,[1]Hugst!$R$4:$W$4,0))))</f>
        <v>3265.8121881683023</v>
      </c>
      <c r="S76">
        <f>IF($C76-S$1&lt;År1,0,R75*(1-VLOOKUP($A76,[1]Hugst!$R$5:$W$9,MATCH(ROUNDUP((S$1)/10,0)*10,[1]Hugst!$R$4:$W$4,0))))</f>
        <v>0</v>
      </c>
      <c r="T76">
        <f>IF($C76-T$1&lt;År1,0,S75*(1-VLOOKUP($A76,[1]Hugst!$R$5:$W$9,MATCH(ROUNDUP((T$1)/10,0)*10,[1]Hugst!$R$4:$W$4,0))))</f>
        <v>0</v>
      </c>
      <c r="U76">
        <f>IF($C76-U$1&lt;År1,0,T75*(1-VLOOKUP($A76,[1]Hugst!$R$5:$W$9,MATCH(ROUNDUP((U$1)/10,0)*10,[1]Hugst!$R$4:$W$4,0))))</f>
        <v>0</v>
      </c>
      <c r="V76">
        <f>IF($C76-V$1&lt;År1,0,U75*(1-VLOOKUP($A76,[1]Hugst!$R$5:$W$9,MATCH(ROUNDUP((V$1)/10,0)*10,[1]Hugst!$R$4:$W$4,0))))</f>
        <v>0</v>
      </c>
      <c r="W76">
        <f>IF($C76-W$1&lt;År1,0,V75*(1-VLOOKUP($A76,[1]Hugst!$R$5:$W$9,MATCH(ROUNDUP((W$1)/10,0)*10,[1]Hugst!$R$4:$W$4,0))))</f>
        <v>0</v>
      </c>
      <c r="X76">
        <f>IF($C76-X$1&lt;År1,0,W75*(1-VLOOKUP($A76,[1]Hugst!$R$5:$W$9,MATCH(ROUNDUP((X$1)/10,0)*10,[1]Hugst!$R$4:$W$4,0))))</f>
        <v>0</v>
      </c>
      <c r="Y76">
        <f>IF($C76-Y$1&lt;År1,0,X75*(1-VLOOKUP($A76,[1]Hugst!$R$5:$W$9,MATCH(ROUNDUP((Y$1)/10,0)*10,[1]Hugst!$R$4:$W$4,0))))</f>
        <v>0</v>
      </c>
      <c r="Z76">
        <f>IF($C76-Z$1&lt;År1,0,Y75*(1-VLOOKUP($A76,[1]Hugst!$R$5:$W$9,MATCH(ROUNDUP((Z$1)/10,0)*10,[1]Hugst!$R$4:$W$4,0))))</f>
        <v>0</v>
      </c>
      <c r="AA76">
        <f>IF($C76-AA$1&lt;År1,0,Z75*(1-VLOOKUP($A76,[1]Hugst!$R$5:$W$9,MATCH(ROUNDUP((AA$1)/10,0)*10,[1]Hugst!$R$4:$W$4,0))))</f>
        <v>0</v>
      </c>
      <c r="AB76">
        <f>IF($C76-AB$1&lt;År1,0,AA75*(1-VLOOKUP($A76,[1]Hugst!$R$5:$W$9,MATCH(ROUNDUP((AB$1)/10,0)*10,[1]Hugst!$R$4:$W$4,0))))</f>
        <v>0</v>
      </c>
      <c r="AC76">
        <f>IF($C76-AC$1&lt;År1,0,AB75*(1-VLOOKUP($A76,[1]Hugst!$R$5:$W$9,MATCH(ROUNDUP((AC$1)/10,0)*10,[1]Hugst!$R$4:$W$4,0))))</f>
        <v>0</v>
      </c>
      <c r="AD76">
        <f>IF($C76-AD$1&lt;År1,0,AC75*(1-VLOOKUP($A76,[1]Hugst!$R$5:$W$9,MATCH(ROUNDUP((AD$1)/10,0)*10,[1]Hugst!$R$4:$W$4,0))))</f>
        <v>0</v>
      </c>
      <c r="AE76">
        <f>IF($C76-AE$1&lt;År1,0,AD75*(1-VLOOKUP($A76,[1]Hugst!$R$5:$W$9,MATCH(ROUNDUP((AE$1)/10,0)*10,[1]Hugst!$R$4:$W$4,0))))</f>
        <v>0</v>
      </c>
      <c r="AF76">
        <f>IF($C76-AF$1&lt;År1,0,AE75*(1-VLOOKUP($A76,[1]Hugst!$R$5:$W$9,MATCH(ROUNDUP((AF$1)/10,0)*10,[1]Hugst!$R$4:$W$4,0))))</f>
        <v>0</v>
      </c>
      <c r="AG76">
        <f>IF($C76-AG$1&lt;År1,0,AF75*(1-VLOOKUP($A76,[1]Hugst!$R$5:$W$9,MATCH(ROUNDUP((AG$1)/10,0)*10,[1]Hugst!$R$4:$W$4,0))))</f>
        <v>0</v>
      </c>
      <c r="AH76">
        <f>IF($C76-AH$1&lt;År1,0,AG75*(1-VLOOKUP($A76,[1]Hugst!$R$5:$W$9,MATCH(ROUNDUP((AH$1)/10,0)*10,[1]Hugst!$R$4:$W$4,0))))</f>
        <v>0</v>
      </c>
      <c r="AI76">
        <f>IF($C76-AI$1&lt;År1,0,AH75*(1-VLOOKUP($A76,[1]Hugst!$R$5:$W$9,MATCH(ROUNDUP((AI$1)/10,0)*10,[1]Hugst!$R$4:$W$4,0))))</f>
        <v>0</v>
      </c>
      <c r="AJ76">
        <f>IF($C76-AJ$1&lt;År1,0,AI75*(1-VLOOKUP($A76,[1]Hugst!$R$5:$W$9,MATCH(ROUNDUP((AJ$1)/10,0)*10,[1]Hugst!$R$4:$W$4,0))))</f>
        <v>0</v>
      </c>
    </row>
    <row r="77" spans="1:36" x14ac:dyDescent="0.25">
      <c r="A77" t="s">
        <v>177</v>
      </c>
      <c r="B77" t="s">
        <v>23</v>
      </c>
      <c r="C77">
        <v>2033</v>
      </c>
      <c r="D77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917.14127098357312</v>
      </c>
      <c r="E77">
        <f t="shared" ca="1" si="1"/>
        <v>19.928099184326129</v>
      </c>
      <c r="F77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4554.3533207851833</v>
      </c>
      <c r="G77">
        <f ca="1">IF($C77-G$1&lt;År1,0,F76*(1-VLOOKUP($A77,[1]Hugst!$R$5:$W$9,MATCH(ROUNDUP((G$1)/10,0)*10,[1]Hugst!$R$4:$W$4,0))))</f>
        <v>4554.0025760354492</v>
      </c>
      <c r="H77">
        <f ca="1">IF($C77-H$1&lt;År1,0,G76*(1-VLOOKUP($A77,[1]Hugst!$R$5:$W$9,MATCH(ROUNDUP((H$1)/10,0)*10,[1]Hugst!$R$4:$W$4,0))))</f>
        <v>4553.6600109773863</v>
      </c>
      <c r="I77">
        <f ca="1">IF($C77-I$1&lt;År1,0,H76*(1-VLOOKUP($A77,[1]Hugst!$R$5:$W$9,MATCH(ROUNDUP((I$1)/10,0)*10,[1]Hugst!$R$4:$W$4,0))))</f>
        <v>3237.9496998617469</v>
      </c>
      <c r="J77">
        <f ca="1">IF($C77-J$1&lt;År1,0,I76*(1-VLOOKUP($A77,[1]Hugst!$R$5:$W$9,MATCH(ROUNDUP((J$1)/10,0)*10,[1]Hugst!$R$4:$W$4,0))))</f>
        <v>3237.6236633729714</v>
      </c>
      <c r="K77">
        <f ca="1">IF($C77-K$1&lt;År1,0,J76*(1-VLOOKUP($A77,[1]Hugst!$R$5:$W$9,MATCH(ROUNDUP((K$1)/10,0)*10,[1]Hugst!$R$4:$W$4,0))))</f>
        <v>3242.3257522916001</v>
      </c>
      <c r="L77">
        <f ca="1">IF($C77-L$1&lt;År1,0,K76*(1-VLOOKUP($A77,[1]Hugst!$R$5:$W$9,MATCH(ROUNDUP((L$1)/10,0)*10,[1]Hugst!$R$4:$W$4,0))))</f>
        <v>3247.0514697977023</v>
      </c>
      <c r="M77">
        <f ca="1">IF($C77-M$1&lt;År1,0,L76*(1-VLOOKUP($A77,[1]Hugst!$R$5:$W$9,MATCH(ROUNDUP((M$1)/10,0)*10,[1]Hugst!$R$4:$W$4,0))))</f>
        <v>3251.8009346279605</v>
      </c>
      <c r="N77">
        <f ca="1">IF($C77-N$1&lt;År1,0,M76*(1-VLOOKUP($A77,[1]Hugst!$R$5:$W$9,MATCH(ROUNDUP((N$1)/10,0)*10,[1]Hugst!$R$4:$W$4,0))))</f>
        <v>3256.574266115661</v>
      </c>
      <c r="O77">
        <f ca="1">IF($C77-O$1&lt;År1,0,N76*(1-VLOOKUP($A77,[1]Hugst!$R$5:$W$9,MATCH(ROUNDUP((O$1)/10,0)*10,[1]Hugst!$R$4:$W$4,0))))</f>
        <v>3261.3715841937615</v>
      </c>
      <c r="P77">
        <f ca="1">IF($C77-P$1&lt;År1,0,O76*(1-VLOOKUP($A77,[1]Hugst!$R$5:$W$9,MATCH(ROUNDUP((P$1)/10,0)*10,[1]Hugst!$R$4:$W$4,0))))</f>
        <v>3261.2106810784589</v>
      </c>
      <c r="Q77">
        <f ca="1">IF($C77-Q$1&lt;År1,0,P76*(1-VLOOKUP($A77,[1]Hugst!$R$5:$W$9,MATCH(ROUNDUP((Q$1)/10,0)*10,[1]Hugst!$R$4:$W$4,0))))</f>
        <v>3261.0668343182228</v>
      </c>
      <c r="R77">
        <f ca="1">IF($C77-R$1&lt;År1,0,Q76*(1-VLOOKUP($A77,[1]Hugst!$R$5:$W$9,MATCH(ROUNDUP((R$1)/10,0)*10,[1]Hugst!$R$4:$W$4,0))))</f>
        <v>3260.9400765991559</v>
      </c>
      <c r="S77">
        <f ca="1">IF($C77-S$1&lt;År1,0,R76*(1-VLOOKUP($A77,[1]Hugst!$R$5:$W$9,MATCH(ROUNDUP((S$1)/10,0)*10,[1]Hugst!$R$4:$W$4,0))))</f>
        <v>3260.8304407626219</v>
      </c>
      <c r="T77">
        <f>IF($C77-T$1&lt;År1,0,S76*(1-VLOOKUP($A77,[1]Hugst!$R$5:$W$9,MATCH(ROUNDUP((T$1)/10,0)*10,[1]Hugst!$R$4:$W$4,0))))</f>
        <v>0</v>
      </c>
      <c r="U77">
        <f>IF($C77-U$1&lt;År1,0,T76*(1-VLOOKUP($A77,[1]Hugst!$R$5:$W$9,MATCH(ROUNDUP((U$1)/10,0)*10,[1]Hugst!$R$4:$W$4,0))))</f>
        <v>0</v>
      </c>
      <c r="V77">
        <f>IF($C77-V$1&lt;År1,0,U76*(1-VLOOKUP($A77,[1]Hugst!$R$5:$W$9,MATCH(ROUNDUP((V$1)/10,0)*10,[1]Hugst!$R$4:$W$4,0))))</f>
        <v>0</v>
      </c>
      <c r="W77">
        <f>IF($C77-W$1&lt;År1,0,V76*(1-VLOOKUP($A77,[1]Hugst!$R$5:$W$9,MATCH(ROUNDUP((W$1)/10,0)*10,[1]Hugst!$R$4:$W$4,0))))</f>
        <v>0</v>
      </c>
      <c r="X77">
        <f>IF($C77-X$1&lt;År1,0,W76*(1-VLOOKUP($A77,[1]Hugst!$R$5:$W$9,MATCH(ROUNDUP((X$1)/10,0)*10,[1]Hugst!$R$4:$W$4,0))))</f>
        <v>0</v>
      </c>
      <c r="Y77">
        <f>IF($C77-Y$1&lt;År1,0,X76*(1-VLOOKUP($A77,[1]Hugst!$R$5:$W$9,MATCH(ROUNDUP((Y$1)/10,0)*10,[1]Hugst!$R$4:$W$4,0))))</f>
        <v>0</v>
      </c>
      <c r="Z77">
        <f>IF($C77-Z$1&lt;År1,0,Y76*(1-VLOOKUP($A77,[1]Hugst!$R$5:$W$9,MATCH(ROUNDUP((Z$1)/10,0)*10,[1]Hugst!$R$4:$W$4,0))))</f>
        <v>0</v>
      </c>
      <c r="AA77">
        <f>IF($C77-AA$1&lt;År1,0,Z76*(1-VLOOKUP($A77,[1]Hugst!$R$5:$W$9,MATCH(ROUNDUP((AA$1)/10,0)*10,[1]Hugst!$R$4:$W$4,0))))</f>
        <v>0</v>
      </c>
      <c r="AB77">
        <f>IF($C77-AB$1&lt;År1,0,AA76*(1-VLOOKUP($A77,[1]Hugst!$R$5:$W$9,MATCH(ROUNDUP((AB$1)/10,0)*10,[1]Hugst!$R$4:$W$4,0))))</f>
        <v>0</v>
      </c>
      <c r="AC77">
        <f>IF($C77-AC$1&lt;År1,0,AB76*(1-VLOOKUP($A77,[1]Hugst!$R$5:$W$9,MATCH(ROUNDUP((AC$1)/10,0)*10,[1]Hugst!$R$4:$W$4,0))))</f>
        <v>0</v>
      </c>
      <c r="AD77">
        <f>IF($C77-AD$1&lt;År1,0,AC76*(1-VLOOKUP($A77,[1]Hugst!$R$5:$W$9,MATCH(ROUNDUP((AD$1)/10,0)*10,[1]Hugst!$R$4:$W$4,0))))</f>
        <v>0</v>
      </c>
      <c r="AE77">
        <f>IF($C77-AE$1&lt;År1,0,AD76*(1-VLOOKUP($A77,[1]Hugst!$R$5:$W$9,MATCH(ROUNDUP((AE$1)/10,0)*10,[1]Hugst!$R$4:$W$4,0))))</f>
        <v>0</v>
      </c>
      <c r="AF77">
        <f>IF($C77-AF$1&lt;År1,0,AE76*(1-VLOOKUP($A77,[1]Hugst!$R$5:$W$9,MATCH(ROUNDUP((AF$1)/10,0)*10,[1]Hugst!$R$4:$W$4,0))))</f>
        <v>0</v>
      </c>
      <c r="AG77">
        <f>IF($C77-AG$1&lt;År1,0,AF76*(1-VLOOKUP($A77,[1]Hugst!$R$5:$W$9,MATCH(ROUNDUP((AG$1)/10,0)*10,[1]Hugst!$R$4:$W$4,0))))</f>
        <v>0</v>
      </c>
      <c r="AH77">
        <f>IF($C77-AH$1&lt;År1,0,AG76*(1-VLOOKUP($A77,[1]Hugst!$R$5:$W$9,MATCH(ROUNDUP((AH$1)/10,0)*10,[1]Hugst!$R$4:$W$4,0))))</f>
        <v>0</v>
      </c>
      <c r="AI77">
        <f>IF($C77-AI$1&lt;År1,0,AH76*(1-VLOOKUP($A77,[1]Hugst!$R$5:$W$9,MATCH(ROUNDUP((AI$1)/10,0)*10,[1]Hugst!$R$4:$W$4,0))))</f>
        <v>0</v>
      </c>
      <c r="AJ77">
        <f>IF($C77-AJ$1&lt;År1,0,AI76*(1-VLOOKUP($A77,[1]Hugst!$R$5:$W$9,MATCH(ROUNDUP((AJ$1)/10,0)*10,[1]Hugst!$R$4:$W$4,0))))</f>
        <v>0</v>
      </c>
    </row>
    <row r="78" spans="1:36" x14ac:dyDescent="0.25">
      <c r="A78" t="s">
        <v>177</v>
      </c>
      <c r="B78" t="s">
        <v>23</v>
      </c>
      <c r="C78">
        <v>2034</v>
      </c>
      <c r="D7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912.55556462866116</v>
      </c>
      <c r="E78">
        <f t="shared" ca="1" si="1"/>
        <v>24.872673991958436</v>
      </c>
      <c r="F7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4554.7121892379037</v>
      </c>
      <c r="G78">
        <f ca="1">IF($C78-G$1&lt;År1,0,F77*(1-VLOOKUP($A78,[1]Hugst!$R$5:$W$9,MATCH(ROUNDUP((G$1)/10,0)*10,[1]Hugst!$R$4:$W$4,0))))</f>
        <v>4554.3533207851833</v>
      </c>
      <c r="H78">
        <f ca="1">IF($C78-H$1&lt;År1,0,G77*(1-VLOOKUP($A78,[1]Hugst!$R$5:$W$9,MATCH(ROUNDUP((H$1)/10,0)*10,[1]Hugst!$R$4:$W$4,0))))</f>
        <v>4554.0025760354492</v>
      </c>
      <c r="I78">
        <f ca="1">IF($C78-I$1&lt;År1,0,H77*(1-VLOOKUP($A78,[1]Hugst!$R$5:$W$9,MATCH(ROUNDUP((I$1)/10,0)*10,[1]Hugst!$R$4:$W$4,0))))</f>
        <v>4553.6600109773863</v>
      </c>
      <c r="J78">
        <f ca="1">IF($C78-J$1&lt;År1,0,I77*(1-VLOOKUP($A78,[1]Hugst!$R$5:$W$9,MATCH(ROUNDUP((J$1)/10,0)*10,[1]Hugst!$R$4:$W$4,0))))</f>
        <v>3237.9496998617469</v>
      </c>
      <c r="K78">
        <f ca="1">IF($C78-K$1&lt;År1,0,J77*(1-VLOOKUP($A78,[1]Hugst!$R$5:$W$9,MATCH(ROUNDUP((K$1)/10,0)*10,[1]Hugst!$R$4:$W$4,0))))</f>
        <v>3237.6236633729714</v>
      </c>
      <c r="L78">
        <f ca="1">IF($C78-L$1&lt;År1,0,K77*(1-VLOOKUP($A78,[1]Hugst!$R$5:$W$9,MATCH(ROUNDUP((L$1)/10,0)*10,[1]Hugst!$R$4:$W$4,0))))</f>
        <v>3242.3257522916001</v>
      </c>
      <c r="M78">
        <f ca="1">IF($C78-M$1&lt;År1,0,L77*(1-VLOOKUP($A78,[1]Hugst!$R$5:$W$9,MATCH(ROUNDUP((M$1)/10,0)*10,[1]Hugst!$R$4:$W$4,0))))</f>
        <v>3247.0514697977023</v>
      </c>
      <c r="N78">
        <f ca="1">IF($C78-N$1&lt;År1,0,M77*(1-VLOOKUP($A78,[1]Hugst!$R$5:$W$9,MATCH(ROUNDUP((N$1)/10,0)*10,[1]Hugst!$R$4:$W$4,0))))</f>
        <v>3251.8009346279605</v>
      </c>
      <c r="O78">
        <f ca="1">IF($C78-O$1&lt;År1,0,N77*(1-VLOOKUP($A78,[1]Hugst!$R$5:$W$9,MATCH(ROUNDUP((O$1)/10,0)*10,[1]Hugst!$R$4:$W$4,0))))</f>
        <v>3256.574266115661</v>
      </c>
      <c r="P78">
        <f ca="1">IF($C78-P$1&lt;År1,0,O77*(1-VLOOKUP($A78,[1]Hugst!$R$5:$W$9,MATCH(ROUNDUP((P$1)/10,0)*10,[1]Hugst!$R$4:$W$4,0))))</f>
        <v>3256.3966105907539</v>
      </c>
      <c r="Q78">
        <f ca="1">IF($C78-Q$1&lt;År1,0,P77*(1-VLOOKUP($A78,[1]Hugst!$R$5:$W$9,MATCH(ROUNDUP((Q$1)/10,0)*10,[1]Hugst!$R$4:$W$4,0))))</f>
        <v>3256.2359529208816</v>
      </c>
      <c r="R78">
        <f ca="1">IF($C78-R$1&lt;År1,0,Q77*(1-VLOOKUP($A78,[1]Hugst!$R$5:$W$9,MATCH(ROUNDUP((R$1)/10,0)*10,[1]Hugst!$R$4:$W$4,0))))</f>
        <v>3256.092325587907</v>
      </c>
      <c r="S78">
        <f ca="1">IF($C78-S$1&lt;År1,0,R77*(1-VLOOKUP($A78,[1]Hugst!$R$5:$W$9,MATCH(ROUNDUP((S$1)/10,0)*10,[1]Hugst!$R$4:$W$4,0))))</f>
        <v>3255.9657612280721</v>
      </c>
      <c r="T78">
        <f ca="1">IF($C78-T$1&lt;År1,0,S77*(1-VLOOKUP($A78,[1]Hugst!$R$5:$W$9,MATCH(ROUNDUP((T$1)/10,0)*10,[1]Hugst!$R$4:$W$4,0))))</f>
        <v>3255.8562926326449</v>
      </c>
      <c r="U78">
        <f>IF($C78-U$1&lt;År1,0,T77*(1-VLOOKUP($A78,[1]Hugst!$R$5:$W$9,MATCH(ROUNDUP((U$1)/10,0)*10,[1]Hugst!$R$4:$W$4,0))))</f>
        <v>0</v>
      </c>
      <c r="V78">
        <f>IF($C78-V$1&lt;År1,0,U77*(1-VLOOKUP($A78,[1]Hugst!$R$5:$W$9,MATCH(ROUNDUP((V$1)/10,0)*10,[1]Hugst!$R$4:$W$4,0))))</f>
        <v>0</v>
      </c>
      <c r="W78">
        <f>IF($C78-W$1&lt;År1,0,V77*(1-VLOOKUP($A78,[1]Hugst!$R$5:$W$9,MATCH(ROUNDUP((W$1)/10,0)*10,[1]Hugst!$R$4:$W$4,0))))</f>
        <v>0</v>
      </c>
      <c r="X78">
        <f>IF($C78-X$1&lt;År1,0,W77*(1-VLOOKUP($A78,[1]Hugst!$R$5:$W$9,MATCH(ROUNDUP((X$1)/10,0)*10,[1]Hugst!$R$4:$W$4,0))))</f>
        <v>0</v>
      </c>
      <c r="Y78">
        <f>IF($C78-Y$1&lt;År1,0,X77*(1-VLOOKUP($A78,[1]Hugst!$R$5:$W$9,MATCH(ROUNDUP((Y$1)/10,0)*10,[1]Hugst!$R$4:$W$4,0))))</f>
        <v>0</v>
      </c>
      <c r="Z78">
        <f>IF($C78-Z$1&lt;År1,0,Y77*(1-VLOOKUP($A78,[1]Hugst!$R$5:$W$9,MATCH(ROUNDUP((Z$1)/10,0)*10,[1]Hugst!$R$4:$W$4,0))))</f>
        <v>0</v>
      </c>
      <c r="AA78">
        <f>IF($C78-AA$1&lt;År1,0,Z77*(1-VLOOKUP($A78,[1]Hugst!$R$5:$W$9,MATCH(ROUNDUP((AA$1)/10,0)*10,[1]Hugst!$R$4:$W$4,0))))</f>
        <v>0</v>
      </c>
      <c r="AB78">
        <f>IF($C78-AB$1&lt;År1,0,AA77*(1-VLOOKUP($A78,[1]Hugst!$R$5:$W$9,MATCH(ROUNDUP((AB$1)/10,0)*10,[1]Hugst!$R$4:$W$4,0))))</f>
        <v>0</v>
      </c>
      <c r="AC78">
        <f>IF($C78-AC$1&lt;År1,0,AB77*(1-VLOOKUP($A78,[1]Hugst!$R$5:$W$9,MATCH(ROUNDUP((AC$1)/10,0)*10,[1]Hugst!$R$4:$W$4,0))))</f>
        <v>0</v>
      </c>
      <c r="AD78">
        <f>IF($C78-AD$1&lt;År1,0,AC77*(1-VLOOKUP($A78,[1]Hugst!$R$5:$W$9,MATCH(ROUNDUP((AD$1)/10,0)*10,[1]Hugst!$R$4:$W$4,0))))</f>
        <v>0</v>
      </c>
      <c r="AE78">
        <f>IF($C78-AE$1&lt;År1,0,AD77*(1-VLOOKUP($A78,[1]Hugst!$R$5:$W$9,MATCH(ROUNDUP((AE$1)/10,0)*10,[1]Hugst!$R$4:$W$4,0))))</f>
        <v>0</v>
      </c>
      <c r="AF78">
        <f>IF($C78-AF$1&lt;År1,0,AE77*(1-VLOOKUP($A78,[1]Hugst!$R$5:$W$9,MATCH(ROUNDUP((AF$1)/10,0)*10,[1]Hugst!$R$4:$W$4,0))))</f>
        <v>0</v>
      </c>
      <c r="AG78">
        <f>IF($C78-AG$1&lt;År1,0,AF77*(1-VLOOKUP($A78,[1]Hugst!$R$5:$W$9,MATCH(ROUNDUP((AG$1)/10,0)*10,[1]Hugst!$R$4:$W$4,0))))</f>
        <v>0</v>
      </c>
      <c r="AH78">
        <f>IF($C78-AH$1&lt;År1,0,AG77*(1-VLOOKUP($A78,[1]Hugst!$R$5:$W$9,MATCH(ROUNDUP((AH$1)/10,0)*10,[1]Hugst!$R$4:$W$4,0))))</f>
        <v>0</v>
      </c>
      <c r="AI78">
        <f>IF($C78-AI$1&lt;År1,0,AH77*(1-VLOOKUP($A78,[1]Hugst!$R$5:$W$9,MATCH(ROUNDUP((AI$1)/10,0)*10,[1]Hugst!$R$4:$W$4,0))))</f>
        <v>0</v>
      </c>
      <c r="AJ78">
        <f>IF($C78-AJ$1&lt;År1,0,AI77*(1-VLOOKUP($A78,[1]Hugst!$R$5:$W$9,MATCH(ROUNDUP((AJ$1)/10,0)*10,[1]Hugst!$R$4:$W$4,0))))</f>
        <v>0</v>
      </c>
    </row>
    <row r="79" spans="1:36" x14ac:dyDescent="0.25">
      <c r="A79" t="s">
        <v>177</v>
      </c>
      <c r="B79" t="s">
        <v>23</v>
      </c>
      <c r="C79">
        <v>2035</v>
      </c>
      <c r="D79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907.99278680553653</v>
      </c>
      <c r="E79">
        <f t="shared" ca="1" si="1"/>
        <v>29.802388285039342</v>
      </c>
      <c r="F7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4555.0791257078599</v>
      </c>
      <c r="G79">
        <f ca="1">IF($C79-G$1&lt;År1,0,F78*(1-VLOOKUP($A79,[1]Hugst!$R$5:$W$9,MATCH(ROUNDUP((G$1)/10,0)*10,[1]Hugst!$R$4:$W$4,0))))</f>
        <v>4554.7121892379037</v>
      </c>
      <c r="H79">
        <f ca="1">IF($C79-H$1&lt;År1,0,G78*(1-VLOOKUP($A79,[1]Hugst!$R$5:$W$9,MATCH(ROUNDUP((H$1)/10,0)*10,[1]Hugst!$R$4:$W$4,0))))</f>
        <v>4554.3533207851833</v>
      </c>
      <c r="I79">
        <f ca="1">IF($C79-I$1&lt;År1,0,H78*(1-VLOOKUP($A79,[1]Hugst!$R$5:$W$9,MATCH(ROUNDUP((I$1)/10,0)*10,[1]Hugst!$R$4:$W$4,0))))</f>
        <v>4554.0025760354492</v>
      </c>
      <c r="J79">
        <f ca="1">IF($C79-J$1&lt;År1,0,I78*(1-VLOOKUP($A79,[1]Hugst!$R$5:$W$9,MATCH(ROUNDUP((J$1)/10,0)*10,[1]Hugst!$R$4:$W$4,0))))</f>
        <v>4553.6600109773863</v>
      </c>
      <c r="K79">
        <f ca="1">IF($C79-K$1&lt;År1,0,J78*(1-VLOOKUP($A79,[1]Hugst!$R$5:$W$9,MATCH(ROUNDUP((K$1)/10,0)*10,[1]Hugst!$R$4:$W$4,0))))</f>
        <v>3237.9496998617469</v>
      </c>
      <c r="L79">
        <f ca="1">IF($C79-L$1&lt;År1,0,K78*(1-VLOOKUP($A79,[1]Hugst!$R$5:$W$9,MATCH(ROUNDUP((L$1)/10,0)*10,[1]Hugst!$R$4:$W$4,0))))</f>
        <v>3237.6236633729714</v>
      </c>
      <c r="M79">
        <f ca="1">IF($C79-M$1&lt;År1,0,L78*(1-VLOOKUP($A79,[1]Hugst!$R$5:$W$9,MATCH(ROUNDUP((M$1)/10,0)*10,[1]Hugst!$R$4:$W$4,0))))</f>
        <v>3242.3257522916001</v>
      </c>
      <c r="N79">
        <f ca="1">IF($C79-N$1&lt;År1,0,M78*(1-VLOOKUP($A79,[1]Hugst!$R$5:$W$9,MATCH(ROUNDUP((N$1)/10,0)*10,[1]Hugst!$R$4:$W$4,0))))</f>
        <v>3247.0514697977023</v>
      </c>
      <c r="O79">
        <f ca="1">IF($C79-O$1&lt;År1,0,N78*(1-VLOOKUP($A79,[1]Hugst!$R$5:$W$9,MATCH(ROUNDUP((O$1)/10,0)*10,[1]Hugst!$R$4:$W$4,0))))</f>
        <v>3251.8009346279605</v>
      </c>
      <c r="P79">
        <f ca="1">IF($C79-P$1&lt;År1,0,O78*(1-VLOOKUP($A79,[1]Hugst!$R$5:$W$9,MATCH(ROUNDUP((P$1)/10,0)*10,[1]Hugst!$R$4:$W$4,0))))</f>
        <v>3251.6066104554843</v>
      </c>
      <c r="Q79">
        <f ca="1">IF($C79-Q$1&lt;År1,0,P78*(1-VLOOKUP($A79,[1]Hugst!$R$5:$W$9,MATCH(ROUNDUP((Q$1)/10,0)*10,[1]Hugst!$R$4:$W$4,0))))</f>
        <v>3251.4292259305307</v>
      </c>
      <c r="R79">
        <f ca="1">IF($C79-R$1&lt;År1,0,Q78*(1-VLOOKUP($A79,[1]Hugst!$R$5:$W$9,MATCH(ROUNDUP((R$1)/10,0)*10,[1]Hugst!$R$4:$W$4,0))))</f>
        <v>3251.2688133316801</v>
      </c>
      <c r="S79">
        <f ca="1">IF($C79-S$1&lt;År1,0,R78*(1-VLOOKUP($A79,[1]Hugst!$R$5:$W$9,MATCH(ROUNDUP((S$1)/10,0)*10,[1]Hugst!$R$4:$W$4,0))))</f>
        <v>3251.1254050912476</v>
      </c>
      <c r="T79">
        <f ca="1">IF($C79-T$1&lt;År1,0,S78*(1-VLOOKUP($A79,[1]Hugst!$R$5:$W$9,MATCH(ROUNDUP((T$1)/10,0)*10,[1]Hugst!$R$4:$W$4,0))))</f>
        <v>3250.9990337956901</v>
      </c>
      <c r="U79">
        <f ca="1">IF($C79-U$1&lt;År1,0,T78*(1-VLOOKUP($A79,[1]Hugst!$R$5:$W$9,MATCH(ROUNDUP((U$1)/10,0)*10,[1]Hugst!$R$4:$W$4,0))))</f>
        <v>3250.889732186256</v>
      </c>
      <c r="V79">
        <f>IF($C79-V$1&lt;År1,0,U78*(1-VLOOKUP($A79,[1]Hugst!$R$5:$W$9,MATCH(ROUNDUP((V$1)/10,0)*10,[1]Hugst!$R$4:$W$4,0))))</f>
        <v>0</v>
      </c>
      <c r="W79">
        <f>IF($C79-W$1&lt;År1,0,V78*(1-VLOOKUP($A79,[1]Hugst!$R$5:$W$9,MATCH(ROUNDUP((W$1)/10,0)*10,[1]Hugst!$R$4:$W$4,0))))</f>
        <v>0</v>
      </c>
      <c r="X79">
        <f>IF($C79-X$1&lt;År1,0,W78*(1-VLOOKUP($A79,[1]Hugst!$R$5:$W$9,MATCH(ROUNDUP((X$1)/10,0)*10,[1]Hugst!$R$4:$W$4,0))))</f>
        <v>0</v>
      </c>
      <c r="Y79">
        <f>IF($C79-Y$1&lt;År1,0,X78*(1-VLOOKUP($A79,[1]Hugst!$R$5:$W$9,MATCH(ROUNDUP((Y$1)/10,0)*10,[1]Hugst!$R$4:$W$4,0))))</f>
        <v>0</v>
      </c>
      <c r="Z79">
        <f>IF($C79-Z$1&lt;År1,0,Y78*(1-VLOOKUP($A79,[1]Hugst!$R$5:$W$9,MATCH(ROUNDUP((Z$1)/10,0)*10,[1]Hugst!$R$4:$W$4,0))))</f>
        <v>0</v>
      </c>
      <c r="AA79">
        <f>IF($C79-AA$1&lt;År1,0,Z78*(1-VLOOKUP($A79,[1]Hugst!$R$5:$W$9,MATCH(ROUNDUP((AA$1)/10,0)*10,[1]Hugst!$R$4:$W$4,0))))</f>
        <v>0</v>
      </c>
      <c r="AB79">
        <f>IF($C79-AB$1&lt;År1,0,AA78*(1-VLOOKUP($A79,[1]Hugst!$R$5:$W$9,MATCH(ROUNDUP((AB$1)/10,0)*10,[1]Hugst!$R$4:$W$4,0))))</f>
        <v>0</v>
      </c>
      <c r="AC79">
        <f>IF($C79-AC$1&lt;År1,0,AB78*(1-VLOOKUP($A79,[1]Hugst!$R$5:$W$9,MATCH(ROUNDUP((AC$1)/10,0)*10,[1]Hugst!$R$4:$W$4,0))))</f>
        <v>0</v>
      </c>
      <c r="AD79">
        <f>IF($C79-AD$1&lt;År1,0,AC78*(1-VLOOKUP($A79,[1]Hugst!$R$5:$W$9,MATCH(ROUNDUP((AD$1)/10,0)*10,[1]Hugst!$R$4:$W$4,0))))</f>
        <v>0</v>
      </c>
      <c r="AE79">
        <f>IF($C79-AE$1&lt;År1,0,AD78*(1-VLOOKUP($A79,[1]Hugst!$R$5:$W$9,MATCH(ROUNDUP((AE$1)/10,0)*10,[1]Hugst!$R$4:$W$4,0))))</f>
        <v>0</v>
      </c>
      <c r="AF79">
        <f>IF($C79-AF$1&lt;År1,0,AE78*(1-VLOOKUP($A79,[1]Hugst!$R$5:$W$9,MATCH(ROUNDUP((AF$1)/10,0)*10,[1]Hugst!$R$4:$W$4,0))))</f>
        <v>0</v>
      </c>
      <c r="AG79">
        <f>IF($C79-AG$1&lt;År1,0,AF78*(1-VLOOKUP($A79,[1]Hugst!$R$5:$W$9,MATCH(ROUNDUP((AG$1)/10,0)*10,[1]Hugst!$R$4:$W$4,0))))</f>
        <v>0</v>
      </c>
      <c r="AH79">
        <f>IF($C79-AH$1&lt;År1,0,AG78*(1-VLOOKUP($A79,[1]Hugst!$R$5:$W$9,MATCH(ROUNDUP((AH$1)/10,0)*10,[1]Hugst!$R$4:$W$4,0))))</f>
        <v>0</v>
      </c>
      <c r="AI79">
        <f>IF($C79-AI$1&lt;År1,0,AH78*(1-VLOOKUP($A79,[1]Hugst!$R$5:$W$9,MATCH(ROUNDUP((AI$1)/10,0)*10,[1]Hugst!$R$4:$W$4,0))))</f>
        <v>0</v>
      </c>
      <c r="AJ79">
        <f>IF($C79-AJ$1&lt;År1,0,AI78*(1-VLOOKUP($A79,[1]Hugst!$R$5:$W$9,MATCH(ROUNDUP((AJ$1)/10,0)*10,[1]Hugst!$R$4:$W$4,0))))</f>
        <v>0</v>
      </c>
    </row>
    <row r="80" spans="1:36" x14ac:dyDescent="0.25">
      <c r="A80" t="s">
        <v>177</v>
      </c>
      <c r="B80" t="s">
        <v>23</v>
      </c>
      <c r="C80">
        <v>2036</v>
      </c>
      <c r="D80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903.45282287150258</v>
      </c>
      <c r="E80">
        <f t="shared" ca="1" si="1"/>
        <v>34.717301321812556</v>
      </c>
      <c r="F80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4555.4540748105992</v>
      </c>
      <c r="G80">
        <f ca="1">IF($C80-G$1&lt;År1,0,F79*(1-VLOOKUP($A80,[1]Hugst!$R$5:$W$9,MATCH(ROUNDUP((G$1)/10,0)*10,[1]Hugst!$R$4:$W$4,0))))</f>
        <v>4555.0791257078599</v>
      </c>
      <c r="H80">
        <f ca="1">IF($C80-H$1&lt;År1,0,G79*(1-VLOOKUP($A80,[1]Hugst!$R$5:$W$9,MATCH(ROUNDUP((H$1)/10,0)*10,[1]Hugst!$R$4:$W$4,0))))</f>
        <v>4554.7121892379037</v>
      </c>
      <c r="I80">
        <f ca="1">IF($C80-I$1&lt;År1,0,H79*(1-VLOOKUP($A80,[1]Hugst!$R$5:$W$9,MATCH(ROUNDUP((I$1)/10,0)*10,[1]Hugst!$R$4:$W$4,0))))</f>
        <v>4554.3533207851833</v>
      </c>
      <c r="J80">
        <f ca="1">IF($C80-J$1&lt;År1,0,I79*(1-VLOOKUP($A80,[1]Hugst!$R$5:$W$9,MATCH(ROUNDUP((J$1)/10,0)*10,[1]Hugst!$R$4:$W$4,0))))</f>
        <v>4554.0025760354492</v>
      </c>
      <c r="K80">
        <f ca="1">IF($C80-K$1&lt;År1,0,J79*(1-VLOOKUP($A80,[1]Hugst!$R$5:$W$9,MATCH(ROUNDUP((K$1)/10,0)*10,[1]Hugst!$R$4:$W$4,0))))</f>
        <v>4553.6600109773863</v>
      </c>
      <c r="L80">
        <f ca="1">IF($C80-L$1&lt;År1,0,K79*(1-VLOOKUP($A80,[1]Hugst!$R$5:$W$9,MATCH(ROUNDUP((L$1)/10,0)*10,[1]Hugst!$R$4:$W$4,0))))</f>
        <v>3237.9496998617469</v>
      </c>
      <c r="M80">
        <f ca="1">IF($C80-M$1&lt;År1,0,L79*(1-VLOOKUP($A80,[1]Hugst!$R$5:$W$9,MATCH(ROUNDUP((M$1)/10,0)*10,[1]Hugst!$R$4:$W$4,0))))</f>
        <v>3237.6236633729714</v>
      </c>
      <c r="N80">
        <f ca="1">IF($C80-N$1&lt;År1,0,M79*(1-VLOOKUP($A80,[1]Hugst!$R$5:$W$9,MATCH(ROUNDUP((N$1)/10,0)*10,[1]Hugst!$R$4:$W$4,0))))</f>
        <v>3242.3257522916001</v>
      </c>
      <c r="O80">
        <f ca="1">IF($C80-O$1&lt;År1,0,N79*(1-VLOOKUP($A80,[1]Hugst!$R$5:$W$9,MATCH(ROUNDUP((O$1)/10,0)*10,[1]Hugst!$R$4:$W$4,0))))</f>
        <v>3247.0514697977023</v>
      </c>
      <c r="P80">
        <f ca="1">IF($C80-P$1&lt;År1,0,O79*(1-VLOOKUP($A80,[1]Hugst!$R$5:$W$9,MATCH(ROUNDUP((P$1)/10,0)*10,[1]Hugst!$R$4:$W$4,0))))</f>
        <v>3246.8405603209007</v>
      </c>
      <c r="Q80">
        <f ca="1">IF($C80-Q$1&lt;År1,0,P79*(1-VLOOKUP($A80,[1]Hugst!$R$5:$W$9,MATCH(ROUNDUP((Q$1)/10,0)*10,[1]Hugst!$R$4:$W$4,0))))</f>
        <v>3246.6465325751283</v>
      </c>
      <c r="R80">
        <f ca="1">IF($C80-R$1&lt;År1,0,Q79*(1-VLOOKUP($A80,[1]Hugst!$R$5:$W$9,MATCH(ROUNDUP((R$1)/10,0)*10,[1]Hugst!$R$4:$W$4,0))))</f>
        <v>3246.4694186367383</v>
      </c>
      <c r="S80">
        <f ca="1">IF($C80-S$1&lt;År1,0,R79*(1-VLOOKUP($A80,[1]Hugst!$R$5:$W$9,MATCH(ROUNDUP((S$1)/10,0)*10,[1]Hugst!$R$4:$W$4,0))))</f>
        <v>3246.3092507350725</v>
      </c>
      <c r="T80">
        <f ca="1">IF($C80-T$1&lt;År1,0,S79*(1-VLOOKUP($A80,[1]Hugst!$R$5:$W$9,MATCH(ROUNDUP((T$1)/10,0)*10,[1]Hugst!$R$4:$W$4,0))))</f>
        <v>3246.1660612529727</v>
      </c>
      <c r="U80">
        <f ca="1">IF($C80-U$1&lt;År1,0,T79*(1-VLOOKUP($A80,[1]Hugst!$R$5:$W$9,MATCH(ROUNDUP((U$1)/10,0)*10,[1]Hugst!$R$4:$W$4,0))))</f>
        <v>3246.0398827271883</v>
      </c>
      <c r="V80">
        <f ca="1">IF($C80-V$1&lt;År1,0,U79*(1-VLOOKUP($A80,[1]Hugst!$R$5:$W$9,MATCH(ROUNDUP((V$1)/10,0)*10,[1]Hugst!$R$4:$W$4,0))))</f>
        <v>3245.9307478490227</v>
      </c>
      <c r="W80">
        <f>IF($C80-W$1&lt;År1,0,V79*(1-VLOOKUP($A80,[1]Hugst!$R$5:$W$9,MATCH(ROUNDUP((W$1)/10,0)*10,[1]Hugst!$R$4:$W$4,0))))</f>
        <v>0</v>
      </c>
      <c r="X80">
        <f>IF($C80-X$1&lt;År1,0,W79*(1-VLOOKUP($A80,[1]Hugst!$R$5:$W$9,MATCH(ROUNDUP((X$1)/10,0)*10,[1]Hugst!$R$4:$W$4,0))))</f>
        <v>0</v>
      </c>
      <c r="Y80">
        <f>IF($C80-Y$1&lt;År1,0,X79*(1-VLOOKUP($A80,[1]Hugst!$R$5:$W$9,MATCH(ROUNDUP((Y$1)/10,0)*10,[1]Hugst!$R$4:$W$4,0))))</f>
        <v>0</v>
      </c>
      <c r="Z80">
        <f>IF($C80-Z$1&lt;År1,0,Y79*(1-VLOOKUP($A80,[1]Hugst!$R$5:$W$9,MATCH(ROUNDUP((Z$1)/10,0)*10,[1]Hugst!$R$4:$W$4,0))))</f>
        <v>0</v>
      </c>
      <c r="AA80">
        <f>IF($C80-AA$1&lt;År1,0,Z79*(1-VLOOKUP($A80,[1]Hugst!$R$5:$W$9,MATCH(ROUNDUP((AA$1)/10,0)*10,[1]Hugst!$R$4:$W$4,0))))</f>
        <v>0</v>
      </c>
      <c r="AB80">
        <f>IF($C80-AB$1&lt;År1,0,AA79*(1-VLOOKUP($A80,[1]Hugst!$R$5:$W$9,MATCH(ROUNDUP((AB$1)/10,0)*10,[1]Hugst!$R$4:$W$4,0))))</f>
        <v>0</v>
      </c>
      <c r="AC80">
        <f>IF($C80-AC$1&lt;År1,0,AB79*(1-VLOOKUP($A80,[1]Hugst!$R$5:$W$9,MATCH(ROUNDUP((AC$1)/10,0)*10,[1]Hugst!$R$4:$W$4,0))))</f>
        <v>0</v>
      </c>
      <c r="AD80">
        <f>IF($C80-AD$1&lt;År1,0,AC79*(1-VLOOKUP($A80,[1]Hugst!$R$5:$W$9,MATCH(ROUNDUP((AD$1)/10,0)*10,[1]Hugst!$R$4:$W$4,0))))</f>
        <v>0</v>
      </c>
      <c r="AE80">
        <f>IF($C80-AE$1&lt;År1,0,AD79*(1-VLOOKUP($A80,[1]Hugst!$R$5:$W$9,MATCH(ROUNDUP((AE$1)/10,0)*10,[1]Hugst!$R$4:$W$4,0))))</f>
        <v>0</v>
      </c>
      <c r="AF80">
        <f>IF($C80-AF$1&lt;År1,0,AE79*(1-VLOOKUP($A80,[1]Hugst!$R$5:$W$9,MATCH(ROUNDUP((AF$1)/10,0)*10,[1]Hugst!$R$4:$W$4,0))))</f>
        <v>0</v>
      </c>
      <c r="AG80">
        <f>IF($C80-AG$1&lt;År1,0,AF79*(1-VLOOKUP($A80,[1]Hugst!$R$5:$W$9,MATCH(ROUNDUP((AG$1)/10,0)*10,[1]Hugst!$R$4:$W$4,0))))</f>
        <v>0</v>
      </c>
      <c r="AH80">
        <f>IF($C80-AH$1&lt;År1,0,AG79*(1-VLOOKUP($A80,[1]Hugst!$R$5:$W$9,MATCH(ROUNDUP((AH$1)/10,0)*10,[1]Hugst!$R$4:$W$4,0))))</f>
        <v>0</v>
      </c>
      <c r="AI80">
        <f>IF($C80-AI$1&lt;År1,0,AH79*(1-VLOOKUP($A80,[1]Hugst!$R$5:$W$9,MATCH(ROUNDUP((AI$1)/10,0)*10,[1]Hugst!$R$4:$W$4,0))))</f>
        <v>0</v>
      </c>
      <c r="AJ80">
        <f>IF($C80-AJ$1&lt;År1,0,AI79*(1-VLOOKUP($A80,[1]Hugst!$R$5:$W$9,MATCH(ROUNDUP((AJ$1)/10,0)*10,[1]Hugst!$R$4:$W$4,0))))</f>
        <v>0</v>
      </c>
    </row>
    <row r="81" spans="1:38" x14ac:dyDescent="0.25">
      <c r="A81" t="s">
        <v>177</v>
      </c>
      <c r="B81" t="s">
        <v>23</v>
      </c>
      <c r="C81">
        <v>2037</v>
      </c>
      <c r="D81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898.93555875713901</v>
      </c>
      <c r="E81">
        <f t="shared" ca="1" si="1"/>
        <v>39.617472087316855</v>
      </c>
      <c r="F81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4555.8369814617399</v>
      </c>
      <c r="G81">
        <f ca="1">IF($C81-G$1&lt;År1,0,F80*(1-VLOOKUP($A81,[1]Hugst!$R$5:$W$9,MATCH(ROUNDUP((G$1)/10,0)*10,[1]Hugst!$R$4:$W$4,0))))</f>
        <v>4555.4540748105992</v>
      </c>
      <c r="H81">
        <f ca="1">IF($C81-H$1&lt;År1,0,G80*(1-VLOOKUP($A81,[1]Hugst!$R$5:$W$9,MATCH(ROUNDUP((H$1)/10,0)*10,[1]Hugst!$R$4:$W$4,0))))</f>
        <v>4555.0791257078599</v>
      </c>
      <c r="I81">
        <f ca="1">IF($C81-I$1&lt;År1,0,H80*(1-VLOOKUP($A81,[1]Hugst!$R$5:$W$9,MATCH(ROUNDUP((I$1)/10,0)*10,[1]Hugst!$R$4:$W$4,0))))</f>
        <v>4554.7121892379037</v>
      </c>
      <c r="J81">
        <f ca="1">IF($C81-J$1&lt;År1,0,I80*(1-VLOOKUP($A81,[1]Hugst!$R$5:$W$9,MATCH(ROUNDUP((J$1)/10,0)*10,[1]Hugst!$R$4:$W$4,0))))</f>
        <v>4554.3533207851833</v>
      </c>
      <c r="K81">
        <f ca="1">IF($C81-K$1&lt;År1,0,J80*(1-VLOOKUP($A81,[1]Hugst!$R$5:$W$9,MATCH(ROUNDUP((K$1)/10,0)*10,[1]Hugst!$R$4:$W$4,0))))</f>
        <v>4554.0025760354492</v>
      </c>
      <c r="L81">
        <f ca="1">IF($C81-L$1&lt;År1,0,K80*(1-VLOOKUP($A81,[1]Hugst!$R$5:$W$9,MATCH(ROUNDUP((L$1)/10,0)*10,[1]Hugst!$R$4:$W$4,0))))</f>
        <v>4553.6600109773863</v>
      </c>
      <c r="M81">
        <f ca="1">IF($C81-M$1&lt;År1,0,L80*(1-VLOOKUP($A81,[1]Hugst!$R$5:$W$9,MATCH(ROUNDUP((M$1)/10,0)*10,[1]Hugst!$R$4:$W$4,0))))</f>
        <v>3237.9496998617469</v>
      </c>
      <c r="N81">
        <f ca="1">IF($C81-N$1&lt;År1,0,M80*(1-VLOOKUP($A81,[1]Hugst!$R$5:$W$9,MATCH(ROUNDUP((N$1)/10,0)*10,[1]Hugst!$R$4:$W$4,0))))</f>
        <v>3237.6236633729714</v>
      </c>
      <c r="O81">
        <f ca="1">IF($C81-O$1&lt;År1,0,N80*(1-VLOOKUP($A81,[1]Hugst!$R$5:$W$9,MATCH(ROUNDUP((O$1)/10,0)*10,[1]Hugst!$R$4:$W$4,0))))</f>
        <v>3242.3257522916001</v>
      </c>
      <c r="P81">
        <f ca="1">IF($C81-P$1&lt;År1,0,O80*(1-VLOOKUP($A81,[1]Hugst!$R$5:$W$9,MATCH(ROUNDUP((P$1)/10,0)*10,[1]Hugst!$R$4:$W$4,0))))</f>
        <v>3242.098340436994</v>
      </c>
      <c r="Q81">
        <f ca="1">IF($C81-Q$1&lt;År1,0,P80*(1-VLOOKUP($A81,[1]Hugst!$R$5:$W$9,MATCH(ROUNDUP((Q$1)/10,0)*10,[1]Hugst!$R$4:$W$4,0))))</f>
        <v>3241.8877526865126</v>
      </c>
      <c r="R81">
        <f ca="1">IF($C81-R$1&lt;År1,0,Q80*(1-VLOOKUP($A81,[1]Hugst!$R$5:$W$9,MATCH(ROUNDUP((R$1)/10,0)*10,[1]Hugst!$R$4:$W$4,0))))</f>
        <v>3241.6940209152676</v>
      </c>
      <c r="S81">
        <f ca="1">IF($C81-S$1&lt;År1,0,R80*(1-VLOOKUP($A81,[1]Hugst!$R$5:$W$9,MATCH(ROUNDUP((S$1)/10,0)*10,[1]Hugst!$R$4:$W$4,0))))</f>
        <v>3241.5171771506821</v>
      </c>
      <c r="T81">
        <f ca="1">IF($C81-T$1&lt;År1,0,S80*(1-VLOOKUP($A81,[1]Hugst!$R$5:$W$9,MATCH(ROUNDUP((T$1)/10,0)*10,[1]Hugst!$R$4:$W$4,0))))</f>
        <v>3241.357253572934</v>
      </c>
      <c r="U81">
        <f ca="1">IF($C81-U$1&lt;År1,0,T80*(1-VLOOKUP($A81,[1]Hugst!$R$5:$W$9,MATCH(ROUNDUP((U$1)/10,0)*10,[1]Hugst!$R$4:$W$4,0))))</f>
        <v>3241.2142825154679</v>
      </c>
      <c r="V81">
        <f ca="1">IF($C81-V$1&lt;År1,0,U80*(1-VLOOKUP($A81,[1]Hugst!$R$5:$W$9,MATCH(ROUNDUP((V$1)/10,0)*10,[1]Hugst!$R$4:$W$4,0))))</f>
        <v>3241.0882964654011</v>
      </c>
      <c r="W81">
        <f ca="1">IF($C81-W$1&lt;År1,0,V80*(1-VLOOKUP($A81,[1]Hugst!$R$5:$W$9,MATCH(ROUNDUP((W$1)/10,0)*10,[1]Hugst!$R$4:$W$4,0))))</f>
        <v>3240.9793280641684</v>
      </c>
      <c r="X81">
        <f>IF($C81-X$1&lt;År1,0,W80*(1-VLOOKUP($A81,[1]Hugst!$R$5:$W$9,MATCH(ROUNDUP((X$1)/10,0)*10,[1]Hugst!$R$4:$W$4,0))))</f>
        <v>0</v>
      </c>
      <c r="Y81">
        <f>IF($C81-Y$1&lt;År1,0,X80*(1-VLOOKUP($A81,[1]Hugst!$R$5:$W$9,MATCH(ROUNDUP((Y$1)/10,0)*10,[1]Hugst!$R$4:$W$4,0))))</f>
        <v>0</v>
      </c>
      <c r="Z81">
        <f>IF($C81-Z$1&lt;År1,0,Y80*(1-VLOOKUP($A81,[1]Hugst!$R$5:$W$9,MATCH(ROUNDUP((Z$1)/10,0)*10,[1]Hugst!$R$4:$W$4,0))))</f>
        <v>0</v>
      </c>
      <c r="AA81">
        <f>IF($C81-AA$1&lt;År1,0,Z80*(1-VLOOKUP($A81,[1]Hugst!$R$5:$W$9,MATCH(ROUNDUP((AA$1)/10,0)*10,[1]Hugst!$R$4:$W$4,0))))</f>
        <v>0</v>
      </c>
      <c r="AB81">
        <f>IF($C81-AB$1&lt;År1,0,AA80*(1-VLOOKUP($A81,[1]Hugst!$R$5:$W$9,MATCH(ROUNDUP((AB$1)/10,0)*10,[1]Hugst!$R$4:$W$4,0))))</f>
        <v>0</v>
      </c>
      <c r="AC81">
        <f>IF($C81-AC$1&lt;År1,0,AB80*(1-VLOOKUP($A81,[1]Hugst!$R$5:$W$9,MATCH(ROUNDUP((AC$1)/10,0)*10,[1]Hugst!$R$4:$W$4,0))))</f>
        <v>0</v>
      </c>
      <c r="AD81">
        <f>IF($C81-AD$1&lt;År1,0,AC80*(1-VLOOKUP($A81,[1]Hugst!$R$5:$W$9,MATCH(ROUNDUP((AD$1)/10,0)*10,[1]Hugst!$R$4:$W$4,0))))</f>
        <v>0</v>
      </c>
      <c r="AE81">
        <f>IF($C81-AE$1&lt;År1,0,AD80*(1-VLOOKUP($A81,[1]Hugst!$R$5:$W$9,MATCH(ROUNDUP((AE$1)/10,0)*10,[1]Hugst!$R$4:$W$4,0))))</f>
        <v>0</v>
      </c>
      <c r="AF81">
        <f>IF($C81-AF$1&lt;År1,0,AE80*(1-VLOOKUP($A81,[1]Hugst!$R$5:$W$9,MATCH(ROUNDUP((AF$1)/10,0)*10,[1]Hugst!$R$4:$W$4,0))))</f>
        <v>0</v>
      </c>
      <c r="AG81">
        <f>IF($C81-AG$1&lt;År1,0,AF80*(1-VLOOKUP($A81,[1]Hugst!$R$5:$W$9,MATCH(ROUNDUP((AG$1)/10,0)*10,[1]Hugst!$R$4:$W$4,0))))</f>
        <v>0</v>
      </c>
      <c r="AH81">
        <f>IF($C81-AH$1&lt;År1,0,AG80*(1-VLOOKUP($A81,[1]Hugst!$R$5:$W$9,MATCH(ROUNDUP((AH$1)/10,0)*10,[1]Hugst!$R$4:$W$4,0))))</f>
        <v>0</v>
      </c>
      <c r="AI81">
        <f>IF($C81-AI$1&lt;År1,0,AH80*(1-VLOOKUP($A81,[1]Hugst!$R$5:$W$9,MATCH(ROUNDUP((AI$1)/10,0)*10,[1]Hugst!$R$4:$W$4,0))))</f>
        <v>0</v>
      </c>
      <c r="AJ81">
        <f>IF($C81-AJ$1&lt;År1,0,AI80*(1-VLOOKUP($A81,[1]Hugst!$R$5:$W$9,MATCH(ROUNDUP((AJ$1)/10,0)*10,[1]Hugst!$R$4:$W$4,0))))</f>
        <v>0</v>
      </c>
    </row>
    <row r="82" spans="1:38" x14ac:dyDescent="0.25">
      <c r="A82" t="s">
        <v>177</v>
      </c>
      <c r="B82" t="s">
        <v>23</v>
      </c>
      <c r="C82">
        <v>2038</v>
      </c>
      <c r="D82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894.44088096338237</v>
      </c>
      <c r="E82">
        <f t="shared" ca="1" si="1"/>
        <v>44.502959294390166</v>
      </c>
      <c r="F82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4556.2277908750566</v>
      </c>
      <c r="G82">
        <f ca="1">IF($C82-G$1&lt;År1,0,F81*(1-VLOOKUP($A82,[1]Hugst!$R$5:$W$9,MATCH(ROUNDUP((G$1)/10,0)*10,[1]Hugst!$R$4:$W$4,0))))</f>
        <v>4555.8369814617399</v>
      </c>
      <c r="H82">
        <f ca="1">IF($C82-H$1&lt;År1,0,G81*(1-VLOOKUP($A82,[1]Hugst!$R$5:$W$9,MATCH(ROUNDUP((H$1)/10,0)*10,[1]Hugst!$R$4:$W$4,0))))</f>
        <v>4555.4540748105992</v>
      </c>
      <c r="I82">
        <f ca="1">IF($C82-I$1&lt;År1,0,H81*(1-VLOOKUP($A82,[1]Hugst!$R$5:$W$9,MATCH(ROUNDUP((I$1)/10,0)*10,[1]Hugst!$R$4:$W$4,0))))</f>
        <v>4555.0791257078599</v>
      </c>
      <c r="J82">
        <f ca="1">IF($C82-J$1&lt;År1,0,I81*(1-VLOOKUP($A82,[1]Hugst!$R$5:$W$9,MATCH(ROUNDUP((J$1)/10,0)*10,[1]Hugst!$R$4:$W$4,0))))</f>
        <v>4554.7121892379037</v>
      </c>
      <c r="K82">
        <f ca="1">IF($C82-K$1&lt;År1,0,J81*(1-VLOOKUP($A82,[1]Hugst!$R$5:$W$9,MATCH(ROUNDUP((K$1)/10,0)*10,[1]Hugst!$R$4:$W$4,0))))</f>
        <v>4554.3533207851833</v>
      </c>
      <c r="L82">
        <f ca="1">IF($C82-L$1&lt;År1,0,K81*(1-VLOOKUP($A82,[1]Hugst!$R$5:$W$9,MATCH(ROUNDUP((L$1)/10,0)*10,[1]Hugst!$R$4:$W$4,0))))</f>
        <v>4554.0025760354492</v>
      </c>
      <c r="M82">
        <f ca="1">IF($C82-M$1&lt;År1,0,L81*(1-VLOOKUP($A82,[1]Hugst!$R$5:$W$9,MATCH(ROUNDUP((M$1)/10,0)*10,[1]Hugst!$R$4:$W$4,0))))</f>
        <v>4553.6600109773863</v>
      </c>
      <c r="N82">
        <f ca="1">IF($C82-N$1&lt;År1,0,M81*(1-VLOOKUP($A82,[1]Hugst!$R$5:$W$9,MATCH(ROUNDUP((N$1)/10,0)*10,[1]Hugst!$R$4:$W$4,0))))</f>
        <v>3237.9496998617469</v>
      </c>
      <c r="O82">
        <f ca="1">IF($C82-O$1&lt;År1,0,N81*(1-VLOOKUP($A82,[1]Hugst!$R$5:$W$9,MATCH(ROUNDUP((O$1)/10,0)*10,[1]Hugst!$R$4:$W$4,0))))</f>
        <v>3237.6236633729714</v>
      </c>
      <c r="P82">
        <f ca="1">IF($C82-P$1&lt;År1,0,O81*(1-VLOOKUP($A82,[1]Hugst!$R$5:$W$9,MATCH(ROUNDUP((P$1)/10,0)*10,[1]Hugst!$R$4:$W$4,0))))</f>
        <v>3237.3798316525113</v>
      </c>
      <c r="Q82">
        <f ca="1">IF($C82-Q$1&lt;År1,0,P81*(1-VLOOKUP($A82,[1]Hugst!$R$5:$W$9,MATCH(ROUNDUP((Q$1)/10,0)*10,[1]Hugst!$R$4:$W$4,0))))</f>
        <v>3237.1527666973443</v>
      </c>
      <c r="R82">
        <f ca="1">IF($C82-R$1&lt;År1,0,Q81*(1-VLOOKUP($A82,[1]Hugst!$R$5:$W$9,MATCH(ROUNDUP((R$1)/10,0)*10,[1]Hugst!$R$4:$W$4,0))))</f>
        <v>3236.9425001824143</v>
      </c>
      <c r="S82">
        <f ca="1">IF($C82-S$1&lt;År1,0,R81*(1-VLOOKUP($A82,[1]Hugst!$R$5:$W$9,MATCH(ROUNDUP((S$1)/10,0)*10,[1]Hugst!$R$4:$W$4,0))))</f>
        <v>3236.7490639342104</v>
      </c>
      <c r="T82">
        <f ca="1">IF($C82-T$1&lt;År1,0,S81*(1-VLOOKUP($A82,[1]Hugst!$R$5:$W$9,MATCH(ROUNDUP((T$1)/10,0)*10,[1]Hugst!$R$4:$W$4,0))))</f>
        <v>3236.5724899312995</v>
      </c>
      <c r="U82">
        <f ca="1">IF($C82-U$1&lt;År1,0,T81*(1-VLOOKUP($A82,[1]Hugst!$R$5:$W$9,MATCH(ROUNDUP((U$1)/10,0)*10,[1]Hugst!$R$4:$W$4,0))))</f>
        <v>3236.4128103047719</v>
      </c>
      <c r="V82">
        <f ca="1">IF($C82-V$1&lt;År1,0,U81*(1-VLOOKUP($A82,[1]Hugst!$R$5:$W$9,MATCH(ROUNDUP((V$1)/10,0)*10,[1]Hugst!$R$4:$W$4,0))))</f>
        <v>3236.2700573387492</v>
      </c>
      <c r="W82">
        <f ca="1">IF($C82-W$1&lt;År1,0,V81*(1-VLOOKUP($A82,[1]Hugst!$R$5:$W$9,MATCH(ROUNDUP((W$1)/10,0)*10,[1]Hugst!$R$4:$W$4,0))))</f>
        <v>3236.1442634707928</v>
      </c>
      <c r="X82">
        <f ca="1">IF($C82-X$1&lt;År1,0,W81*(1-VLOOKUP($A82,[1]Hugst!$R$5:$W$9,MATCH(ROUNDUP((X$1)/10,0)*10,[1]Hugst!$R$4:$W$4,0))))</f>
        <v>3236.0354612925448</v>
      </c>
      <c r="Y82">
        <f>IF($C82-Y$1&lt;År1,0,X81*(1-VLOOKUP($A82,[1]Hugst!$R$5:$W$9,MATCH(ROUNDUP((Y$1)/10,0)*10,[1]Hugst!$R$4:$W$4,0))))</f>
        <v>0</v>
      </c>
      <c r="Z82">
        <f>IF($C82-Z$1&lt;År1,0,Y81*(1-VLOOKUP($A82,[1]Hugst!$R$5:$W$9,MATCH(ROUNDUP((Z$1)/10,0)*10,[1]Hugst!$R$4:$W$4,0))))</f>
        <v>0</v>
      </c>
      <c r="AA82">
        <f>IF($C82-AA$1&lt;År1,0,Z81*(1-VLOOKUP($A82,[1]Hugst!$R$5:$W$9,MATCH(ROUNDUP((AA$1)/10,0)*10,[1]Hugst!$R$4:$W$4,0))))</f>
        <v>0</v>
      </c>
      <c r="AB82">
        <f>IF($C82-AB$1&lt;År1,0,AA81*(1-VLOOKUP($A82,[1]Hugst!$R$5:$W$9,MATCH(ROUNDUP((AB$1)/10,0)*10,[1]Hugst!$R$4:$W$4,0))))</f>
        <v>0</v>
      </c>
      <c r="AC82">
        <f>IF($C82-AC$1&lt;År1,0,AB81*(1-VLOOKUP($A82,[1]Hugst!$R$5:$W$9,MATCH(ROUNDUP((AC$1)/10,0)*10,[1]Hugst!$R$4:$W$4,0))))</f>
        <v>0</v>
      </c>
      <c r="AD82">
        <f>IF($C82-AD$1&lt;År1,0,AC81*(1-VLOOKUP($A82,[1]Hugst!$R$5:$W$9,MATCH(ROUNDUP((AD$1)/10,0)*10,[1]Hugst!$R$4:$W$4,0))))</f>
        <v>0</v>
      </c>
      <c r="AE82">
        <f>IF($C82-AE$1&lt;År1,0,AD81*(1-VLOOKUP($A82,[1]Hugst!$R$5:$W$9,MATCH(ROUNDUP((AE$1)/10,0)*10,[1]Hugst!$R$4:$W$4,0))))</f>
        <v>0</v>
      </c>
      <c r="AF82">
        <f>IF($C82-AF$1&lt;År1,0,AE81*(1-VLOOKUP($A82,[1]Hugst!$R$5:$W$9,MATCH(ROUNDUP((AF$1)/10,0)*10,[1]Hugst!$R$4:$W$4,0))))</f>
        <v>0</v>
      </c>
      <c r="AG82">
        <f>IF($C82-AG$1&lt;År1,0,AF81*(1-VLOOKUP($A82,[1]Hugst!$R$5:$W$9,MATCH(ROUNDUP((AG$1)/10,0)*10,[1]Hugst!$R$4:$W$4,0))))</f>
        <v>0</v>
      </c>
      <c r="AH82">
        <f>IF($C82-AH$1&lt;År1,0,AG81*(1-VLOOKUP($A82,[1]Hugst!$R$5:$W$9,MATCH(ROUNDUP((AH$1)/10,0)*10,[1]Hugst!$R$4:$W$4,0))))</f>
        <v>0</v>
      </c>
      <c r="AI82">
        <f>IF($C82-AI$1&lt;År1,0,AH81*(1-VLOOKUP($A82,[1]Hugst!$R$5:$W$9,MATCH(ROUNDUP((AI$1)/10,0)*10,[1]Hugst!$R$4:$W$4,0))))</f>
        <v>0</v>
      </c>
      <c r="AJ82">
        <f>IF($C82-AJ$1&lt;År1,0,AI81*(1-VLOOKUP($A82,[1]Hugst!$R$5:$W$9,MATCH(ROUNDUP((AJ$1)/10,0)*10,[1]Hugst!$R$4:$W$4,0))))</f>
        <v>0</v>
      </c>
    </row>
    <row r="83" spans="1:38" x14ac:dyDescent="0.25">
      <c r="A83" t="s">
        <v>177</v>
      </c>
      <c r="B83" t="s">
        <v>23</v>
      </c>
      <c r="C83">
        <v>2039</v>
      </c>
      <c r="D83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889.96867655851383</v>
      </c>
      <c r="E83">
        <f t="shared" ca="1" si="1"/>
        <v>49.373821385364863</v>
      </c>
      <c r="F83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4556.6264485611628</v>
      </c>
      <c r="G83">
        <f ca="1">IF($C83-G$1&lt;År1,0,F82*(1-VLOOKUP($A83,[1]Hugst!$R$5:$W$9,MATCH(ROUNDUP((G$1)/10,0)*10,[1]Hugst!$R$4:$W$4,0))))</f>
        <v>4556.2277908750566</v>
      </c>
      <c r="H83">
        <f ca="1">IF($C83-H$1&lt;År1,0,G82*(1-VLOOKUP($A83,[1]Hugst!$R$5:$W$9,MATCH(ROUNDUP((H$1)/10,0)*10,[1]Hugst!$R$4:$W$4,0))))</f>
        <v>4555.8369814617399</v>
      </c>
      <c r="I83">
        <f ca="1">IF($C83-I$1&lt;År1,0,H82*(1-VLOOKUP($A83,[1]Hugst!$R$5:$W$9,MATCH(ROUNDUP((I$1)/10,0)*10,[1]Hugst!$R$4:$W$4,0))))</f>
        <v>4555.4540748105992</v>
      </c>
      <c r="J83">
        <f ca="1">IF($C83-J$1&lt;År1,0,I82*(1-VLOOKUP($A83,[1]Hugst!$R$5:$W$9,MATCH(ROUNDUP((J$1)/10,0)*10,[1]Hugst!$R$4:$W$4,0))))</f>
        <v>4555.0791257078599</v>
      </c>
      <c r="K83">
        <f ca="1">IF($C83-K$1&lt;År1,0,J82*(1-VLOOKUP($A83,[1]Hugst!$R$5:$W$9,MATCH(ROUNDUP((K$1)/10,0)*10,[1]Hugst!$R$4:$W$4,0))))</f>
        <v>4554.7121892379037</v>
      </c>
      <c r="L83">
        <f ca="1">IF($C83-L$1&lt;År1,0,K82*(1-VLOOKUP($A83,[1]Hugst!$R$5:$W$9,MATCH(ROUNDUP((L$1)/10,0)*10,[1]Hugst!$R$4:$W$4,0))))</f>
        <v>4554.3533207851833</v>
      </c>
      <c r="M83">
        <f ca="1">IF($C83-M$1&lt;År1,0,L82*(1-VLOOKUP($A83,[1]Hugst!$R$5:$W$9,MATCH(ROUNDUP((M$1)/10,0)*10,[1]Hugst!$R$4:$W$4,0))))</f>
        <v>4554.0025760354492</v>
      </c>
      <c r="N83">
        <f ca="1">IF($C83-N$1&lt;År1,0,M82*(1-VLOOKUP($A83,[1]Hugst!$R$5:$W$9,MATCH(ROUNDUP((N$1)/10,0)*10,[1]Hugst!$R$4:$W$4,0))))</f>
        <v>4553.6600109773863</v>
      </c>
      <c r="O83">
        <f ca="1">IF($C83-O$1&lt;År1,0,N82*(1-VLOOKUP($A83,[1]Hugst!$R$5:$W$9,MATCH(ROUNDUP((O$1)/10,0)*10,[1]Hugst!$R$4:$W$4,0))))</f>
        <v>3237.9496998617469</v>
      </c>
      <c r="P83">
        <f ca="1">IF($C83-P$1&lt;År1,0,O82*(1-VLOOKUP($A83,[1]Hugst!$R$5:$W$9,MATCH(ROUNDUP((P$1)/10,0)*10,[1]Hugst!$R$4:$W$4,0))))</f>
        <v>3232.6849154118941</v>
      </c>
      <c r="Q83">
        <f ca="1">IF($C83-Q$1&lt;År1,0,P82*(1-VLOOKUP($A83,[1]Hugst!$R$5:$W$9,MATCH(ROUNDUP((Q$1)/10,0)*10,[1]Hugst!$R$4:$W$4,0))))</f>
        <v>3232.4414556381262</v>
      </c>
      <c r="R83">
        <f ca="1">IF($C83-R$1&lt;År1,0,Q82*(1-VLOOKUP($A83,[1]Hugst!$R$5:$W$9,MATCH(ROUNDUP((R$1)/10,0)*10,[1]Hugst!$R$4:$W$4,0))))</f>
        <v>3232.2147370532298</v>
      </c>
      <c r="S83">
        <f ca="1">IF($C83-S$1&lt;År1,0,R82*(1-VLOOKUP($A83,[1]Hugst!$R$5:$W$9,MATCH(ROUNDUP((S$1)/10,0)*10,[1]Hugst!$R$4:$W$4,0))))</f>
        <v>3232.0047912838309</v>
      </c>
      <c r="T83">
        <f ca="1">IF($C83-T$1&lt;År1,0,S82*(1-VLOOKUP($A83,[1]Hugst!$R$5:$W$9,MATCH(ROUNDUP((T$1)/10,0)*10,[1]Hugst!$R$4:$W$4,0))))</f>
        <v>3231.8116501078698</v>
      </c>
      <c r="U83">
        <f ca="1">IF($C83-U$1&lt;År1,0,T82*(1-VLOOKUP($A83,[1]Hugst!$R$5:$W$9,MATCH(ROUNDUP((U$1)/10,0)*10,[1]Hugst!$R$4:$W$4,0))))</f>
        <v>3231.6353454551331</v>
      </c>
      <c r="V83">
        <f ca="1">IF($C83-V$1&lt;År1,0,U82*(1-VLOOKUP($A83,[1]Hugst!$R$5:$W$9,MATCH(ROUNDUP((V$1)/10,0)*10,[1]Hugst!$R$4:$W$4,0))))</f>
        <v>3231.4759094076967</v>
      </c>
      <c r="W83">
        <f ca="1">IF($C83-W$1&lt;År1,0,V82*(1-VLOOKUP($A83,[1]Hugst!$R$5:$W$9,MATCH(ROUNDUP((W$1)/10,0)*10,[1]Hugst!$R$4:$W$4,0))))</f>
        <v>3231.3333742004356</v>
      </c>
      <c r="X83">
        <f ca="1">IF($C83-X$1&lt;År1,0,W82*(1-VLOOKUP($A83,[1]Hugst!$R$5:$W$9,MATCH(ROUNDUP((X$1)/10,0)*10,[1]Hugst!$R$4:$W$4,0))))</f>
        <v>3231.2077722214303</v>
      </c>
      <c r="Y83">
        <f ca="1">IF($C83-Y$1&lt;År1,0,X82*(1-VLOOKUP($A83,[1]Hugst!$R$5:$W$9,MATCH(ROUNDUP((Y$1)/10,0)*10,[1]Hugst!$R$4:$W$4,0))))</f>
        <v>3231.0991360126068</v>
      </c>
      <c r="Z83">
        <f>IF($C83-Z$1&lt;År1,0,Y82*(1-VLOOKUP($A83,[1]Hugst!$R$5:$W$9,MATCH(ROUNDUP((Z$1)/10,0)*10,[1]Hugst!$R$4:$W$4,0))))</f>
        <v>0</v>
      </c>
      <c r="AA83">
        <f>IF($C83-AA$1&lt;År1,0,Z82*(1-VLOOKUP($A83,[1]Hugst!$R$5:$W$9,MATCH(ROUNDUP((AA$1)/10,0)*10,[1]Hugst!$R$4:$W$4,0))))</f>
        <v>0</v>
      </c>
      <c r="AB83">
        <f>IF($C83-AB$1&lt;År1,0,AA82*(1-VLOOKUP($A83,[1]Hugst!$R$5:$W$9,MATCH(ROUNDUP((AB$1)/10,0)*10,[1]Hugst!$R$4:$W$4,0))))</f>
        <v>0</v>
      </c>
      <c r="AC83">
        <f>IF($C83-AC$1&lt;År1,0,AB82*(1-VLOOKUP($A83,[1]Hugst!$R$5:$W$9,MATCH(ROUNDUP((AC$1)/10,0)*10,[1]Hugst!$R$4:$W$4,0))))</f>
        <v>0</v>
      </c>
      <c r="AD83">
        <f>IF($C83-AD$1&lt;År1,0,AC82*(1-VLOOKUP($A83,[1]Hugst!$R$5:$W$9,MATCH(ROUNDUP((AD$1)/10,0)*10,[1]Hugst!$R$4:$W$4,0))))</f>
        <v>0</v>
      </c>
      <c r="AE83">
        <f>IF($C83-AE$1&lt;År1,0,AD82*(1-VLOOKUP($A83,[1]Hugst!$R$5:$W$9,MATCH(ROUNDUP((AE$1)/10,0)*10,[1]Hugst!$R$4:$W$4,0))))</f>
        <v>0</v>
      </c>
      <c r="AF83">
        <f>IF($C83-AF$1&lt;År1,0,AE82*(1-VLOOKUP($A83,[1]Hugst!$R$5:$W$9,MATCH(ROUNDUP((AF$1)/10,0)*10,[1]Hugst!$R$4:$W$4,0))))</f>
        <v>0</v>
      </c>
      <c r="AG83">
        <f>IF($C83-AG$1&lt;År1,0,AF82*(1-VLOOKUP($A83,[1]Hugst!$R$5:$W$9,MATCH(ROUNDUP((AG$1)/10,0)*10,[1]Hugst!$R$4:$W$4,0))))</f>
        <v>0</v>
      </c>
      <c r="AH83">
        <f>IF($C83-AH$1&lt;År1,0,AG82*(1-VLOOKUP($A83,[1]Hugst!$R$5:$W$9,MATCH(ROUNDUP((AH$1)/10,0)*10,[1]Hugst!$R$4:$W$4,0))))</f>
        <v>0</v>
      </c>
      <c r="AI83">
        <f>IF($C83-AI$1&lt;År1,0,AH82*(1-VLOOKUP($A83,[1]Hugst!$R$5:$W$9,MATCH(ROUNDUP((AI$1)/10,0)*10,[1]Hugst!$R$4:$W$4,0))))</f>
        <v>0</v>
      </c>
      <c r="AJ83">
        <f>IF($C83-AJ$1&lt;År1,0,AI82*(1-VLOOKUP($A83,[1]Hugst!$R$5:$W$9,MATCH(ROUNDUP((AJ$1)/10,0)*10,[1]Hugst!$R$4:$W$4,0))))</f>
        <v>0</v>
      </c>
    </row>
    <row r="84" spans="1:38" x14ac:dyDescent="0.25">
      <c r="A84" t="s">
        <v>177</v>
      </c>
      <c r="B84" t="s">
        <v>23</v>
      </c>
      <c r="C84">
        <v>2040</v>
      </c>
      <c r="D84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885.51883317574539</v>
      </c>
      <c r="E84">
        <f t="shared" ca="1" si="1"/>
        <v>54.922305593208876</v>
      </c>
      <c r="F84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4557.7250893862383</v>
      </c>
      <c r="G84">
        <f ca="1">IF($C84-G$1&lt;År1,0,F83*(1-VLOOKUP($A84,[1]Hugst!$R$5:$W$9,MATCH(ROUNDUP((G$1)/10,0)*10,[1]Hugst!$R$4:$W$4,0))))</f>
        <v>4556.6264485611628</v>
      </c>
      <c r="H84">
        <f ca="1">IF($C84-H$1&lt;År1,0,G83*(1-VLOOKUP($A84,[1]Hugst!$R$5:$W$9,MATCH(ROUNDUP((H$1)/10,0)*10,[1]Hugst!$R$4:$W$4,0))))</f>
        <v>4556.2277908750566</v>
      </c>
      <c r="I84">
        <f ca="1">IF($C84-I$1&lt;År1,0,H83*(1-VLOOKUP($A84,[1]Hugst!$R$5:$W$9,MATCH(ROUNDUP((I$1)/10,0)*10,[1]Hugst!$R$4:$W$4,0))))</f>
        <v>4555.8369814617399</v>
      </c>
      <c r="J84">
        <f ca="1">IF($C84-J$1&lt;År1,0,I83*(1-VLOOKUP($A84,[1]Hugst!$R$5:$W$9,MATCH(ROUNDUP((J$1)/10,0)*10,[1]Hugst!$R$4:$W$4,0))))</f>
        <v>4555.4540748105992</v>
      </c>
      <c r="K84">
        <f ca="1">IF($C84-K$1&lt;År1,0,J83*(1-VLOOKUP($A84,[1]Hugst!$R$5:$W$9,MATCH(ROUNDUP((K$1)/10,0)*10,[1]Hugst!$R$4:$W$4,0))))</f>
        <v>4555.0791257078599</v>
      </c>
      <c r="L84">
        <f ca="1">IF($C84-L$1&lt;År1,0,K83*(1-VLOOKUP($A84,[1]Hugst!$R$5:$W$9,MATCH(ROUNDUP((L$1)/10,0)*10,[1]Hugst!$R$4:$W$4,0))))</f>
        <v>4554.7121892379037</v>
      </c>
      <c r="M84">
        <f ca="1">IF($C84-M$1&lt;År1,0,L83*(1-VLOOKUP($A84,[1]Hugst!$R$5:$W$9,MATCH(ROUNDUP((M$1)/10,0)*10,[1]Hugst!$R$4:$W$4,0))))</f>
        <v>4554.3533207851833</v>
      </c>
      <c r="N84">
        <f ca="1">IF($C84-N$1&lt;År1,0,M83*(1-VLOOKUP($A84,[1]Hugst!$R$5:$W$9,MATCH(ROUNDUP((N$1)/10,0)*10,[1]Hugst!$R$4:$W$4,0))))</f>
        <v>4554.0025760354492</v>
      </c>
      <c r="O84">
        <f ca="1">IF($C84-O$1&lt;År1,0,N83*(1-VLOOKUP($A84,[1]Hugst!$R$5:$W$9,MATCH(ROUNDUP((O$1)/10,0)*10,[1]Hugst!$R$4:$W$4,0))))</f>
        <v>4553.6600109773863</v>
      </c>
      <c r="P84">
        <f ca="1">IF($C84-P$1&lt;År1,0,O83*(1-VLOOKUP($A84,[1]Hugst!$R$5:$W$9,MATCH(ROUNDUP((P$1)/10,0)*10,[1]Hugst!$R$4:$W$4,0))))</f>
        <v>3233.0104545568729</v>
      </c>
      <c r="Q84">
        <f ca="1">IF($C84-Q$1&lt;År1,0,P83*(1-VLOOKUP($A84,[1]Hugst!$R$5:$W$9,MATCH(ROUNDUP((Q$1)/10,0)*10,[1]Hugst!$R$4:$W$4,0))))</f>
        <v>3227.7537011341469</v>
      </c>
      <c r="R84">
        <f ca="1">IF($C84-R$1&lt;År1,0,Q83*(1-VLOOKUP($A84,[1]Hugst!$R$5:$W$9,MATCH(ROUNDUP((R$1)/10,0)*10,[1]Hugst!$R$4:$W$4,0))))</f>
        <v>3227.5106127396948</v>
      </c>
      <c r="S84">
        <f ca="1">IF($C84-S$1&lt;År1,0,R83*(1-VLOOKUP($A84,[1]Hugst!$R$5:$W$9,MATCH(ROUNDUP((S$1)/10,0)*10,[1]Hugst!$R$4:$W$4,0))))</f>
        <v>3227.2842399967076</v>
      </c>
      <c r="T84">
        <f ca="1">IF($C84-T$1&lt;År1,0,S83*(1-VLOOKUP($A84,[1]Hugst!$R$5:$W$9,MATCH(ROUNDUP((T$1)/10,0)*10,[1]Hugst!$R$4:$W$4,0))))</f>
        <v>3227.0746144835671</v>
      </c>
      <c r="U84">
        <f ca="1">IF($C84-U$1&lt;År1,0,T83*(1-VLOOKUP($A84,[1]Hugst!$R$5:$W$9,MATCH(ROUNDUP((U$1)/10,0)*10,[1]Hugst!$R$4:$W$4,0))))</f>
        <v>3226.881767929739</v>
      </c>
      <c r="V84">
        <f ca="1">IF($C84-V$1&lt;År1,0,U83*(1-VLOOKUP($A84,[1]Hugst!$R$5:$W$9,MATCH(ROUNDUP((V$1)/10,0)*10,[1]Hugst!$R$4:$W$4,0))))</f>
        <v>3226.7057322163032</v>
      </c>
      <c r="W84">
        <f ca="1">IF($C84-W$1&lt;År1,0,V83*(1-VLOOKUP($A84,[1]Hugst!$R$5:$W$9,MATCH(ROUNDUP((W$1)/10,0)*10,[1]Hugst!$R$4:$W$4,0))))</f>
        <v>3226.5465393763966</v>
      </c>
      <c r="X84">
        <f ca="1">IF($C84-X$1&lt;År1,0,W83*(1-VLOOKUP($A84,[1]Hugst!$R$5:$W$9,MATCH(ROUNDUP((X$1)/10,0)*10,[1]Hugst!$R$4:$W$4,0))))</f>
        <v>3226.4042215957229</v>
      </c>
      <c r="Y84">
        <f ca="1">IF($C84-Y$1&lt;År1,0,X83*(1-VLOOKUP($A84,[1]Hugst!$R$5:$W$9,MATCH(ROUNDUP((Y$1)/10,0)*10,[1]Hugst!$R$4:$W$4,0))))</f>
        <v>3226.278811212957</v>
      </c>
      <c r="Z84">
        <f ca="1">IF($C84-Z$1&lt;År1,0,Y83*(1-VLOOKUP($A84,[1]Hugst!$R$5:$W$9,MATCH(ROUNDUP((Z$1)/10,0)*10,[1]Hugst!$R$4:$W$4,0))))</f>
        <v>3225.4857858186865</v>
      </c>
      <c r="AA84">
        <f>IF($C84-AA$1&lt;År1,0,Z83*(1-VLOOKUP($A84,[1]Hugst!$R$5:$W$9,MATCH(ROUNDUP((AA$1)/10,0)*10,[1]Hugst!$R$4:$W$4,0))))</f>
        <v>0</v>
      </c>
      <c r="AB84">
        <f>IF($C84-AB$1&lt;År1,0,AA83*(1-VLOOKUP($A84,[1]Hugst!$R$5:$W$9,MATCH(ROUNDUP((AB$1)/10,0)*10,[1]Hugst!$R$4:$W$4,0))))</f>
        <v>0</v>
      </c>
      <c r="AC84">
        <f>IF($C84-AC$1&lt;År1,0,AB83*(1-VLOOKUP($A84,[1]Hugst!$R$5:$W$9,MATCH(ROUNDUP((AC$1)/10,0)*10,[1]Hugst!$R$4:$W$4,0))))</f>
        <v>0</v>
      </c>
      <c r="AD84">
        <f>IF($C84-AD$1&lt;År1,0,AC83*(1-VLOOKUP($A84,[1]Hugst!$R$5:$W$9,MATCH(ROUNDUP((AD$1)/10,0)*10,[1]Hugst!$R$4:$W$4,0))))</f>
        <v>0</v>
      </c>
      <c r="AE84">
        <f>IF($C84-AE$1&lt;År1,0,AD83*(1-VLOOKUP($A84,[1]Hugst!$R$5:$W$9,MATCH(ROUNDUP((AE$1)/10,0)*10,[1]Hugst!$R$4:$W$4,0))))</f>
        <v>0</v>
      </c>
      <c r="AF84">
        <f>IF($C84-AF$1&lt;År1,0,AE83*(1-VLOOKUP($A84,[1]Hugst!$R$5:$W$9,MATCH(ROUNDUP((AF$1)/10,0)*10,[1]Hugst!$R$4:$W$4,0))))</f>
        <v>0</v>
      </c>
      <c r="AG84">
        <f>IF($C84-AG$1&lt;År1,0,AF83*(1-VLOOKUP($A84,[1]Hugst!$R$5:$W$9,MATCH(ROUNDUP((AG$1)/10,0)*10,[1]Hugst!$R$4:$W$4,0))))</f>
        <v>0</v>
      </c>
      <c r="AH84">
        <f>IF($C84-AH$1&lt;År1,0,AG83*(1-VLOOKUP($A84,[1]Hugst!$R$5:$W$9,MATCH(ROUNDUP((AH$1)/10,0)*10,[1]Hugst!$R$4:$W$4,0))))</f>
        <v>0</v>
      </c>
      <c r="AI84">
        <f>IF($C84-AI$1&lt;År1,0,AH83*(1-VLOOKUP($A84,[1]Hugst!$R$5:$W$9,MATCH(ROUNDUP((AI$1)/10,0)*10,[1]Hugst!$R$4:$W$4,0))))</f>
        <v>0</v>
      </c>
      <c r="AJ84">
        <f>IF($C84-AJ$1&lt;År1,0,AI83*(1-VLOOKUP($A84,[1]Hugst!$R$5:$W$9,MATCH(ROUNDUP((AJ$1)/10,0)*10,[1]Hugst!$R$4:$W$4,0))))</f>
        <v>0</v>
      </c>
    </row>
    <row r="85" spans="1:38" x14ac:dyDescent="0.25">
      <c r="A85" t="s">
        <v>177</v>
      </c>
      <c r="B85" t="s">
        <v>23</v>
      </c>
      <c r="C85">
        <v>2041</v>
      </c>
      <c r="D85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881.09123900988197</v>
      </c>
      <c r="E85">
        <f t="shared" ca="1" si="1"/>
        <v>62.467131216064445</v>
      </c>
      <c r="F85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4560.8423208432305</v>
      </c>
      <c r="G85">
        <f ca="1">IF($C85-G$1&lt;År1,0,F84*(1-VLOOKUP($A85,[1]Hugst!$R$5:$W$9,MATCH(ROUNDUP((G$1)/10,0)*10,[1]Hugst!$R$4:$W$4,0))))</f>
        <v>4557.7250893862383</v>
      </c>
      <c r="H85">
        <f ca="1">IF($C85-H$1&lt;År1,0,G84*(1-VLOOKUP($A85,[1]Hugst!$R$5:$W$9,MATCH(ROUNDUP((H$1)/10,0)*10,[1]Hugst!$R$4:$W$4,0))))</f>
        <v>4556.6264485611628</v>
      </c>
      <c r="I85">
        <f ca="1">IF($C85-I$1&lt;År1,0,H84*(1-VLOOKUP($A85,[1]Hugst!$R$5:$W$9,MATCH(ROUNDUP((I$1)/10,0)*10,[1]Hugst!$R$4:$W$4,0))))</f>
        <v>4556.2277908750566</v>
      </c>
      <c r="J85">
        <f ca="1">IF($C85-J$1&lt;År1,0,I84*(1-VLOOKUP($A85,[1]Hugst!$R$5:$W$9,MATCH(ROUNDUP((J$1)/10,0)*10,[1]Hugst!$R$4:$W$4,0))))</f>
        <v>4555.8369814617399</v>
      </c>
      <c r="K85">
        <f ca="1">IF($C85-K$1&lt;År1,0,J84*(1-VLOOKUP($A85,[1]Hugst!$R$5:$W$9,MATCH(ROUNDUP((K$1)/10,0)*10,[1]Hugst!$R$4:$W$4,0))))</f>
        <v>4555.4540748105992</v>
      </c>
      <c r="L85">
        <f ca="1">IF($C85-L$1&lt;År1,0,K84*(1-VLOOKUP($A85,[1]Hugst!$R$5:$W$9,MATCH(ROUNDUP((L$1)/10,0)*10,[1]Hugst!$R$4:$W$4,0))))</f>
        <v>4555.0791257078599</v>
      </c>
      <c r="M85">
        <f ca="1">IF($C85-M$1&lt;År1,0,L84*(1-VLOOKUP($A85,[1]Hugst!$R$5:$W$9,MATCH(ROUNDUP((M$1)/10,0)*10,[1]Hugst!$R$4:$W$4,0))))</f>
        <v>4554.7121892379037</v>
      </c>
      <c r="N85">
        <f ca="1">IF($C85-N$1&lt;År1,0,M84*(1-VLOOKUP($A85,[1]Hugst!$R$5:$W$9,MATCH(ROUNDUP((N$1)/10,0)*10,[1]Hugst!$R$4:$W$4,0))))</f>
        <v>4554.3533207851833</v>
      </c>
      <c r="O85">
        <f ca="1">IF($C85-O$1&lt;År1,0,N84*(1-VLOOKUP($A85,[1]Hugst!$R$5:$W$9,MATCH(ROUNDUP((O$1)/10,0)*10,[1]Hugst!$R$4:$W$4,0))))</f>
        <v>4554.0025760354492</v>
      </c>
      <c r="P85">
        <f ca="1">IF($C85-P$1&lt;År1,0,O84*(1-VLOOKUP($A85,[1]Hugst!$R$5:$W$9,MATCH(ROUNDUP((P$1)/10,0)*10,[1]Hugst!$R$4:$W$4,0))))</f>
        <v>4546.7137499436922</v>
      </c>
      <c r="Q85">
        <f ca="1">IF($C85-Q$1&lt;År1,0,P84*(1-VLOOKUP($A85,[1]Hugst!$R$5:$W$9,MATCH(ROUNDUP((Q$1)/10,0)*10,[1]Hugst!$R$4:$W$4,0))))</f>
        <v>3228.0787436939895</v>
      </c>
      <c r="R85">
        <f ca="1">IF($C85-R$1&lt;År1,0,Q84*(1-VLOOKUP($A85,[1]Hugst!$R$5:$W$9,MATCH(ROUNDUP((R$1)/10,0)*10,[1]Hugst!$R$4:$W$4,0))))</f>
        <v>3222.830009047671</v>
      </c>
      <c r="S85">
        <f ca="1">IF($C85-S$1&lt;År1,0,R84*(1-VLOOKUP($A85,[1]Hugst!$R$5:$W$9,MATCH(ROUNDUP((S$1)/10,0)*10,[1]Hugst!$R$4:$W$4,0))))</f>
        <v>3222.587291466024</v>
      </c>
      <c r="T85">
        <f ca="1">IF($C85-T$1&lt;År1,0,S84*(1-VLOOKUP($A85,[1]Hugst!$R$5:$W$9,MATCH(ROUNDUP((T$1)/10,0)*10,[1]Hugst!$R$4:$W$4,0))))</f>
        <v>3222.3612640373904</v>
      </c>
      <c r="U85">
        <f ca="1">IF($C85-U$1&lt;År1,0,T84*(1-VLOOKUP($A85,[1]Hugst!$R$5:$W$9,MATCH(ROUNDUP((U$1)/10,0)*10,[1]Hugst!$R$4:$W$4,0))))</f>
        <v>3222.1519582919818</v>
      </c>
      <c r="V85">
        <f ca="1">IF($C85-V$1&lt;År1,0,U84*(1-VLOOKUP($A85,[1]Hugst!$R$5:$W$9,MATCH(ROUNDUP((V$1)/10,0)*10,[1]Hugst!$R$4:$W$4,0))))</f>
        <v>3221.9594059108631</v>
      </c>
      <c r="W85">
        <f ca="1">IF($C85-W$1&lt;År1,0,V84*(1-VLOOKUP($A85,[1]Hugst!$R$5:$W$9,MATCH(ROUNDUP((W$1)/10,0)*10,[1]Hugst!$R$4:$W$4,0))))</f>
        <v>3221.7836387264815</v>
      </c>
      <c r="X85">
        <f ca="1">IF($C85-X$1&lt;År1,0,W84*(1-VLOOKUP($A85,[1]Hugst!$R$5:$W$9,MATCH(ROUNDUP((X$1)/10,0)*10,[1]Hugst!$R$4:$W$4,0))))</f>
        <v>3221.6246887231105</v>
      </c>
      <c r="Y85">
        <f ca="1">IF($C85-Y$1&lt;År1,0,X84*(1-VLOOKUP($A85,[1]Hugst!$R$5:$W$9,MATCH(ROUNDUP((Y$1)/10,0)*10,[1]Hugst!$R$4:$W$4,0))))</f>
        <v>3221.4825880373564</v>
      </c>
      <c r="Z85">
        <f ca="1">IF($C85-Z$1&lt;År1,0,Y84*(1-VLOOKUP($A85,[1]Hugst!$R$5:$W$9,MATCH(ROUNDUP((Z$1)/10,0)*10,[1]Hugst!$R$4:$W$4,0))))</f>
        <v>3220.6738353121209</v>
      </c>
      <c r="AA85">
        <f ca="1">IF($C85-AA$1&lt;År1,0,Z84*(1-VLOOKUP($A85,[1]Hugst!$R$5:$W$9,MATCH(ROUNDUP((AA$1)/10,0)*10,[1]Hugst!$R$4:$W$4,0))))</f>
        <v>3219.8821876314591</v>
      </c>
      <c r="AB85">
        <f>IF($C85-AB$1&lt;År1,0,AA84*(1-VLOOKUP($A85,[1]Hugst!$R$5:$W$9,MATCH(ROUNDUP((AB$1)/10,0)*10,[1]Hugst!$R$4:$W$4,0))))</f>
        <v>0</v>
      </c>
      <c r="AC85">
        <f>IF($C85-AC$1&lt;År1,0,AB84*(1-VLOOKUP($A85,[1]Hugst!$R$5:$W$9,MATCH(ROUNDUP((AC$1)/10,0)*10,[1]Hugst!$R$4:$W$4,0))))</f>
        <v>0</v>
      </c>
      <c r="AD85">
        <f>IF($C85-AD$1&lt;År1,0,AC84*(1-VLOOKUP($A85,[1]Hugst!$R$5:$W$9,MATCH(ROUNDUP((AD$1)/10,0)*10,[1]Hugst!$R$4:$W$4,0))))</f>
        <v>0</v>
      </c>
      <c r="AE85">
        <f>IF($C85-AE$1&lt;År1,0,AD84*(1-VLOOKUP($A85,[1]Hugst!$R$5:$W$9,MATCH(ROUNDUP((AE$1)/10,0)*10,[1]Hugst!$R$4:$W$4,0))))</f>
        <v>0</v>
      </c>
      <c r="AF85">
        <f>IF($C85-AF$1&lt;År1,0,AE84*(1-VLOOKUP($A85,[1]Hugst!$R$5:$W$9,MATCH(ROUNDUP((AF$1)/10,0)*10,[1]Hugst!$R$4:$W$4,0))))</f>
        <v>0</v>
      </c>
      <c r="AG85">
        <f>IF($C85-AG$1&lt;År1,0,AF84*(1-VLOOKUP($A85,[1]Hugst!$R$5:$W$9,MATCH(ROUNDUP((AG$1)/10,0)*10,[1]Hugst!$R$4:$W$4,0))))</f>
        <v>0</v>
      </c>
      <c r="AH85">
        <f>IF($C85-AH$1&lt;År1,0,AG84*(1-VLOOKUP($A85,[1]Hugst!$R$5:$W$9,MATCH(ROUNDUP((AH$1)/10,0)*10,[1]Hugst!$R$4:$W$4,0))))</f>
        <v>0</v>
      </c>
      <c r="AI85">
        <f>IF($C85-AI$1&lt;År1,0,AH84*(1-VLOOKUP($A85,[1]Hugst!$R$5:$W$9,MATCH(ROUNDUP((AI$1)/10,0)*10,[1]Hugst!$R$4:$W$4,0))))</f>
        <v>0</v>
      </c>
      <c r="AJ85">
        <f>IF($C85-AJ$1&lt;År1,0,AI84*(1-VLOOKUP($A85,[1]Hugst!$R$5:$W$9,MATCH(ROUNDUP((AJ$1)/10,0)*10,[1]Hugst!$R$4:$W$4,0))))</f>
        <v>0</v>
      </c>
    </row>
    <row r="86" spans="1:38" x14ac:dyDescent="0.25">
      <c r="A86" t="s">
        <v>177</v>
      </c>
      <c r="B86" t="s">
        <v>23</v>
      </c>
      <c r="C86">
        <v>2042</v>
      </c>
      <c r="D86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876.68578281481678</v>
      </c>
      <c r="E86">
        <f t="shared" ca="1" si="1"/>
        <v>69.998768761943211</v>
      </c>
      <c r="F86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4563.968502194044</v>
      </c>
      <c r="G86">
        <f ca="1">IF($C86-G$1&lt;År1,0,F85*(1-VLOOKUP($A86,[1]Hugst!$R$5:$W$9,MATCH(ROUNDUP((G$1)/10,0)*10,[1]Hugst!$R$4:$W$4,0))))</f>
        <v>4560.8423208432305</v>
      </c>
      <c r="H86">
        <f ca="1">IF($C86-H$1&lt;År1,0,G85*(1-VLOOKUP($A86,[1]Hugst!$R$5:$W$9,MATCH(ROUNDUP((H$1)/10,0)*10,[1]Hugst!$R$4:$W$4,0))))</f>
        <v>4557.7250893862383</v>
      </c>
      <c r="I86">
        <f ca="1">IF($C86-I$1&lt;År1,0,H85*(1-VLOOKUP($A86,[1]Hugst!$R$5:$W$9,MATCH(ROUNDUP((I$1)/10,0)*10,[1]Hugst!$R$4:$W$4,0))))</f>
        <v>4556.6264485611628</v>
      </c>
      <c r="J86">
        <f ca="1">IF($C86-J$1&lt;År1,0,I85*(1-VLOOKUP($A86,[1]Hugst!$R$5:$W$9,MATCH(ROUNDUP((J$1)/10,0)*10,[1]Hugst!$R$4:$W$4,0))))</f>
        <v>4556.2277908750566</v>
      </c>
      <c r="K86">
        <f ca="1">IF($C86-K$1&lt;År1,0,J85*(1-VLOOKUP($A86,[1]Hugst!$R$5:$W$9,MATCH(ROUNDUP((K$1)/10,0)*10,[1]Hugst!$R$4:$W$4,0))))</f>
        <v>4555.8369814617399</v>
      </c>
      <c r="L86">
        <f ca="1">IF($C86-L$1&lt;År1,0,K85*(1-VLOOKUP($A86,[1]Hugst!$R$5:$W$9,MATCH(ROUNDUP((L$1)/10,0)*10,[1]Hugst!$R$4:$W$4,0))))</f>
        <v>4555.4540748105992</v>
      </c>
      <c r="M86">
        <f ca="1">IF($C86-M$1&lt;År1,0,L85*(1-VLOOKUP($A86,[1]Hugst!$R$5:$W$9,MATCH(ROUNDUP((M$1)/10,0)*10,[1]Hugst!$R$4:$W$4,0))))</f>
        <v>4555.0791257078599</v>
      </c>
      <c r="N86">
        <f ca="1">IF($C86-N$1&lt;År1,0,M85*(1-VLOOKUP($A86,[1]Hugst!$R$5:$W$9,MATCH(ROUNDUP((N$1)/10,0)*10,[1]Hugst!$R$4:$W$4,0))))</f>
        <v>4554.7121892379037</v>
      </c>
      <c r="O86">
        <f ca="1">IF($C86-O$1&lt;År1,0,N85*(1-VLOOKUP($A86,[1]Hugst!$R$5:$W$9,MATCH(ROUNDUP((O$1)/10,0)*10,[1]Hugst!$R$4:$W$4,0))))</f>
        <v>4554.3533207851833</v>
      </c>
      <c r="P86">
        <f ca="1">IF($C86-P$1&lt;År1,0,O85*(1-VLOOKUP($A86,[1]Hugst!$R$5:$W$9,MATCH(ROUNDUP((P$1)/10,0)*10,[1]Hugst!$R$4:$W$4,0))))</f>
        <v>4547.0557924448867</v>
      </c>
      <c r="Q86">
        <f ca="1">IF($C86-Q$1&lt;År1,0,P85*(1-VLOOKUP($A86,[1]Hugst!$R$5:$W$9,MATCH(ROUNDUP((Q$1)/10,0)*10,[1]Hugst!$R$4:$W$4,0))))</f>
        <v>4539.7780849014052</v>
      </c>
      <c r="R86">
        <f ca="1">IF($C86-R$1&lt;År1,0,Q85*(1-VLOOKUP($A86,[1]Hugst!$R$5:$W$9,MATCH(ROUNDUP((R$1)/10,0)*10,[1]Hugst!$R$4:$W$4,0))))</f>
        <v>3223.15455577988</v>
      </c>
      <c r="S86">
        <f ca="1">IF($C86-S$1&lt;År1,0,R85*(1-VLOOKUP($A86,[1]Hugst!$R$5:$W$9,MATCH(ROUNDUP((S$1)/10,0)*10,[1]Hugst!$R$4:$W$4,0))))</f>
        <v>3217.9138276779372</v>
      </c>
      <c r="T86">
        <f ca="1">IF($C86-T$1&lt;År1,0,S85*(1-VLOOKUP($A86,[1]Hugst!$R$5:$W$9,MATCH(ROUNDUP((T$1)/10,0)*10,[1]Hugst!$R$4:$W$4,0))))</f>
        <v>3217.6714803434488</v>
      </c>
      <c r="U86">
        <f ca="1">IF($C86-U$1&lt;År1,0,T85*(1-VLOOKUP($A86,[1]Hugst!$R$5:$W$9,MATCH(ROUNDUP((U$1)/10,0)*10,[1]Hugst!$R$4:$W$4,0))))</f>
        <v>3217.4457977024181</v>
      </c>
      <c r="V86">
        <f ca="1">IF($C86-V$1&lt;År1,0,U85*(1-VLOOKUP($A86,[1]Hugst!$R$5:$W$9,MATCH(ROUNDUP((V$1)/10,0)*10,[1]Hugst!$R$4:$W$4,0))))</f>
        <v>3217.23681123696</v>
      </c>
      <c r="W86">
        <f ca="1">IF($C86-W$1&lt;År1,0,V85*(1-VLOOKUP($A86,[1]Hugst!$R$5:$W$9,MATCH(ROUNDUP((W$1)/10,0)*10,[1]Hugst!$R$4:$W$4,0))))</f>
        <v>3217.0445525798127</v>
      </c>
      <c r="X86">
        <f ca="1">IF($C86-X$1&lt;År1,0,W85*(1-VLOOKUP($A86,[1]Hugst!$R$5:$W$9,MATCH(ROUNDUP((X$1)/10,0)*10,[1]Hugst!$R$4:$W$4,0))))</f>
        <v>3216.8690535148648</v>
      </c>
      <c r="Y86">
        <f ca="1">IF($C86-Y$1&lt;År1,0,X85*(1-VLOOKUP($A86,[1]Hugst!$R$5:$W$9,MATCH(ROUNDUP((Y$1)/10,0)*10,[1]Hugst!$R$4:$W$4,0))))</f>
        <v>3216.7103459776004</v>
      </c>
      <c r="Z86">
        <f ca="1">IF($C86-Z$1&lt;År1,0,Y85*(1-VLOOKUP($A86,[1]Hugst!$R$5:$W$9,MATCH(ROUNDUP((Z$1)/10,0)*10,[1]Hugst!$R$4:$W$4,0))))</f>
        <v>3215.8859445581388</v>
      </c>
      <c r="AA86">
        <f ca="1">IF($C86-AA$1&lt;År1,0,Z85*(1-VLOOKUP($A86,[1]Hugst!$R$5:$W$9,MATCH(ROUNDUP((AA$1)/10,0)*10,[1]Hugst!$R$4:$W$4,0))))</f>
        <v>3215.0785968694177</v>
      </c>
      <c r="AB86">
        <f ca="1">IF($C86-AB$1&lt;År1,0,AA85*(1-VLOOKUP($A86,[1]Hugst!$R$5:$W$9,MATCH(ROUNDUP((AB$1)/10,0)*10,[1]Hugst!$R$4:$W$4,0))))</f>
        <v>3214.2883245088788</v>
      </c>
      <c r="AC86">
        <f>IF($C86-AC$1&lt;År1,0,AB85*(1-VLOOKUP($A86,[1]Hugst!$R$5:$W$9,MATCH(ROUNDUP((AC$1)/10,0)*10,[1]Hugst!$R$4:$W$4,0))))</f>
        <v>0</v>
      </c>
      <c r="AD86">
        <f>IF($C86-AD$1&lt;År1,0,AC85*(1-VLOOKUP($A86,[1]Hugst!$R$5:$W$9,MATCH(ROUNDUP((AD$1)/10,0)*10,[1]Hugst!$R$4:$W$4,0))))</f>
        <v>0</v>
      </c>
      <c r="AE86">
        <f>IF($C86-AE$1&lt;År1,0,AD85*(1-VLOOKUP($A86,[1]Hugst!$R$5:$W$9,MATCH(ROUNDUP((AE$1)/10,0)*10,[1]Hugst!$R$4:$W$4,0))))</f>
        <v>0</v>
      </c>
      <c r="AF86">
        <f>IF($C86-AF$1&lt;År1,0,AE85*(1-VLOOKUP($A86,[1]Hugst!$R$5:$W$9,MATCH(ROUNDUP((AF$1)/10,0)*10,[1]Hugst!$R$4:$W$4,0))))</f>
        <v>0</v>
      </c>
      <c r="AG86">
        <f>IF($C86-AG$1&lt;År1,0,AF85*(1-VLOOKUP($A86,[1]Hugst!$R$5:$W$9,MATCH(ROUNDUP((AG$1)/10,0)*10,[1]Hugst!$R$4:$W$4,0))))</f>
        <v>0</v>
      </c>
      <c r="AH86">
        <f>IF($C86-AH$1&lt;År1,0,AG85*(1-VLOOKUP($A86,[1]Hugst!$R$5:$W$9,MATCH(ROUNDUP((AH$1)/10,0)*10,[1]Hugst!$R$4:$W$4,0))))</f>
        <v>0</v>
      </c>
      <c r="AI86">
        <f>IF($C86-AI$1&lt;År1,0,AH85*(1-VLOOKUP($A86,[1]Hugst!$R$5:$W$9,MATCH(ROUNDUP((AI$1)/10,0)*10,[1]Hugst!$R$4:$W$4,0))))</f>
        <v>0</v>
      </c>
      <c r="AJ86">
        <f>IF($C86-AJ$1&lt;År1,0,AI85*(1-VLOOKUP($A86,[1]Hugst!$R$5:$W$9,MATCH(ROUNDUP((AJ$1)/10,0)*10,[1]Hugst!$R$4:$W$4,0))))</f>
        <v>0</v>
      </c>
    </row>
    <row r="87" spans="1:38" x14ac:dyDescent="0.25">
      <c r="A87" t="s">
        <v>177</v>
      </c>
      <c r="B87" t="s">
        <v>23</v>
      </c>
      <c r="C87">
        <v>2043</v>
      </c>
      <c r="D87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872.30235390073358</v>
      </c>
      <c r="E87">
        <f t="shared" ca="1" si="1"/>
        <v>77.517259731277591</v>
      </c>
      <c r="F87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4567.1035642492952</v>
      </c>
      <c r="G87">
        <f ca="1">IF($C87-G$1&lt;År1,0,F86*(1-VLOOKUP($A87,[1]Hugst!$R$5:$W$9,MATCH(ROUNDUP((G$1)/10,0)*10,[1]Hugst!$R$4:$W$4,0))))</f>
        <v>4563.968502194044</v>
      </c>
      <c r="H87">
        <f ca="1">IF($C87-H$1&lt;År1,0,G86*(1-VLOOKUP($A87,[1]Hugst!$R$5:$W$9,MATCH(ROUNDUP((H$1)/10,0)*10,[1]Hugst!$R$4:$W$4,0))))</f>
        <v>4560.8423208432305</v>
      </c>
      <c r="I87">
        <f ca="1">IF($C87-I$1&lt;År1,0,H86*(1-VLOOKUP($A87,[1]Hugst!$R$5:$W$9,MATCH(ROUNDUP((I$1)/10,0)*10,[1]Hugst!$R$4:$W$4,0))))</f>
        <v>4557.7250893862383</v>
      </c>
      <c r="J87">
        <f ca="1">IF($C87-J$1&lt;År1,0,I86*(1-VLOOKUP($A87,[1]Hugst!$R$5:$W$9,MATCH(ROUNDUP((J$1)/10,0)*10,[1]Hugst!$R$4:$W$4,0))))</f>
        <v>4556.6264485611628</v>
      </c>
      <c r="K87">
        <f ca="1">IF($C87-K$1&lt;År1,0,J86*(1-VLOOKUP($A87,[1]Hugst!$R$5:$W$9,MATCH(ROUNDUP((K$1)/10,0)*10,[1]Hugst!$R$4:$W$4,0))))</f>
        <v>4556.2277908750566</v>
      </c>
      <c r="L87">
        <f ca="1">IF($C87-L$1&lt;År1,0,K86*(1-VLOOKUP($A87,[1]Hugst!$R$5:$W$9,MATCH(ROUNDUP((L$1)/10,0)*10,[1]Hugst!$R$4:$W$4,0))))</f>
        <v>4555.8369814617399</v>
      </c>
      <c r="M87">
        <f ca="1">IF($C87-M$1&lt;År1,0,L86*(1-VLOOKUP($A87,[1]Hugst!$R$5:$W$9,MATCH(ROUNDUP((M$1)/10,0)*10,[1]Hugst!$R$4:$W$4,0))))</f>
        <v>4555.4540748105992</v>
      </c>
      <c r="N87">
        <f ca="1">IF($C87-N$1&lt;År1,0,M86*(1-VLOOKUP($A87,[1]Hugst!$R$5:$W$9,MATCH(ROUNDUP((N$1)/10,0)*10,[1]Hugst!$R$4:$W$4,0))))</f>
        <v>4555.0791257078599</v>
      </c>
      <c r="O87">
        <f ca="1">IF($C87-O$1&lt;År1,0,N86*(1-VLOOKUP($A87,[1]Hugst!$R$5:$W$9,MATCH(ROUNDUP((O$1)/10,0)*10,[1]Hugst!$R$4:$W$4,0))))</f>
        <v>4554.7121892379037</v>
      </c>
      <c r="P87">
        <f ca="1">IF($C87-P$1&lt;År1,0,O86*(1-VLOOKUP($A87,[1]Hugst!$R$5:$W$9,MATCH(ROUNDUP((P$1)/10,0)*10,[1]Hugst!$R$4:$W$4,0))))</f>
        <v>4547.4060021602563</v>
      </c>
      <c r="Q87">
        <f ca="1">IF($C87-Q$1&lt;År1,0,P86*(1-VLOOKUP($A87,[1]Hugst!$R$5:$W$9,MATCH(ROUNDUP((Q$1)/10,0)*10,[1]Hugst!$R$4:$W$4,0))))</f>
        <v>4540.1196056428516</v>
      </c>
      <c r="R87">
        <f ca="1">IF($C87-R$1&lt;År1,0,Q86*(1-VLOOKUP($A87,[1]Hugst!$R$5:$W$9,MATCH(ROUNDUP((R$1)/10,0)*10,[1]Hugst!$R$4:$W$4,0))))</f>
        <v>4532.8529996871484</v>
      </c>
      <c r="S87">
        <f ca="1">IF($C87-S$1&lt;År1,0,R86*(1-VLOOKUP($A87,[1]Hugst!$R$5:$W$9,MATCH(ROUNDUP((S$1)/10,0)*10,[1]Hugst!$R$4:$W$4,0))))</f>
        <v>3218.2378793388598</v>
      </c>
      <c r="T87">
        <f ca="1">IF($C87-T$1&lt;År1,0,S86*(1-VLOOKUP($A87,[1]Hugst!$R$5:$W$9,MATCH(ROUNDUP((T$1)/10,0)*10,[1]Hugst!$R$4:$W$4,0))))</f>
        <v>3213.00514556792</v>
      </c>
      <c r="U87">
        <f ca="1">IF($C87-U$1&lt;År1,0,T86*(1-VLOOKUP($A87,[1]Hugst!$R$5:$W$9,MATCH(ROUNDUP((U$1)/10,0)*10,[1]Hugst!$R$4:$W$4,0))))</f>
        <v>3212.7631679158062</v>
      </c>
      <c r="V87">
        <f ca="1">IF($C87-V$1&lt;År1,0,U86*(1-VLOOKUP($A87,[1]Hugst!$R$5:$W$9,MATCH(ROUNDUP((V$1)/10,0)*10,[1]Hugst!$R$4:$W$4,0))))</f>
        <v>3212.5378295364312</v>
      </c>
      <c r="W87">
        <f ca="1">IF($C87-W$1&lt;År1,0,V86*(1-VLOOKUP($A87,[1]Hugst!$R$5:$W$9,MATCH(ROUNDUP((W$1)/10,0)*10,[1]Hugst!$R$4:$W$4,0))))</f>
        <v>3212.3291618638864</v>
      </c>
      <c r="X87">
        <f ca="1">IF($C87-X$1&lt;År1,0,W86*(1-VLOOKUP($A87,[1]Hugst!$R$5:$W$9,MATCH(ROUNDUP((X$1)/10,0)*10,[1]Hugst!$R$4:$W$4,0))))</f>
        <v>3212.1371964826571</v>
      </c>
      <c r="Y87">
        <f ca="1">IF($C87-Y$1&lt;År1,0,X86*(1-VLOOKUP($A87,[1]Hugst!$R$5:$W$9,MATCH(ROUNDUP((Y$1)/10,0)*10,[1]Hugst!$R$4:$W$4,0))))</f>
        <v>3211.9619651281473</v>
      </c>
      <c r="Z87">
        <f ca="1">IF($C87-Z$1&lt;År1,0,Y86*(1-VLOOKUP($A87,[1]Hugst!$R$5:$W$9,MATCH(ROUNDUP((Z$1)/10,0)*10,[1]Hugst!$R$4:$W$4,0))))</f>
        <v>3211.1219932578933</v>
      </c>
      <c r="AA87">
        <f ca="1">IF($C87-AA$1&lt;År1,0,Z86*(1-VLOOKUP($A87,[1]Hugst!$R$5:$W$9,MATCH(ROUNDUP((AA$1)/10,0)*10,[1]Hugst!$R$4:$W$4,0))))</f>
        <v>3210.2990240612367</v>
      </c>
      <c r="AB87">
        <f ca="1">IF($C87-AB$1&lt;År1,0,AA86*(1-VLOOKUP($A87,[1]Hugst!$R$5:$W$9,MATCH(ROUNDUP((AB$1)/10,0)*10,[1]Hugst!$R$4:$W$4,0))))</f>
        <v>3209.4930789680766</v>
      </c>
      <c r="AC87">
        <f ca="1">IF($C87-AC$1&lt;År1,0,AB86*(1-VLOOKUP($A87,[1]Hugst!$R$5:$W$9,MATCH(ROUNDUP((AC$1)/10,0)*10,[1]Hugst!$R$4:$W$4,0))))</f>
        <v>3208.7041795383334</v>
      </c>
      <c r="AD87">
        <f>IF($C87-AD$1&lt;År1,0,AC86*(1-VLOOKUP($A87,[1]Hugst!$R$5:$W$9,MATCH(ROUNDUP((AD$1)/10,0)*10,[1]Hugst!$R$4:$W$4,0))))</f>
        <v>0</v>
      </c>
      <c r="AE87">
        <f>IF($C87-AE$1&lt;År1,0,AD86*(1-VLOOKUP($A87,[1]Hugst!$R$5:$W$9,MATCH(ROUNDUP((AE$1)/10,0)*10,[1]Hugst!$R$4:$W$4,0))))</f>
        <v>0</v>
      </c>
      <c r="AF87">
        <f>IF($C87-AF$1&lt;År1,0,AE86*(1-VLOOKUP($A87,[1]Hugst!$R$5:$W$9,MATCH(ROUNDUP((AF$1)/10,0)*10,[1]Hugst!$R$4:$W$4,0))))</f>
        <v>0</v>
      </c>
      <c r="AG87">
        <f>IF($C87-AG$1&lt;År1,0,AF86*(1-VLOOKUP($A87,[1]Hugst!$R$5:$W$9,MATCH(ROUNDUP((AG$1)/10,0)*10,[1]Hugst!$R$4:$W$4,0))))</f>
        <v>0</v>
      </c>
      <c r="AH87">
        <f>IF($C87-AH$1&lt;År1,0,AG86*(1-VLOOKUP($A87,[1]Hugst!$R$5:$W$9,MATCH(ROUNDUP((AH$1)/10,0)*10,[1]Hugst!$R$4:$W$4,0))))</f>
        <v>0</v>
      </c>
      <c r="AI87">
        <f>IF($C87-AI$1&lt;År1,0,AH86*(1-VLOOKUP($A87,[1]Hugst!$R$5:$W$9,MATCH(ROUNDUP((AI$1)/10,0)*10,[1]Hugst!$R$4:$W$4,0))))</f>
        <v>0</v>
      </c>
      <c r="AJ87">
        <f>IF($C87-AJ$1&lt;År1,0,AI86*(1-VLOOKUP($A87,[1]Hugst!$R$5:$W$9,MATCH(ROUNDUP((AJ$1)/10,0)*10,[1]Hugst!$R$4:$W$4,0))))</f>
        <v>0</v>
      </c>
    </row>
    <row r="88" spans="1:38" x14ac:dyDescent="0.25">
      <c r="A88" t="s">
        <v>177</v>
      </c>
      <c r="B88" t="s">
        <v>23</v>
      </c>
      <c r="C88">
        <v>2044</v>
      </c>
      <c r="D8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867.94084213123642</v>
      </c>
      <c r="E88">
        <f t="shared" ca="1" si="1"/>
        <v>85.022645435048616</v>
      </c>
      <c r="F8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4570.2474381835691</v>
      </c>
      <c r="G88">
        <f ca="1">IF($C88-G$1&lt;År1,0,F87*(1-VLOOKUP($A88,[1]Hugst!$R$5:$W$9,MATCH(ROUNDUP((G$1)/10,0)*10,[1]Hugst!$R$4:$W$4,0))))</f>
        <v>4567.1035642492952</v>
      </c>
      <c r="H88">
        <f ca="1">IF($C88-H$1&lt;År1,0,G87*(1-VLOOKUP($A88,[1]Hugst!$R$5:$W$9,MATCH(ROUNDUP((H$1)/10,0)*10,[1]Hugst!$R$4:$W$4,0))))</f>
        <v>4563.968502194044</v>
      </c>
      <c r="I88">
        <f ca="1">IF($C88-I$1&lt;År1,0,H87*(1-VLOOKUP($A88,[1]Hugst!$R$5:$W$9,MATCH(ROUNDUP((I$1)/10,0)*10,[1]Hugst!$R$4:$W$4,0))))</f>
        <v>4560.8423208432305</v>
      </c>
      <c r="J88">
        <f ca="1">IF($C88-J$1&lt;År1,0,I87*(1-VLOOKUP($A88,[1]Hugst!$R$5:$W$9,MATCH(ROUNDUP((J$1)/10,0)*10,[1]Hugst!$R$4:$W$4,0))))</f>
        <v>4557.7250893862383</v>
      </c>
      <c r="K88">
        <f ca="1">IF($C88-K$1&lt;År1,0,J87*(1-VLOOKUP($A88,[1]Hugst!$R$5:$W$9,MATCH(ROUNDUP((K$1)/10,0)*10,[1]Hugst!$R$4:$W$4,0))))</f>
        <v>4556.6264485611628</v>
      </c>
      <c r="L88">
        <f ca="1">IF($C88-L$1&lt;År1,0,K87*(1-VLOOKUP($A88,[1]Hugst!$R$5:$W$9,MATCH(ROUNDUP((L$1)/10,0)*10,[1]Hugst!$R$4:$W$4,0))))</f>
        <v>4556.2277908750566</v>
      </c>
      <c r="M88">
        <f ca="1">IF($C88-M$1&lt;År1,0,L87*(1-VLOOKUP($A88,[1]Hugst!$R$5:$W$9,MATCH(ROUNDUP((M$1)/10,0)*10,[1]Hugst!$R$4:$W$4,0))))</f>
        <v>4555.8369814617399</v>
      </c>
      <c r="N88">
        <f ca="1">IF($C88-N$1&lt;År1,0,M87*(1-VLOOKUP($A88,[1]Hugst!$R$5:$W$9,MATCH(ROUNDUP((N$1)/10,0)*10,[1]Hugst!$R$4:$W$4,0))))</f>
        <v>4555.4540748105992</v>
      </c>
      <c r="O88">
        <f ca="1">IF($C88-O$1&lt;År1,0,N87*(1-VLOOKUP($A88,[1]Hugst!$R$5:$W$9,MATCH(ROUNDUP((O$1)/10,0)*10,[1]Hugst!$R$4:$W$4,0))))</f>
        <v>4555.0791257078599</v>
      </c>
      <c r="P88">
        <f ca="1">IF($C88-P$1&lt;År1,0,O87*(1-VLOOKUP($A88,[1]Hugst!$R$5:$W$9,MATCH(ROUNDUP((P$1)/10,0)*10,[1]Hugst!$R$4:$W$4,0))))</f>
        <v>4547.7643231865241</v>
      </c>
      <c r="Q88">
        <f ca="1">IF($C88-Q$1&lt;År1,0,P87*(1-VLOOKUP($A88,[1]Hugst!$R$5:$W$9,MATCH(ROUNDUP((Q$1)/10,0)*10,[1]Hugst!$R$4:$W$4,0))))</f>
        <v>4540.4692811400118</v>
      </c>
      <c r="R88">
        <f ca="1">IF($C88-R$1&lt;År1,0,Q87*(1-VLOOKUP($A88,[1]Hugst!$R$5:$W$9,MATCH(ROUNDUP((R$1)/10,0)*10,[1]Hugst!$R$4:$W$4,0))))</f>
        <v>4533.1939994647519</v>
      </c>
      <c r="S88">
        <f ca="1">IF($C88-S$1&lt;År1,0,R87*(1-VLOOKUP($A88,[1]Hugst!$R$5:$W$9,MATCH(ROUNDUP((S$1)/10,0)*10,[1]Hugst!$R$4:$W$4,0))))</f>
        <v>4525.938478162202</v>
      </c>
      <c r="T88">
        <f ca="1">IF($C88-T$1&lt;År1,0,S87*(1-VLOOKUP($A88,[1]Hugst!$R$5:$W$9,MATCH(ROUNDUP((T$1)/10,0)*10,[1]Hugst!$R$4:$W$4,0))))</f>
        <v>3213.3287029127496</v>
      </c>
      <c r="U88">
        <f ca="1">IF($C88-U$1&lt;År1,0,T87*(1-VLOOKUP($A88,[1]Hugst!$R$5:$W$9,MATCH(ROUNDUP((U$1)/10,0)*10,[1]Hugst!$R$4:$W$4,0))))</f>
        <v>3208.1039512780703</v>
      </c>
      <c r="V88">
        <f ca="1">IF($C88-V$1&lt;År1,0,U87*(1-VLOOKUP($A88,[1]Hugst!$R$5:$W$9,MATCH(ROUNDUP((V$1)/10,0)*10,[1]Hugst!$R$4:$W$4,0))))</f>
        <v>3207.862342744409</v>
      </c>
      <c r="W88">
        <f ca="1">IF($C88-W$1&lt;År1,0,V87*(1-VLOOKUP($A88,[1]Hugst!$R$5:$W$9,MATCH(ROUNDUP((W$1)/10,0)*10,[1]Hugst!$R$4:$W$4,0))))</f>
        <v>3207.6373481015448</v>
      </c>
      <c r="X88">
        <f ca="1">IF($C88-X$1&lt;År1,0,W87*(1-VLOOKUP($A88,[1]Hugst!$R$5:$W$9,MATCH(ROUNDUP((X$1)/10,0)*10,[1]Hugst!$R$4:$W$4,0))))</f>
        <v>3207.4289987356192</v>
      </c>
      <c r="Y88">
        <f ca="1">IF($C88-Y$1&lt;År1,0,X87*(1-VLOOKUP($A88,[1]Hugst!$R$5:$W$9,MATCH(ROUNDUP((Y$1)/10,0)*10,[1]Hugst!$R$4:$W$4,0))))</f>
        <v>3207.2373261829375</v>
      </c>
      <c r="Z88">
        <f ca="1">IF($C88-Z$1&lt;År1,0,Y87*(1-VLOOKUP($A88,[1]Hugst!$R$5:$W$9,MATCH(ROUNDUP((Z$1)/10,0)*10,[1]Hugst!$R$4:$W$4,0))))</f>
        <v>3206.3818617141533</v>
      </c>
      <c r="AA88">
        <f ca="1">IF($C88-AA$1&lt;År1,0,Z87*(1-VLOOKUP($A88,[1]Hugst!$R$5:$W$9,MATCH(ROUNDUP((AA$1)/10,0)*10,[1]Hugst!$R$4:$W$4,0))))</f>
        <v>3205.5433491170638</v>
      </c>
      <c r="AB88">
        <f ca="1">IF($C88-AB$1&lt;År1,0,AA87*(1-VLOOKUP($A88,[1]Hugst!$R$5:$W$9,MATCH(ROUNDUP((AB$1)/10,0)*10,[1]Hugst!$R$4:$W$4,0))))</f>
        <v>3204.7218096550282</v>
      </c>
      <c r="AC88">
        <f ca="1">IF($C88-AC$1&lt;År1,0,AB87*(1-VLOOKUP($A88,[1]Hugst!$R$5:$W$9,MATCH(ROUNDUP((AC$1)/10,0)*10,[1]Hugst!$R$4:$W$4,0))))</f>
        <v>3203.9172647207165</v>
      </c>
      <c r="AD88">
        <f ca="1">IF($C88-AD$1&lt;År1,0,AC87*(1-VLOOKUP($A88,[1]Hugst!$R$5:$W$9,MATCH(ROUNDUP((AD$1)/10,0)*10,[1]Hugst!$R$4:$W$4,0))))</f>
        <v>3203.1297358365928</v>
      </c>
      <c r="AE88">
        <f>IF($C88-AE$1&lt;År1,0,AD87*(1-VLOOKUP($A88,[1]Hugst!$R$5:$W$9,MATCH(ROUNDUP((AE$1)/10,0)*10,[1]Hugst!$R$4:$W$4,0))))</f>
        <v>0</v>
      </c>
      <c r="AF88">
        <f>IF($C88-AF$1&lt;År1,0,AE87*(1-VLOOKUP($A88,[1]Hugst!$R$5:$W$9,MATCH(ROUNDUP((AF$1)/10,0)*10,[1]Hugst!$R$4:$W$4,0))))</f>
        <v>0</v>
      </c>
      <c r="AG88">
        <f>IF($C88-AG$1&lt;År1,0,AF87*(1-VLOOKUP($A88,[1]Hugst!$R$5:$W$9,MATCH(ROUNDUP((AG$1)/10,0)*10,[1]Hugst!$R$4:$W$4,0))))</f>
        <v>0</v>
      </c>
      <c r="AH88">
        <f>IF($C88-AH$1&lt;År1,0,AG87*(1-VLOOKUP($A88,[1]Hugst!$R$5:$W$9,MATCH(ROUNDUP((AH$1)/10,0)*10,[1]Hugst!$R$4:$W$4,0))))</f>
        <v>0</v>
      </c>
      <c r="AI88">
        <f>IF($C88-AI$1&lt;År1,0,AH87*(1-VLOOKUP($A88,[1]Hugst!$R$5:$W$9,MATCH(ROUNDUP((AI$1)/10,0)*10,[1]Hugst!$R$4:$W$4,0))))</f>
        <v>0</v>
      </c>
      <c r="AJ88">
        <f>IF($C88-AJ$1&lt;År1,0,AI87*(1-VLOOKUP($A88,[1]Hugst!$R$5:$W$9,MATCH(ROUNDUP((AJ$1)/10,0)*10,[1]Hugst!$R$4:$W$4,0))))</f>
        <v>0</v>
      </c>
    </row>
    <row r="89" spans="1:38" x14ac:dyDescent="0.25">
      <c r="A89" t="s">
        <v>177</v>
      </c>
      <c r="B89" t="s">
        <v>23</v>
      </c>
      <c r="C89">
        <v>2045</v>
      </c>
      <c r="D89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863.60113792057746</v>
      </c>
      <c r="E89">
        <f t="shared" ca="1" si="1"/>
        <v>92.514966995295254</v>
      </c>
      <c r="F8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4573.4000555331568</v>
      </c>
      <c r="G89">
        <f ca="1">IF($C89-G$1&lt;År1,0,F88*(1-VLOOKUP($A89,[1]Hugst!$R$5:$W$9,MATCH(ROUNDUP((G$1)/10,0)*10,[1]Hugst!$R$4:$W$4,0))))</f>
        <v>4570.2474381835691</v>
      </c>
      <c r="H89">
        <f ca="1">IF($C89-H$1&lt;År1,0,G88*(1-VLOOKUP($A89,[1]Hugst!$R$5:$W$9,MATCH(ROUNDUP((H$1)/10,0)*10,[1]Hugst!$R$4:$W$4,0))))</f>
        <v>4567.1035642492952</v>
      </c>
      <c r="I89">
        <f ca="1">IF($C89-I$1&lt;År1,0,H88*(1-VLOOKUP($A89,[1]Hugst!$R$5:$W$9,MATCH(ROUNDUP((I$1)/10,0)*10,[1]Hugst!$R$4:$W$4,0))))</f>
        <v>4563.968502194044</v>
      </c>
      <c r="J89">
        <f ca="1">IF($C89-J$1&lt;År1,0,I88*(1-VLOOKUP($A89,[1]Hugst!$R$5:$W$9,MATCH(ROUNDUP((J$1)/10,0)*10,[1]Hugst!$R$4:$W$4,0))))</f>
        <v>4560.8423208432305</v>
      </c>
      <c r="K89">
        <f ca="1">IF($C89-K$1&lt;År1,0,J88*(1-VLOOKUP($A89,[1]Hugst!$R$5:$W$9,MATCH(ROUNDUP((K$1)/10,0)*10,[1]Hugst!$R$4:$W$4,0))))</f>
        <v>4557.7250893862383</v>
      </c>
      <c r="L89">
        <f ca="1">IF($C89-L$1&lt;År1,0,K88*(1-VLOOKUP($A89,[1]Hugst!$R$5:$W$9,MATCH(ROUNDUP((L$1)/10,0)*10,[1]Hugst!$R$4:$W$4,0))))</f>
        <v>4556.6264485611628</v>
      </c>
      <c r="M89">
        <f ca="1">IF($C89-M$1&lt;År1,0,L88*(1-VLOOKUP($A89,[1]Hugst!$R$5:$W$9,MATCH(ROUNDUP((M$1)/10,0)*10,[1]Hugst!$R$4:$W$4,0))))</f>
        <v>4556.2277908750566</v>
      </c>
      <c r="N89">
        <f ca="1">IF($C89-N$1&lt;År1,0,M88*(1-VLOOKUP($A89,[1]Hugst!$R$5:$W$9,MATCH(ROUNDUP((N$1)/10,0)*10,[1]Hugst!$R$4:$W$4,0))))</f>
        <v>4555.8369814617399</v>
      </c>
      <c r="O89">
        <f ca="1">IF($C89-O$1&lt;År1,0,N88*(1-VLOOKUP($A89,[1]Hugst!$R$5:$W$9,MATCH(ROUNDUP((O$1)/10,0)*10,[1]Hugst!$R$4:$W$4,0))))</f>
        <v>4555.4540748105992</v>
      </c>
      <c r="P89">
        <f ca="1">IF($C89-P$1&lt;År1,0,O88*(1-VLOOKUP($A89,[1]Hugst!$R$5:$W$9,MATCH(ROUNDUP((P$1)/10,0)*10,[1]Hugst!$R$4:$W$4,0))))</f>
        <v>4548.1306999228818</v>
      </c>
      <c r="Q89">
        <f ca="1">IF($C89-Q$1&lt;År1,0,P88*(1-VLOOKUP($A89,[1]Hugst!$R$5:$W$9,MATCH(ROUNDUP((Q$1)/10,0)*10,[1]Hugst!$R$4:$W$4,0))))</f>
        <v>4540.8270555748832</v>
      </c>
      <c r="R89">
        <f ca="1">IF($C89-R$1&lt;År1,0,Q88*(1-VLOOKUP($A89,[1]Hugst!$R$5:$W$9,MATCH(ROUNDUP((R$1)/10,0)*10,[1]Hugst!$R$4:$W$4,0))))</f>
        <v>4533.5431415586118</v>
      </c>
      <c r="S89">
        <f ca="1">IF($C89-S$1&lt;År1,0,R88*(1-VLOOKUP($A89,[1]Hugst!$R$5:$W$9,MATCH(ROUNDUP((S$1)/10,0)*10,[1]Hugst!$R$4:$W$4,0))))</f>
        <v>4526.2789577706526</v>
      </c>
      <c r="T89">
        <f ca="1">IF($C89-T$1&lt;År1,0,S88*(1-VLOOKUP($A89,[1]Hugst!$R$5:$W$9,MATCH(ROUNDUP((T$1)/10,0)*10,[1]Hugst!$R$4:$W$4,0))))</f>
        <v>4519.0345042124627</v>
      </c>
      <c r="U89">
        <f ca="1">IF($C89-U$1&lt;År1,0,T88*(1-VLOOKUP($A89,[1]Hugst!$R$5:$W$9,MATCH(ROUNDUP((U$1)/10,0)*10,[1]Hugst!$R$4:$W$4,0))))</f>
        <v>3208.4270150608486</v>
      </c>
      <c r="V89">
        <f ca="1">IF($C89-V$1&lt;År1,0,U88*(1-VLOOKUP($A89,[1]Hugst!$R$5:$W$9,MATCH(ROUNDUP((V$1)/10,0)*10,[1]Hugst!$R$4:$W$4,0))))</f>
        <v>3203.2102333862899</v>
      </c>
      <c r="W89">
        <f ca="1">IF($C89-W$1&lt;År1,0,V88*(1-VLOOKUP($A89,[1]Hugst!$R$5:$W$9,MATCH(ROUNDUP((W$1)/10,0)*10,[1]Hugst!$R$4:$W$4,0))))</f>
        <v>3202.9689934080193</v>
      </c>
      <c r="X89">
        <f ca="1">IF($C89-X$1&lt;År1,0,W88*(1-VLOOKUP($A89,[1]Hugst!$R$5:$W$9,MATCH(ROUNDUP((X$1)/10,0)*10,[1]Hugst!$R$4:$W$4,0))))</f>
        <v>3202.7443419773222</v>
      </c>
      <c r="Y89">
        <f ca="1">IF($C89-Y$1&lt;År1,0,X88*(1-VLOOKUP($A89,[1]Hugst!$R$5:$W$9,MATCH(ROUNDUP((Y$1)/10,0)*10,[1]Hugst!$R$4:$W$4,0))))</f>
        <v>3202.5363104324629</v>
      </c>
      <c r="Z89">
        <f ca="1">IF($C89-Z$1&lt;År1,0,Y88*(1-VLOOKUP($A89,[1]Hugst!$R$5:$W$9,MATCH(ROUNDUP((Z$1)/10,0)*10,[1]Hugst!$R$4:$W$4,0))))</f>
        <v>3201.6654308281281</v>
      </c>
      <c r="AA89">
        <f ca="1">IF($C89-AA$1&lt;År1,0,Z88*(1-VLOOKUP($A89,[1]Hugst!$R$5:$W$9,MATCH(ROUNDUP((AA$1)/10,0)*10,[1]Hugst!$R$4:$W$4,0))))</f>
        <v>3200.8114525476158</v>
      </c>
      <c r="AB89">
        <f ca="1">IF($C89-AB$1&lt;År1,0,AA88*(1-VLOOKUP($A89,[1]Hugst!$R$5:$W$9,MATCH(ROUNDUP((AB$1)/10,0)*10,[1]Hugst!$R$4:$W$4,0))))</f>
        <v>3199.974396688513</v>
      </c>
      <c r="AC89">
        <f ca="1">IF($C89-AC$1&lt;År1,0,AB88*(1-VLOOKUP($A89,[1]Hugst!$R$5:$W$9,MATCH(ROUNDUP((AC$1)/10,0)*10,[1]Hugst!$R$4:$W$4,0))))</f>
        <v>3199.1542844772375</v>
      </c>
      <c r="AD89">
        <f ca="1">IF($C89-AD$1&lt;År1,0,AC88*(1-VLOOKUP($A89,[1]Hugst!$R$5:$W$9,MATCH(ROUNDUP((AD$1)/10,0)*10,[1]Hugst!$R$4:$W$4,0))))</f>
        <v>3198.3511372692947</v>
      </c>
      <c r="AE89">
        <f ca="1">IF($C89-AE$1&lt;År1,0,AD88*(1-VLOOKUP($A89,[1]Hugst!$R$5:$W$9,MATCH(ROUNDUP((AE$1)/10,0)*10,[1]Hugst!$R$4:$W$4,0))))</f>
        <v>3197.5649765497578</v>
      </c>
      <c r="AF89">
        <f>IF($C89-AF$1&lt;År1,0,AE88*(1-VLOOKUP($A89,[1]Hugst!$R$5:$W$9,MATCH(ROUNDUP((AF$1)/10,0)*10,[1]Hugst!$R$4:$W$4,0))))</f>
        <v>0</v>
      </c>
      <c r="AG89">
        <f>IF($C89-AG$1&lt;År1,0,AF88*(1-VLOOKUP($A89,[1]Hugst!$R$5:$W$9,MATCH(ROUNDUP((AG$1)/10,0)*10,[1]Hugst!$R$4:$W$4,0))))</f>
        <v>0</v>
      </c>
      <c r="AH89">
        <f>IF($C89-AH$1&lt;År1,0,AG88*(1-VLOOKUP($A89,[1]Hugst!$R$5:$W$9,MATCH(ROUNDUP((AH$1)/10,0)*10,[1]Hugst!$R$4:$W$4,0))))</f>
        <v>0</v>
      </c>
      <c r="AI89">
        <f>IF($C89-AI$1&lt;År1,0,AH88*(1-VLOOKUP($A89,[1]Hugst!$R$5:$W$9,MATCH(ROUNDUP((AI$1)/10,0)*10,[1]Hugst!$R$4:$W$4,0))))</f>
        <v>0</v>
      </c>
      <c r="AJ89">
        <f>IF($C89-AJ$1&lt;År1,0,AI88*(1-VLOOKUP($A89,[1]Hugst!$R$5:$W$9,MATCH(ROUNDUP((AJ$1)/10,0)*10,[1]Hugst!$R$4:$W$4,0))))</f>
        <v>0</v>
      </c>
    </row>
    <row r="90" spans="1:38" x14ac:dyDescent="0.25">
      <c r="A90" t="s">
        <v>177</v>
      </c>
      <c r="B90" t="s">
        <v>23</v>
      </c>
      <c r="C90">
        <v>2046</v>
      </c>
      <c r="D90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859.28313223100486</v>
      </c>
      <c r="E90">
        <f t="shared" ca="1" si="1"/>
        <v>99.994265346496832</v>
      </c>
      <c r="F90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4576.5613481947858</v>
      </c>
      <c r="G90">
        <f ca="1">IF($C90-G$1&lt;År1,0,F89*(1-VLOOKUP($A90,[1]Hugst!$R$5:$W$9,MATCH(ROUNDUP((G$1)/10,0)*10,[1]Hugst!$R$4:$W$4,0))))</f>
        <v>4573.4000555331568</v>
      </c>
      <c r="H90">
        <f ca="1">IF($C90-H$1&lt;År1,0,G89*(1-VLOOKUP($A90,[1]Hugst!$R$5:$W$9,MATCH(ROUNDUP((H$1)/10,0)*10,[1]Hugst!$R$4:$W$4,0))))</f>
        <v>4570.2474381835691</v>
      </c>
      <c r="I90">
        <f ca="1">IF($C90-I$1&lt;År1,0,H89*(1-VLOOKUP($A90,[1]Hugst!$R$5:$W$9,MATCH(ROUNDUP((I$1)/10,0)*10,[1]Hugst!$R$4:$W$4,0))))</f>
        <v>4567.1035642492952</v>
      </c>
      <c r="J90">
        <f ca="1">IF($C90-J$1&lt;År1,0,I89*(1-VLOOKUP($A90,[1]Hugst!$R$5:$W$9,MATCH(ROUNDUP((J$1)/10,0)*10,[1]Hugst!$R$4:$W$4,0))))</f>
        <v>4563.968502194044</v>
      </c>
      <c r="K90">
        <f ca="1">IF($C90-K$1&lt;År1,0,J89*(1-VLOOKUP($A90,[1]Hugst!$R$5:$W$9,MATCH(ROUNDUP((K$1)/10,0)*10,[1]Hugst!$R$4:$W$4,0))))</f>
        <v>4560.8423208432305</v>
      </c>
      <c r="L90">
        <f ca="1">IF($C90-L$1&lt;År1,0,K89*(1-VLOOKUP($A90,[1]Hugst!$R$5:$W$9,MATCH(ROUNDUP((L$1)/10,0)*10,[1]Hugst!$R$4:$W$4,0))))</f>
        <v>4557.7250893862383</v>
      </c>
      <c r="M90">
        <f ca="1">IF($C90-M$1&lt;År1,0,L89*(1-VLOOKUP($A90,[1]Hugst!$R$5:$W$9,MATCH(ROUNDUP((M$1)/10,0)*10,[1]Hugst!$R$4:$W$4,0))))</f>
        <v>4556.6264485611628</v>
      </c>
      <c r="N90">
        <f ca="1">IF($C90-N$1&lt;År1,0,M89*(1-VLOOKUP($A90,[1]Hugst!$R$5:$W$9,MATCH(ROUNDUP((N$1)/10,0)*10,[1]Hugst!$R$4:$W$4,0))))</f>
        <v>4556.2277908750566</v>
      </c>
      <c r="O90">
        <f ca="1">IF($C90-O$1&lt;År1,0,N89*(1-VLOOKUP($A90,[1]Hugst!$R$5:$W$9,MATCH(ROUNDUP((O$1)/10,0)*10,[1]Hugst!$R$4:$W$4,0))))</f>
        <v>4555.8369814617399</v>
      </c>
      <c r="P90">
        <f ca="1">IF($C90-P$1&lt;År1,0,O89*(1-VLOOKUP($A90,[1]Hugst!$R$5:$W$9,MATCH(ROUNDUP((P$1)/10,0)*10,[1]Hugst!$R$4:$W$4,0))))</f>
        <v>4548.5050770693624</v>
      </c>
      <c r="Q90">
        <f ca="1">IF($C90-Q$1&lt;År1,0,P89*(1-VLOOKUP($A90,[1]Hugst!$R$5:$W$9,MATCH(ROUNDUP((Q$1)/10,0)*10,[1]Hugst!$R$4:$W$4,0))))</f>
        <v>4541.1928734314743</v>
      </c>
      <c r="R90">
        <f ca="1">IF($C90-R$1&lt;År1,0,Q89*(1-VLOOKUP($A90,[1]Hugst!$R$5:$W$9,MATCH(ROUNDUP((R$1)/10,0)*10,[1]Hugst!$R$4:$W$4,0))))</f>
        <v>4533.9003702358705</v>
      </c>
      <c r="S90">
        <f ca="1">IF($C90-S$1&lt;År1,0,R89*(1-VLOOKUP($A90,[1]Hugst!$R$5:$W$9,MATCH(ROUNDUP((S$1)/10,0)*10,[1]Hugst!$R$4:$W$4,0))))</f>
        <v>4526.6275672748779</v>
      </c>
      <c r="T90">
        <f ca="1">IF($C90-T$1&lt;År1,0,S89*(1-VLOOKUP($A90,[1]Hugst!$R$5:$W$9,MATCH(ROUNDUP((T$1)/10,0)*10,[1]Hugst!$R$4:$W$4,0))))</f>
        <v>4519.3744644452399</v>
      </c>
      <c r="U90">
        <f ca="1">IF($C90-U$1&lt;År1,0,T89*(1-VLOOKUP($A90,[1]Hugst!$R$5:$W$9,MATCH(ROUNDUP((U$1)/10,0)*10,[1]Hugst!$R$4:$W$4,0))))</f>
        <v>4512.1410617484098</v>
      </c>
      <c r="V90">
        <f ca="1">IF($C90-V$1&lt;År1,0,U89*(1-VLOOKUP($A90,[1]Hugst!$R$5:$W$9,MATCH(ROUNDUP((V$1)/10,0)*10,[1]Hugst!$R$4:$W$4,0))))</f>
        <v>3203.5328043599084</v>
      </c>
      <c r="W90">
        <f ca="1">IF($C90-W$1&lt;År1,0,V89*(1-VLOOKUP($A90,[1]Hugst!$R$5:$W$9,MATCH(ROUNDUP((W$1)/10,0)*10,[1]Hugst!$R$4:$W$4,0))))</f>
        <v>3198.323980487904</v>
      </c>
      <c r="X90">
        <f ca="1">IF($C90-X$1&lt;År1,0,W89*(1-VLOOKUP($A90,[1]Hugst!$R$5:$W$9,MATCH(ROUNDUP((X$1)/10,0)*10,[1]Hugst!$R$4:$W$4,0))))</f>
        <v>3198.0831085028203</v>
      </c>
      <c r="Y90">
        <f ca="1">IF($C90-Y$1&lt;År1,0,X89*(1-VLOOKUP($A90,[1]Hugst!$R$5:$W$9,MATCH(ROUNDUP((Y$1)/10,0)*10,[1]Hugst!$R$4:$W$4,0))))</f>
        <v>3197.8587997607465</v>
      </c>
      <c r="Z90">
        <f ca="1">IF($C90-Z$1&lt;År1,0,Y89*(1-VLOOKUP($A90,[1]Hugst!$R$5:$W$9,MATCH(ROUNDUP((Z$1)/10,0)*10,[1]Hugst!$R$4:$W$4,0))))</f>
        <v>3196.9725820965418</v>
      </c>
      <c r="AA90">
        <f ca="1">IF($C90-AA$1&lt;År1,0,Z89*(1-VLOOKUP($A90,[1]Hugst!$R$5:$W$9,MATCH(ROUNDUP((AA$1)/10,0)*10,[1]Hugst!$R$4:$W$4,0))))</f>
        <v>3196.1032154610111</v>
      </c>
      <c r="AB90">
        <f ca="1">IF($C90-AB$1&lt;År1,0,AA89*(1-VLOOKUP($A90,[1]Hugst!$R$5:$W$9,MATCH(ROUNDUP((AB$1)/10,0)*10,[1]Hugst!$R$4:$W$4,0))))</f>
        <v>3195.2507207868339</v>
      </c>
      <c r="AC90">
        <f ca="1">IF($C90-AC$1&lt;År1,0,AB89*(1-VLOOKUP($A90,[1]Hugst!$R$5:$W$9,MATCH(ROUNDUP((AC$1)/10,0)*10,[1]Hugst!$R$4:$W$4,0))))</f>
        <v>3194.4151191349438</v>
      </c>
      <c r="AD90">
        <f ca="1">IF($C90-AD$1&lt;År1,0,AC89*(1-VLOOKUP($A90,[1]Hugst!$R$5:$W$9,MATCH(ROUNDUP((AD$1)/10,0)*10,[1]Hugst!$R$4:$W$4,0))))</f>
        <v>3193.596431694883</v>
      </c>
      <c r="AE90">
        <f ca="1">IF($C90-AE$1&lt;År1,0,AD89*(1-VLOOKUP($A90,[1]Hugst!$R$5:$W$9,MATCH(ROUNDUP((AE$1)/10,0)*10,[1]Hugst!$R$4:$W$4,0))))</f>
        <v>3192.7946797850555</v>
      </c>
      <c r="AF90">
        <f ca="1">IF($C90-AF$1&lt;År1,0,AE89*(1-VLOOKUP($A90,[1]Hugst!$R$5:$W$9,MATCH(ROUNDUP((AF$1)/10,0)*10,[1]Hugst!$R$4:$W$4,0))))</f>
        <v>3192.0098848532093</v>
      </c>
      <c r="AG90">
        <f>IF($C90-AG$1&lt;År1,0,AF89*(1-VLOOKUP($A90,[1]Hugst!$R$5:$W$9,MATCH(ROUNDUP((AG$1)/10,0)*10,[1]Hugst!$R$4:$W$4,0))))</f>
        <v>0</v>
      </c>
      <c r="AH90">
        <f>IF($C90-AH$1&lt;År1,0,AG89*(1-VLOOKUP($A90,[1]Hugst!$R$5:$W$9,MATCH(ROUNDUP((AH$1)/10,0)*10,[1]Hugst!$R$4:$W$4,0))))</f>
        <v>0</v>
      </c>
      <c r="AI90">
        <f>IF($C90-AI$1&lt;År1,0,AH89*(1-VLOOKUP($A90,[1]Hugst!$R$5:$W$9,MATCH(ROUNDUP((AI$1)/10,0)*10,[1]Hugst!$R$4:$W$4,0))))</f>
        <v>0</v>
      </c>
      <c r="AJ90">
        <f>IF($C90-AJ$1&lt;År1,0,AI89*(1-VLOOKUP($A90,[1]Hugst!$R$5:$W$9,MATCH(ROUNDUP((AJ$1)/10,0)*10,[1]Hugst!$R$4:$W$4,0))))</f>
        <v>0</v>
      </c>
    </row>
    <row r="91" spans="1:38" x14ac:dyDescent="0.25">
      <c r="A91" t="s">
        <v>177</v>
      </c>
      <c r="B91" t="s">
        <v>23</v>
      </c>
      <c r="C91">
        <v>2047</v>
      </c>
      <c r="D91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854.98671656979423</v>
      </c>
      <c r="E91">
        <f t="shared" ca="1" si="1"/>
        <v>107.46058123648982</v>
      </c>
      <c r="F91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4579.7312484235681</v>
      </c>
      <c r="G91">
        <f ca="1">IF($C91-G$1&lt;År1,0,F90*(1-VLOOKUP($A91,[1]Hugst!$R$5:$W$9,MATCH(ROUNDUP((G$1)/10,0)*10,[1]Hugst!$R$4:$W$4,0))))</f>
        <v>4576.5613481947858</v>
      </c>
      <c r="H91">
        <f ca="1">IF($C91-H$1&lt;År1,0,G90*(1-VLOOKUP($A91,[1]Hugst!$R$5:$W$9,MATCH(ROUNDUP((H$1)/10,0)*10,[1]Hugst!$R$4:$W$4,0))))</f>
        <v>4573.4000555331568</v>
      </c>
      <c r="I91">
        <f ca="1">IF($C91-I$1&lt;År1,0,H90*(1-VLOOKUP($A91,[1]Hugst!$R$5:$W$9,MATCH(ROUNDUP((I$1)/10,0)*10,[1]Hugst!$R$4:$W$4,0))))</f>
        <v>4570.2474381835691</v>
      </c>
      <c r="J91">
        <f ca="1">IF($C91-J$1&lt;År1,0,I90*(1-VLOOKUP($A91,[1]Hugst!$R$5:$W$9,MATCH(ROUNDUP((J$1)/10,0)*10,[1]Hugst!$R$4:$W$4,0))))</f>
        <v>4567.1035642492952</v>
      </c>
      <c r="K91">
        <f ca="1">IF($C91-K$1&lt;År1,0,J90*(1-VLOOKUP($A91,[1]Hugst!$R$5:$W$9,MATCH(ROUNDUP((K$1)/10,0)*10,[1]Hugst!$R$4:$W$4,0))))</f>
        <v>4563.968502194044</v>
      </c>
      <c r="L91">
        <f ca="1">IF($C91-L$1&lt;År1,0,K90*(1-VLOOKUP($A91,[1]Hugst!$R$5:$W$9,MATCH(ROUNDUP((L$1)/10,0)*10,[1]Hugst!$R$4:$W$4,0))))</f>
        <v>4560.8423208432305</v>
      </c>
      <c r="M91">
        <f ca="1">IF($C91-M$1&lt;År1,0,L90*(1-VLOOKUP($A91,[1]Hugst!$R$5:$W$9,MATCH(ROUNDUP((M$1)/10,0)*10,[1]Hugst!$R$4:$W$4,0))))</f>
        <v>4557.7250893862383</v>
      </c>
      <c r="N91">
        <f ca="1">IF($C91-N$1&lt;År1,0,M90*(1-VLOOKUP($A91,[1]Hugst!$R$5:$W$9,MATCH(ROUNDUP((N$1)/10,0)*10,[1]Hugst!$R$4:$W$4,0))))</f>
        <v>4556.6264485611628</v>
      </c>
      <c r="O91">
        <f ca="1">IF($C91-O$1&lt;År1,0,N90*(1-VLOOKUP($A91,[1]Hugst!$R$5:$W$9,MATCH(ROUNDUP((O$1)/10,0)*10,[1]Hugst!$R$4:$W$4,0))))</f>
        <v>4556.2277908750566</v>
      </c>
      <c r="P91">
        <f ca="1">IF($C91-P$1&lt;År1,0,O90*(1-VLOOKUP($A91,[1]Hugst!$R$5:$W$9,MATCH(ROUNDUP((P$1)/10,0)*10,[1]Hugst!$R$4:$W$4,0))))</f>
        <v>4548.8873996256116</v>
      </c>
      <c r="Q91">
        <f ca="1">IF($C91-Q$1&lt;År1,0,P90*(1-VLOOKUP($A91,[1]Hugst!$R$5:$W$9,MATCH(ROUNDUP((Q$1)/10,0)*10,[1]Hugst!$R$4:$W$4,0))))</f>
        <v>4541.5666794941717</v>
      </c>
      <c r="R91">
        <f ca="1">IF($C91-R$1&lt;År1,0,Q90*(1-VLOOKUP($A91,[1]Hugst!$R$5:$W$9,MATCH(ROUNDUP((R$1)/10,0)*10,[1]Hugst!$R$4:$W$4,0))))</f>
        <v>4534.2656300652225</v>
      </c>
      <c r="S91">
        <f ca="1">IF($C91-S$1&lt;År1,0,R90*(1-VLOOKUP($A91,[1]Hugst!$R$5:$W$9,MATCH(ROUNDUP((S$1)/10,0)*10,[1]Hugst!$R$4:$W$4,0))))</f>
        <v>4526.9842510270355</v>
      </c>
      <c r="T91">
        <f ca="1">IF($C91-T$1&lt;År1,0,S90*(1-VLOOKUP($A91,[1]Hugst!$R$5:$W$9,MATCH(ROUNDUP((T$1)/10,0)*10,[1]Hugst!$R$4:$W$4,0))))</f>
        <v>4519.7225421722551</v>
      </c>
      <c r="U91">
        <f ca="1">IF($C91-U$1&lt;År1,0,T90*(1-VLOOKUP($A91,[1]Hugst!$R$5:$W$9,MATCH(ROUNDUP((U$1)/10,0)*10,[1]Hugst!$R$4:$W$4,0))))</f>
        <v>4512.4805033977809</v>
      </c>
      <c r="V91">
        <f ca="1">IF($C91-V$1&lt;År1,0,U90*(1-VLOOKUP($A91,[1]Hugst!$R$5:$W$9,MATCH(ROUNDUP((V$1)/10,0)*10,[1]Hugst!$R$4:$W$4,0))))</f>
        <v>4505.2581347050645</v>
      </c>
      <c r="W91">
        <f ca="1">IF($C91-W$1&lt;År1,0,V90*(1-VLOOKUP($A91,[1]Hugst!$R$5:$W$9,MATCH(ROUNDUP((W$1)/10,0)*10,[1]Hugst!$R$4:$W$4,0))))</f>
        <v>3198.646059404105</v>
      </c>
      <c r="X91">
        <f ca="1">IF($C91-X$1&lt;År1,0,W90*(1-VLOOKUP($A91,[1]Hugst!$R$5:$W$9,MATCH(ROUNDUP((X$1)/10,0)*10,[1]Hugst!$R$4:$W$4,0))))</f>
        <v>3193.4451811956342</v>
      </c>
      <c r="Y91">
        <f ca="1">IF($C91-Y$1&lt;År1,0,X90*(1-VLOOKUP($A91,[1]Hugst!$R$5:$W$9,MATCH(ROUNDUP((Y$1)/10,0)*10,[1]Hugst!$R$4:$W$4,0))))</f>
        <v>3193.2046766423923</v>
      </c>
      <c r="Z91">
        <f ca="1">IF($C91-Z$1&lt;År1,0,Y90*(1-VLOOKUP($A91,[1]Hugst!$R$5:$W$9,MATCH(ROUNDUP((Z$1)/10,0)*10,[1]Hugst!$R$4:$W$4,0))))</f>
        <v>3192.3031976086195</v>
      </c>
      <c r="AA91">
        <f ca="1">IF($C91-AA$1&lt;År1,0,Z90*(1-VLOOKUP($A91,[1]Hugst!$R$5:$W$9,MATCH(ROUNDUP((AA$1)/10,0)*10,[1]Hugst!$R$4:$W$4,0))))</f>
        <v>3191.4185195598484</v>
      </c>
      <c r="AB91">
        <f ca="1">IF($C91-AB$1&lt;År1,0,AA90*(1-VLOOKUP($A91,[1]Hugst!$R$5:$W$9,MATCH(ROUNDUP((AB$1)/10,0)*10,[1]Hugst!$R$4:$W$4,0))))</f>
        <v>3190.5506632646593</v>
      </c>
      <c r="AC91">
        <f ca="1">IF($C91-AC$1&lt;År1,0,AB90*(1-VLOOKUP($A91,[1]Hugst!$R$5:$W$9,MATCH(ROUNDUP((AC$1)/10,0)*10,[1]Hugst!$R$4:$W$4,0))))</f>
        <v>3189.6996496193651</v>
      </c>
      <c r="AD91">
        <f ca="1">IF($C91-AD$1&lt;År1,0,AC90*(1-VLOOKUP($A91,[1]Hugst!$R$5:$W$9,MATCH(ROUNDUP((AD$1)/10,0)*10,[1]Hugst!$R$4:$W$4,0))))</f>
        <v>3188.865499648311</v>
      </c>
      <c r="AE91">
        <f ca="1">IF($C91-AE$1&lt;År1,0,AD90*(1-VLOOKUP($A91,[1]Hugst!$R$5:$W$9,MATCH(ROUNDUP((AE$1)/10,0)*10,[1]Hugst!$R$4:$W$4,0))))</f>
        <v>3188.0482345042265</v>
      </c>
      <c r="AF91">
        <f ca="1">IF($C91-AF$1&lt;År1,0,AE90*(1-VLOOKUP($A91,[1]Hugst!$R$5:$W$9,MATCH(ROUNDUP((AF$1)/10,0)*10,[1]Hugst!$R$4:$W$4,0))))</f>
        <v>3187.2478754684794</v>
      </c>
      <c r="AG91">
        <f ca="1">IF($C91-AG$1&lt;År1,0,AF90*(1-VLOOKUP($A91,[1]Hugst!$R$5:$W$9,MATCH(ROUNDUP((AG$1)/10,0)*10,[1]Hugst!$R$4:$W$4,0))))</f>
        <v>3186.4644439515573</v>
      </c>
      <c r="AH91">
        <f>IF($C91-AH$1&lt;År1,0,AG90*(1-VLOOKUP($A91,[1]Hugst!$R$5:$W$9,MATCH(ROUNDUP((AH$1)/10,0)*10,[1]Hugst!$R$4:$W$4,0))))</f>
        <v>0</v>
      </c>
      <c r="AI91">
        <f>IF($C91-AI$1&lt;År1,0,AH90*(1-VLOOKUP($A91,[1]Hugst!$R$5:$W$9,MATCH(ROUNDUP((AI$1)/10,0)*10,[1]Hugst!$R$4:$W$4,0))))</f>
        <v>0</v>
      </c>
      <c r="AJ91">
        <f>IF($C91-AJ$1&lt;År1,0,AI90*(1-VLOOKUP($A91,[1]Hugst!$R$5:$W$9,MATCH(ROUNDUP((AJ$1)/10,0)*10,[1]Hugst!$R$4:$W$4,0))))</f>
        <v>0</v>
      </c>
    </row>
    <row r="92" spans="1:38" x14ac:dyDescent="0.25">
      <c r="A92" t="s">
        <v>177</v>
      </c>
      <c r="B92" t="s">
        <v>23</v>
      </c>
      <c r="C92">
        <v>2048</v>
      </c>
      <c r="D92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850.71178298697123</v>
      </c>
      <c r="E92">
        <f t="shared" ca="1" si="1"/>
        <v>114.91395522718085</v>
      </c>
      <c r="F92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4582.9096888314361</v>
      </c>
      <c r="G92">
        <f ca="1">IF($C92-G$1&lt;År1,0,F91*(1-VLOOKUP($A92,[1]Hugst!$R$5:$W$9,MATCH(ROUNDUP((G$1)/10,0)*10,[1]Hugst!$R$4:$W$4,0))))</f>
        <v>4579.7312484235681</v>
      </c>
      <c r="H92">
        <f ca="1">IF($C92-H$1&lt;År1,0,G91*(1-VLOOKUP($A92,[1]Hugst!$R$5:$W$9,MATCH(ROUNDUP((H$1)/10,0)*10,[1]Hugst!$R$4:$W$4,0))))</f>
        <v>4576.5613481947858</v>
      </c>
      <c r="I92">
        <f ca="1">IF($C92-I$1&lt;År1,0,H91*(1-VLOOKUP($A92,[1]Hugst!$R$5:$W$9,MATCH(ROUNDUP((I$1)/10,0)*10,[1]Hugst!$R$4:$W$4,0))))</f>
        <v>4573.4000555331568</v>
      </c>
      <c r="J92">
        <f ca="1">IF($C92-J$1&lt;År1,0,I91*(1-VLOOKUP($A92,[1]Hugst!$R$5:$W$9,MATCH(ROUNDUP((J$1)/10,0)*10,[1]Hugst!$R$4:$W$4,0))))</f>
        <v>4570.2474381835691</v>
      </c>
      <c r="K92">
        <f ca="1">IF($C92-K$1&lt;År1,0,J91*(1-VLOOKUP($A92,[1]Hugst!$R$5:$W$9,MATCH(ROUNDUP((K$1)/10,0)*10,[1]Hugst!$R$4:$W$4,0))))</f>
        <v>4567.1035642492952</v>
      </c>
      <c r="L92">
        <f ca="1">IF($C92-L$1&lt;År1,0,K91*(1-VLOOKUP($A92,[1]Hugst!$R$5:$W$9,MATCH(ROUNDUP((L$1)/10,0)*10,[1]Hugst!$R$4:$W$4,0))))</f>
        <v>4563.968502194044</v>
      </c>
      <c r="M92">
        <f ca="1">IF($C92-M$1&lt;År1,0,L91*(1-VLOOKUP($A92,[1]Hugst!$R$5:$W$9,MATCH(ROUNDUP((M$1)/10,0)*10,[1]Hugst!$R$4:$W$4,0))))</f>
        <v>4560.8423208432305</v>
      </c>
      <c r="N92">
        <f ca="1">IF($C92-N$1&lt;År1,0,M91*(1-VLOOKUP($A92,[1]Hugst!$R$5:$W$9,MATCH(ROUNDUP((N$1)/10,0)*10,[1]Hugst!$R$4:$W$4,0))))</f>
        <v>4557.7250893862383</v>
      </c>
      <c r="O92">
        <f ca="1">IF($C92-O$1&lt;År1,0,N91*(1-VLOOKUP($A92,[1]Hugst!$R$5:$W$9,MATCH(ROUNDUP((O$1)/10,0)*10,[1]Hugst!$R$4:$W$4,0))))</f>
        <v>4556.6264485611628</v>
      </c>
      <c r="P92">
        <f ca="1">IF($C92-P$1&lt;År1,0,O91*(1-VLOOKUP($A92,[1]Hugst!$R$5:$W$9,MATCH(ROUNDUP((P$1)/10,0)*10,[1]Hugst!$R$4:$W$4,0))))</f>
        <v>4549.2776128889755</v>
      </c>
      <c r="Q92">
        <f ca="1">IF($C92-Q$1&lt;År1,0,P91*(1-VLOOKUP($A92,[1]Hugst!$R$5:$W$9,MATCH(ROUNDUP((Q$1)/10,0)*10,[1]Hugst!$R$4:$W$4,0))))</f>
        <v>4541.9484188465212</v>
      </c>
      <c r="R92">
        <f ca="1">IF($C92-R$1&lt;År1,0,Q91*(1-VLOOKUP($A92,[1]Hugst!$R$5:$W$9,MATCH(ROUNDUP((R$1)/10,0)*10,[1]Hugst!$R$4:$W$4,0))))</f>
        <v>4534.6388659152817</v>
      </c>
      <c r="S92">
        <f ca="1">IF($C92-S$1&lt;År1,0,R91*(1-VLOOKUP($A92,[1]Hugst!$R$5:$W$9,MATCH(ROUNDUP((S$1)/10,0)*10,[1]Hugst!$R$4:$W$4,0))))</f>
        <v>4527.3489536803772</v>
      </c>
      <c r="T92">
        <f ca="1">IF($C92-T$1&lt;År1,0,S91*(1-VLOOKUP($A92,[1]Hugst!$R$5:$W$9,MATCH(ROUNDUP((T$1)/10,0)*10,[1]Hugst!$R$4:$W$4,0))))</f>
        <v>4520.0786818305533</v>
      </c>
      <c r="U92">
        <f ca="1">IF($C92-U$1&lt;År1,0,T91*(1-VLOOKUP($A92,[1]Hugst!$R$5:$W$9,MATCH(ROUNDUP((U$1)/10,0)*10,[1]Hugst!$R$4:$W$4,0))))</f>
        <v>4512.8280501587715</v>
      </c>
      <c r="V92">
        <f ca="1">IF($C92-V$1&lt;År1,0,U91*(1-VLOOKUP($A92,[1]Hugst!$R$5:$W$9,MATCH(ROUNDUP((V$1)/10,0)*10,[1]Hugst!$R$4:$W$4,0))))</f>
        <v>4505.5970585620889</v>
      </c>
      <c r="W92">
        <f ca="1">IF($C92-W$1&lt;År1,0,V91*(1-VLOOKUP($A92,[1]Hugst!$R$5:$W$9,MATCH(ROUNDUP((W$1)/10,0)*10,[1]Hugst!$R$4:$W$4,0))))</f>
        <v>4498.3857070419554</v>
      </c>
      <c r="X92">
        <f ca="1">IF($C92-X$1&lt;År1,0,W91*(1-VLOOKUP($A92,[1]Hugst!$R$5:$W$9,MATCH(ROUNDUP((X$1)/10,0)*10,[1]Hugst!$R$4:$W$4,0))))</f>
        <v>3193.7667688050137</v>
      </c>
      <c r="Y92">
        <f ca="1">IF($C92-Y$1&lt;År1,0,X91*(1-VLOOKUP($A92,[1]Hugst!$R$5:$W$9,MATCH(ROUNDUP((Y$1)/10,0)*10,[1]Hugst!$R$4:$W$4,0))))</f>
        <v>3188.5738241395729</v>
      </c>
      <c r="Z92">
        <f ca="1">IF($C92-Z$1&lt;År1,0,Y91*(1-VLOOKUP($A92,[1]Hugst!$R$5:$W$9,MATCH(ROUNDUP((Z$1)/10,0)*10,[1]Hugst!$R$4:$W$4,0))))</f>
        <v>3187.6571600431407</v>
      </c>
      <c r="AA92">
        <f ca="1">IF($C92-AA$1&lt;År1,0,Z91*(1-VLOOKUP($A92,[1]Hugst!$R$5:$W$9,MATCH(ROUNDUP((AA$1)/10,0)*10,[1]Hugst!$R$4:$W$4,0))))</f>
        <v>3186.7572471381977</v>
      </c>
      <c r="AB92">
        <f ca="1">IF($C92-AB$1&lt;År1,0,AA91*(1-VLOOKUP($A92,[1]Hugst!$R$5:$W$9,MATCH(ROUNDUP((AB$1)/10,0)*10,[1]Hugst!$R$4:$W$4,0))))</f>
        <v>3185.8741060301045</v>
      </c>
      <c r="AC92">
        <f ca="1">IF($C92-AC$1&lt;År1,0,AB91*(1-VLOOKUP($A92,[1]Hugst!$R$5:$W$9,MATCH(ROUNDUP((AC$1)/10,0)*10,[1]Hugst!$R$4:$W$4,0))))</f>
        <v>3185.0077574513602</v>
      </c>
      <c r="AD92">
        <f ca="1">IF($C92-AD$1&lt;År1,0,AC91*(1-VLOOKUP($A92,[1]Hugst!$R$5:$W$9,MATCH(ROUNDUP((AD$1)/10,0)*10,[1]Hugst!$R$4:$W$4,0))))</f>
        <v>3184.1582222619754</v>
      </c>
      <c r="AE92">
        <f ca="1">IF($C92-AE$1&lt;År1,0,AD91*(1-VLOOKUP($A92,[1]Hugst!$R$5:$W$9,MATCH(ROUNDUP((AE$1)/10,0)*10,[1]Hugst!$R$4:$W$4,0))))</f>
        <v>3183.3255214497694</v>
      </c>
      <c r="AF92">
        <f ca="1">IF($C92-AF$1&lt;År1,0,AE91*(1-VLOOKUP($A92,[1]Hugst!$R$5:$W$9,MATCH(ROUNDUP((AF$1)/10,0)*10,[1]Hugst!$R$4:$W$4,0))))</f>
        <v>3182.5096761307232</v>
      </c>
      <c r="AG92">
        <f ca="1">IF($C92-AG$1&lt;År1,0,AF91*(1-VLOOKUP($A92,[1]Hugst!$R$5:$W$9,MATCH(ROUNDUP((AG$1)/10,0)*10,[1]Hugst!$R$4:$W$4,0))))</f>
        <v>3181.7107075492331</v>
      </c>
      <c r="AH92">
        <f ca="1">IF($C92-AH$1&lt;År1,0,AG91*(1-VLOOKUP($A92,[1]Hugst!$R$5:$W$9,MATCH(ROUNDUP((AH$1)/10,0)*10,[1]Hugst!$R$4:$W$4,0))))</f>
        <v>3180.9286370785903</v>
      </c>
      <c r="AI92">
        <f>IF($C92-AI$1&lt;År1,0,AH91*(1-VLOOKUP($A92,[1]Hugst!$R$5:$W$9,MATCH(ROUNDUP((AI$1)/10,0)*10,[1]Hugst!$R$4:$W$4,0))))</f>
        <v>0</v>
      </c>
      <c r="AJ92">
        <f>IF($C92-AJ$1&lt;År1,0,AI91*(1-VLOOKUP($A92,[1]Hugst!$R$5:$W$9,MATCH(ROUNDUP((AJ$1)/10,0)*10,[1]Hugst!$R$4:$W$4,0))))</f>
        <v>0</v>
      </c>
    </row>
    <row r="93" spans="1:38" x14ac:dyDescent="0.25">
      <c r="A93" t="s">
        <v>177</v>
      </c>
      <c r="B93" t="s">
        <v>23</v>
      </c>
      <c r="C93">
        <v>2049</v>
      </c>
      <c r="D93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846.45822407204105</v>
      </c>
      <c r="E93">
        <f t="shared" ca="1" si="1"/>
        <v>122.35442769560905</v>
      </c>
      <c r="F93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4586.0966023849342</v>
      </c>
      <c r="G93">
        <f ca="1">IF($C93-G$1&lt;År1,0,F92*(1-VLOOKUP($A93,[1]Hugst!$R$5:$W$9,MATCH(ROUNDUP((G$1)/10,0)*10,[1]Hugst!$R$4:$W$4,0))))</f>
        <v>4582.9096888314361</v>
      </c>
      <c r="H93">
        <f ca="1">IF($C93-H$1&lt;År1,0,G92*(1-VLOOKUP($A93,[1]Hugst!$R$5:$W$9,MATCH(ROUNDUP((H$1)/10,0)*10,[1]Hugst!$R$4:$W$4,0))))</f>
        <v>4579.7312484235681</v>
      </c>
      <c r="I93">
        <f ca="1">IF($C93-I$1&lt;År1,0,H92*(1-VLOOKUP($A93,[1]Hugst!$R$5:$W$9,MATCH(ROUNDUP((I$1)/10,0)*10,[1]Hugst!$R$4:$W$4,0))))</f>
        <v>4576.5613481947858</v>
      </c>
      <c r="J93">
        <f ca="1">IF($C93-J$1&lt;År1,0,I92*(1-VLOOKUP($A93,[1]Hugst!$R$5:$W$9,MATCH(ROUNDUP((J$1)/10,0)*10,[1]Hugst!$R$4:$W$4,0))))</f>
        <v>4573.4000555331568</v>
      </c>
      <c r="K93">
        <f ca="1">IF($C93-K$1&lt;År1,0,J92*(1-VLOOKUP($A93,[1]Hugst!$R$5:$W$9,MATCH(ROUNDUP((K$1)/10,0)*10,[1]Hugst!$R$4:$W$4,0))))</f>
        <v>4570.2474381835691</v>
      </c>
      <c r="L93">
        <f ca="1">IF($C93-L$1&lt;År1,0,K92*(1-VLOOKUP($A93,[1]Hugst!$R$5:$W$9,MATCH(ROUNDUP((L$1)/10,0)*10,[1]Hugst!$R$4:$W$4,0))))</f>
        <v>4567.1035642492952</v>
      </c>
      <c r="M93">
        <f ca="1">IF($C93-M$1&lt;År1,0,L92*(1-VLOOKUP($A93,[1]Hugst!$R$5:$W$9,MATCH(ROUNDUP((M$1)/10,0)*10,[1]Hugst!$R$4:$W$4,0))))</f>
        <v>4563.968502194044</v>
      </c>
      <c r="N93">
        <f ca="1">IF($C93-N$1&lt;År1,0,M92*(1-VLOOKUP($A93,[1]Hugst!$R$5:$W$9,MATCH(ROUNDUP((N$1)/10,0)*10,[1]Hugst!$R$4:$W$4,0))))</f>
        <v>4560.8423208432305</v>
      </c>
      <c r="O93">
        <f ca="1">IF($C93-O$1&lt;År1,0,N92*(1-VLOOKUP($A93,[1]Hugst!$R$5:$W$9,MATCH(ROUNDUP((O$1)/10,0)*10,[1]Hugst!$R$4:$W$4,0))))</f>
        <v>4557.7250893862383</v>
      </c>
      <c r="P93">
        <f ca="1">IF($C93-P$1&lt;År1,0,O92*(1-VLOOKUP($A93,[1]Hugst!$R$5:$W$9,MATCH(ROUNDUP((P$1)/10,0)*10,[1]Hugst!$R$4:$W$4,0))))</f>
        <v>4549.6756624531881</v>
      </c>
      <c r="Q93">
        <f ca="1">IF($C93-Q$1&lt;År1,0,P92*(1-VLOOKUP($A93,[1]Hugst!$R$5:$W$9,MATCH(ROUNDUP((Q$1)/10,0)*10,[1]Hugst!$R$4:$W$4,0))))</f>
        <v>4542.3380368693142</v>
      </c>
      <c r="R93">
        <f ca="1">IF($C93-R$1&lt;År1,0,Q92*(1-VLOOKUP($A93,[1]Hugst!$R$5:$W$9,MATCH(ROUNDUP((R$1)/10,0)*10,[1]Hugst!$R$4:$W$4,0))))</f>
        <v>4535.0200229533657</v>
      </c>
      <c r="S93">
        <f ca="1">IF($C93-S$1&lt;År1,0,R92*(1-VLOOKUP($A93,[1]Hugst!$R$5:$W$9,MATCH(ROUNDUP((S$1)/10,0)*10,[1]Hugst!$R$4:$W$4,0))))</f>
        <v>4527.7216201876145</v>
      </c>
      <c r="T93">
        <f ca="1">IF($C93-T$1&lt;År1,0,S92*(1-VLOOKUP($A93,[1]Hugst!$R$5:$W$9,MATCH(ROUNDUP((T$1)/10,0)*10,[1]Hugst!$R$4:$W$4,0))))</f>
        <v>4520.4428281578139</v>
      </c>
      <c r="U93">
        <f ca="1">IF($C93-U$1&lt;År1,0,T92*(1-VLOOKUP($A93,[1]Hugst!$R$5:$W$9,MATCH(ROUNDUP((U$1)/10,0)*10,[1]Hugst!$R$4:$W$4,0))))</f>
        <v>4513.1836465531842</v>
      </c>
      <c r="V93">
        <f ca="1">IF($C93-V$1&lt;År1,0,U92*(1-VLOOKUP($A93,[1]Hugst!$R$5:$W$9,MATCH(ROUNDUP((V$1)/10,0)*10,[1]Hugst!$R$4:$W$4,0))))</f>
        <v>4505.9440751670036</v>
      </c>
      <c r="W93">
        <f ca="1">IF($C93-W$1&lt;År1,0,V92*(1-VLOOKUP($A93,[1]Hugst!$R$5:$W$9,MATCH(ROUNDUP((W$1)/10,0)*10,[1]Hugst!$R$4:$W$4,0))))</f>
        <v>4498.7241138964855</v>
      </c>
      <c r="X93">
        <f ca="1">IF($C93-X$1&lt;År1,0,W92*(1-VLOOKUP($A93,[1]Hugst!$R$5:$W$9,MATCH(ROUNDUP((X$1)/10,0)*10,[1]Hugst!$R$4:$W$4,0))))</f>
        <v>4491.5237627430779</v>
      </c>
      <c r="Y93">
        <f ca="1">IF($C93-Y$1&lt;År1,0,X92*(1-VLOOKUP($A93,[1]Hugst!$R$5:$W$9,MATCH(ROUNDUP((Y$1)/10,0)*10,[1]Hugst!$R$4:$W$4,0))))</f>
        <v>3188.8949211915824</v>
      </c>
      <c r="Z93">
        <f ca="1">IF($C93-Z$1&lt;År1,0,Y92*(1-VLOOKUP($A93,[1]Hugst!$R$5:$W$9,MATCH(ROUNDUP((Z$1)/10,0)*10,[1]Hugst!$R$4:$W$4,0))))</f>
        <v>3183.0343526654319</v>
      </c>
      <c r="AA93">
        <f ca="1">IF($C93-AA$1&lt;År1,0,Z92*(1-VLOOKUP($A93,[1]Hugst!$R$5:$W$9,MATCH(ROUNDUP((AA$1)/10,0)*10,[1]Hugst!$R$4:$W$4,0))))</f>
        <v>3182.1192810786588</v>
      </c>
      <c r="AB93">
        <f ca="1">IF($C93-AB$1&lt;År1,0,AA92*(1-VLOOKUP($A93,[1]Hugst!$R$5:$W$9,MATCH(ROUNDUP((AB$1)/10,0)*10,[1]Hugst!$R$4:$W$4,0))))</f>
        <v>3181.2209315817286</v>
      </c>
      <c r="AC93">
        <f ca="1">IF($C93-AC$1&lt;År1,0,AB92*(1-VLOOKUP($A93,[1]Hugst!$R$5:$W$9,MATCH(ROUNDUP((AC$1)/10,0)*10,[1]Hugst!$R$4:$W$4,0))))</f>
        <v>3180.3393247442045</v>
      </c>
      <c r="AD93">
        <f ca="1">IF($C93-AD$1&lt;År1,0,AC92*(1-VLOOKUP($A93,[1]Hugst!$R$5:$W$9,MATCH(ROUNDUP((AD$1)/10,0)*10,[1]Hugst!$R$4:$W$4,0))))</f>
        <v>3179.4744812625677</v>
      </c>
      <c r="AE93">
        <f ca="1">IF($C93-AE$1&lt;År1,0,AD92*(1-VLOOKUP($A93,[1]Hugst!$R$5:$W$9,MATCH(ROUNDUP((AE$1)/10,0)*10,[1]Hugst!$R$4:$W$4,0))))</f>
        <v>3178.6264219605878</v>
      </c>
      <c r="AF93">
        <f ca="1">IF($C93-AF$1&lt;År1,0,AE92*(1-VLOOKUP($A93,[1]Hugst!$R$5:$W$9,MATCH(ROUNDUP((AF$1)/10,0)*10,[1]Hugst!$R$4:$W$4,0))))</f>
        <v>3177.7951677896235</v>
      </c>
      <c r="AG93">
        <f ca="1">IF($C93-AG$1&lt;År1,0,AF92*(1-VLOOKUP($A93,[1]Hugst!$R$5:$W$9,MATCH(ROUNDUP((AG$1)/10,0)*10,[1]Hugst!$R$4:$W$4,0))))</f>
        <v>3176.9807398289704</v>
      </c>
      <c r="AH93">
        <f ca="1">IF($C93-AH$1&lt;År1,0,AG92*(1-VLOOKUP($A93,[1]Hugst!$R$5:$W$9,MATCH(ROUNDUP((AH$1)/10,0)*10,[1]Hugst!$R$4:$W$4,0))))</f>
        <v>3176.1831592861176</v>
      </c>
      <c r="AI93">
        <f ca="1">IF($C93-AI$1&lt;År1,0,AH92*(1-VLOOKUP($A93,[1]Hugst!$R$5:$W$9,MATCH(ROUNDUP((AI$1)/10,0)*10,[1]Hugst!$R$4:$W$4,0))))</f>
        <v>3175.4024474972248</v>
      </c>
      <c r="AJ93">
        <f>IF($C93-AJ$1&lt;År1,0,AI92*(1-VLOOKUP($A93,[1]Hugst!$R$5:$W$9,MATCH(ROUNDUP((AJ$1)/10,0)*10,[1]Hugst!$R$4:$W$4,0))))</f>
        <v>0</v>
      </c>
    </row>
    <row r="94" spans="1:38" x14ac:dyDescent="0.25">
      <c r="A94" t="s">
        <v>177</v>
      </c>
      <c r="B94" t="s">
        <v>23</v>
      </c>
      <c r="C94">
        <v>2050</v>
      </c>
      <c r="D94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842.22593295169281</v>
      </c>
      <c r="E94">
        <f t="shared" ca="1" si="1"/>
        <v>127.09311992947187</v>
      </c>
      <c r="F94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4586.6030034984487</v>
      </c>
      <c r="G94">
        <f ca="1">IF($C94-G$1&lt;År1,0,F93*(1-VLOOKUP($A94,[1]Hugst!$R$5:$W$9,MATCH(ROUNDUP((G$1)/10,0)*10,[1]Hugst!$R$4:$W$4,0))))</f>
        <v>4586.0966023849342</v>
      </c>
      <c r="H94">
        <f ca="1">IF($C94-H$1&lt;År1,0,G93*(1-VLOOKUP($A94,[1]Hugst!$R$5:$W$9,MATCH(ROUNDUP((H$1)/10,0)*10,[1]Hugst!$R$4:$W$4,0))))</f>
        <v>4582.9096888314361</v>
      </c>
      <c r="I94">
        <f ca="1">IF($C94-I$1&lt;År1,0,H93*(1-VLOOKUP($A94,[1]Hugst!$R$5:$W$9,MATCH(ROUNDUP((I$1)/10,0)*10,[1]Hugst!$R$4:$W$4,0))))</f>
        <v>4579.7312484235681</v>
      </c>
      <c r="J94">
        <f ca="1">IF($C94-J$1&lt;År1,0,I93*(1-VLOOKUP($A94,[1]Hugst!$R$5:$W$9,MATCH(ROUNDUP((J$1)/10,0)*10,[1]Hugst!$R$4:$W$4,0))))</f>
        <v>4576.5613481947858</v>
      </c>
      <c r="K94">
        <f ca="1">IF($C94-K$1&lt;År1,0,J93*(1-VLOOKUP($A94,[1]Hugst!$R$5:$W$9,MATCH(ROUNDUP((K$1)/10,0)*10,[1]Hugst!$R$4:$W$4,0))))</f>
        <v>4573.4000555331568</v>
      </c>
      <c r="L94">
        <f ca="1">IF($C94-L$1&lt;År1,0,K93*(1-VLOOKUP($A94,[1]Hugst!$R$5:$W$9,MATCH(ROUNDUP((L$1)/10,0)*10,[1]Hugst!$R$4:$W$4,0))))</f>
        <v>4570.2474381835691</v>
      </c>
      <c r="M94">
        <f ca="1">IF($C94-M$1&lt;År1,0,L93*(1-VLOOKUP($A94,[1]Hugst!$R$5:$W$9,MATCH(ROUNDUP((M$1)/10,0)*10,[1]Hugst!$R$4:$W$4,0))))</f>
        <v>4567.1035642492952</v>
      </c>
      <c r="N94">
        <f ca="1">IF($C94-N$1&lt;År1,0,M93*(1-VLOOKUP($A94,[1]Hugst!$R$5:$W$9,MATCH(ROUNDUP((N$1)/10,0)*10,[1]Hugst!$R$4:$W$4,0))))</f>
        <v>4563.968502194044</v>
      </c>
      <c r="O94">
        <f ca="1">IF($C94-O$1&lt;År1,0,N93*(1-VLOOKUP($A94,[1]Hugst!$R$5:$W$9,MATCH(ROUNDUP((O$1)/10,0)*10,[1]Hugst!$R$4:$W$4,0))))</f>
        <v>4560.8423208432305</v>
      </c>
      <c r="P94">
        <f ca="1">IF($C94-P$1&lt;År1,0,O93*(1-VLOOKUP($A94,[1]Hugst!$R$5:$W$9,MATCH(ROUNDUP((P$1)/10,0)*10,[1]Hugst!$R$4:$W$4,0))))</f>
        <v>4550.7726273854796</v>
      </c>
      <c r="Q94">
        <f ca="1">IF($C94-Q$1&lt;År1,0,P93*(1-VLOOKUP($A94,[1]Hugst!$R$5:$W$9,MATCH(ROUNDUP((Q$1)/10,0)*10,[1]Hugst!$R$4:$W$4,0))))</f>
        <v>4542.7354792392762</v>
      </c>
      <c r="R94">
        <f ca="1">IF($C94-R$1&lt;År1,0,Q93*(1-VLOOKUP($A94,[1]Hugst!$R$5:$W$9,MATCH(ROUNDUP((R$1)/10,0)*10,[1]Hugst!$R$4:$W$4,0))))</f>
        <v>4535.409046643581</v>
      </c>
      <c r="S94">
        <f ca="1">IF($C94-S$1&lt;År1,0,R93*(1-VLOOKUP($A94,[1]Hugst!$R$5:$W$9,MATCH(ROUNDUP((S$1)/10,0)*10,[1]Hugst!$R$4:$W$4,0))))</f>
        <v>4528.1021957997082</v>
      </c>
      <c r="T94">
        <f ca="1">IF($C94-T$1&lt;År1,0,S93*(1-VLOOKUP($A94,[1]Hugst!$R$5:$W$9,MATCH(ROUNDUP((T$1)/10,0)*10,[1]Hugst!$R$4:$W$4,0))))</f>
        <v>4520.8149261907183</v>
      </c>
      <c r="U94">
        <f ca="1">IF($C94-U$1&lt;År1,0,T93*(1-VLOOKUP($A94,[1]Hugst!$R$5:$W$9,MATCH(ROUNDUP((U$1)/10,0)*10,[1]Hugst!$R$4:$W$4,0))))</f>
        <v>4513.5472374029969</v>
      </c>
      <c r="V94">
        <f ca="1">IF($C94-V$1&lt;År1,0,U93*(1-VLOOKUP($A94,[1]Hugst!$R$5:$W$9,MATCH(ROUNDUP((V$1)/10,0)*10,[1]Hugst!$R$4:$W$4,0))))</f>
        <v>4506.2991291262388</v>
      </c>
      <c r="W94">
        <f ca="1">IF($C94-W$1&lt;År1,0,V93*(1-VLOOKUP($A94,[1]Hugst!$R$5:$W$9,MATCH(ROUNDUP((W$1)/10,0)*10,[1]Hugst!$R$4:$W$4,0))))</f>
        <v>4499.0706011540369</v>
      </c>
      <c r="X94">
        <f ca="1">IF($C94-X$1&lt;År1,0,W93*(1-VLOOKUP($A94,[1]Hugst!$R$5:$W$9,MATCH(ROUNDUP((X$1)/10,0)*10,[1]Hugst!$R$4:$W$4,0))))</f>
        <v>4491.8616533837621</v>
      </c>
      <c r="Y94">
        <f ca="1">IF($C94-Y$1&lt;År1,0,X93*(1-VLOOKUP($A94,[1]Hugst!$R$5:$W$9,MATCH(ROUNDUP((Y$1)/10,0)*10,[1]Hugst!$R$4:$W$4,0))))</f>
        <v>4484.6722858168596</v>
      </c>
      <c r="Z94">
        <f ca="1">IF($C94-Z$1&lt;År1,0,Y93*(1-VLOOKUP($A94,[1]Hugst!$R$5:$W$9,MATCH(ROUNDUP((Z$1)/10,0)*10,[1]Hugst!$R$4:$W$4,0))))</f>
        <v>3183.3548918793426</v>
      </c>
      <c r="AA94">
        <f ca="1">IF($C94-AA$1&lt;År1,0,Z93*(1-VLOOKUP($A94,[1]Hugst!$R$5:$W$9,MATCH(ROUNDUP((AA$1)/10,0)*10,[1]Hugst!$R$4:$W$4,0))))</f>
        <v>3177.5045048493603</v>
      </c>
      <c r="AB94">
        <f ca="1">IF($C94-AB$1&lt;År1,0,AA93*(1-VLOOKUP($A94,[1]Hugst!$R$5:$W$9,MATCH(ROUNDUP((AB$1)/10,0)*10,[1]Hugst!$R$4:$W$4,0))))</f>
        <v>3176.5910230055983</v>
      </c>
      <c r="AC94">
        <f ca="1">IF($C94-AC$1&lt;År1,0,AB93*(1-VLOOKUP($A94,[1]Hugst!$R$5:$W$9,MATCH(ROUNDUP((AC$1)/10,0)*10,[1]Hugst!$R$4:$W$4,0))))</f>
        <v>3175.6942342005905</v>
      </c>
      <c r="AD94">
        <f ca="1">IF($C94-AD$1&lt;År1,0,AC93*(1-VLOOKUP($A94,[1]Hugst!$R$5:$W$9,MATCH(ROUNDUP((AD$1)/10,0)*10,[1]Hugst!$R$4:$W$4,0))))</f>
        <v>3174.8141589681659</v>
      </c>
      <c r="AE94">
        <f ca="1">IF($C94-AE$1&lt;År1,0,AD93*(1-VLOOKUP($A94,[1]Hugst!$R$5:$W$9,MATCH(ROUNDUP((AE$1)/10,0)*10,[1]Hugst!$R$4:$W$4,0))))</f>
        <v>3173.9508179688487</v>
      </c>
      <c r="AF94">
        <f ca="1">IF($C94-AF$1&lt;År1,0,AE93*(1-VLOOKUP($A94,[1]Hugst!$R$5:$W$9,MATCH(ROUNDUP((AF$1)/10,0)*10,[1]Hugst!$R$4:$W$4,0))))</f>
        <v>3173.1042319902322</v>
      </c>
      <c r="AG94">
        <f ca="1">IF($C94-AG$1&lt;År1,0,AF93*(1-VLOOKUP($A94,[1]Hugst!$R$5:$W$9,MATCH(ROUNDUP((AG$1)/10,0)*10,[1]Hugst!$R$4:$W$4,0))))</f>
        <v>3172.274421947277</v>
      </c>
      <c r="AH94">
        <f ca="1">IF($C94-AH$1&lt;År1,0,AG93*(1-VLOOKUP($A94,[1]Hugst!$R$5:$W$9,MATCH(ROUNDUP((AH$1)/10,0)*10,[1]Hugst!$R$4:$W$4,0))))</f>
        <v>3171.4614088826575</v>
      </c>
      <c r="AI94">
        <f ca="1">IF($C94-AI$1&lt;År1,0,AH93*(1-VLOOKUP($A94,[1]Hugst!$R$5:$W$9,MATCH(ROUNDUP((AI$1)/10,0)*10,[1]Hugst!$R$4:$W$4,0))))</f>
        <v>3170.6652139670186</v>
      </c>
      <c r="AJ94">
        <f ca="1">IF($C94-AJ$1&lt;År1,0,AI93*(1-VLOOKUP($A94,[1]Hugst!$R$5:$W$9,MATCH(ROUNDUP((AJ$1)/10,0)*10,[1]Hugst!$R$4:$W$4,0))))</f>
        <v>3172.5768775227571</v>
      </c>
      <c r="AL94">
        <f ca="1">SUM(F94:AJ94)</f>
        <v>125842.74073966099</v>
      </c>
    </row>
    <row r="95" spans="1:38" x14ac:dyDescent="0.25">
      <c r="A95" t="s">
        <v>177</v>
      </c>
      <c r="B95" t="s">
        <v>24</v>
      </c>
      <c r="C95">
        <v>2020</v>
      </c>
      <c r="D95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286.52732634810457</v>
      </c>
      <c r="E95">
        <f>IF(C95=2020,SUM(G95:AJ95),SUM(F94:AJ94)-SUM(G95:AJ95))</f>
        <v>0</v>
      </c>
      <c r="F95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636.13450928862039</v>
      </c>
      <c r="G95">
        <f>IF($C95-G$1&lt;År1,0,F94*(1-VLOOKUP($A95,[1]Hugst!$R$5:$W$9,MATCH(ROUNDUP((G$1)/10,0)*10,[1]Hugst!$R$4:$W$4,0))))</f>
        <v>0</v>
      </c>
      <c r="H95">
        <f>IF($C95-H$1&lt;År1,0,G94*(1-VLOOKUP($A95,[1]Hugst!$R$5:$W$9,MATCH(ROUNDUP((H$1)/10,0)*10,[1]Hugst!$R$4:$W$4,0))))</f>
        <v>0</v>
      </c>
      <c r="I95">
        <f>IF($C95-I$1&lt;År1,0,H94*(1-VLOOKUP($A95,[1]Hugst!$R$5:$W$9,MATCH(ROUNDUP((I$1)/10,0)*10,[1]Hugst!$R$4:$W$4,0))))</f>
        <v>0</v>
      </c>
      <c r="J95">
        <f>IF($C95-J$1&lt;År1,0,I94*(1-VLOOKUP($A95,[1]Hugst!$R$5:$W$9,MATCH(ROUNDUP((J$1)/10,0)*10,[1]Hugst!$R$4:$W$4,0))))</f>
        <v>0</v>
      </c>
      <c r="K95">
        <f>IF($C95-K$1&lt;År1,0,J94*(1-VLOOKUP($A95,[1]Hugst!$R$5:$W$9,MATCH(ROUNDUP((K$1)/10,0)*10,[1]Hugst!$R$4:$W$4,0))))</f>
        <v>0</v>
      </c>
      <c r="L95">
        <f>IF($C95-L$1&lt;År1,0,K94*(1-VLOOKUP($A95,[1]Hugst!$R$5:$W$9,MATCH(ROUNDUP((L$1)/10,0)*10,[1]Hugst!$R$4:$W$4,0))))</f>
        <v>0</v>
      </c>
      <c r="M95">
        <f>IF($C95-M$1&lt;År1,0,L94*(1-VLOOKUP($A95,[1]Hugst!$R$5:$W$9,MATCH(ROUNDUP((M$1)/10,0)*10,[1]Hugst!$R$4:$W$4,0))))</f>
        <v>0</v>
      </c>
      <c r="N95">
        <f>IF($C95-N$1&lt;År1,0,M94*(1-VLOOKUP($A95,[1]Hugst!$R$5:$W$9,MATCH(ROUNDUP((N$1)/10,0)*10,[1]Hugst!$R$4:$W$4,0))))</f>
        <v>0</v>
      </c>
      <c r="O95">
        <f>IF($C95-O$1&lt;År1,0,N94*(1-VLOOKUP($A95,[1]Hugst!$R$5:$W$9,MATCH(ROUNDUP((O$1)/10,0)*10,[1]Hugst!$R$4:$W$4,0))))</f>
        <v>0</v>
      </c>
      <c r="P95">
        <f>IF($C95-P$1&lt;År1,0,O94*(1-VLOOKUP($A95,[1]Hugst!$R$5:$W$9,MATCH(ROUNDUP((P$1)/10,0)*10,[1]Hugst!$R$4:$W$4,0))))</f>
        <v>0</v>
      </c>
      <c r="Q95">
        <f>IF($C95-Q$1&lt;År1,0,P94*(1-VLOOKUP($A95,[1]Hugst!$R$5:$W$9,MATCH(ROUNDUP((Q$1)/10,0)*10,[1]Hugst!$R$4:$W$4,0))))</f>
        <v>0</v>
      </c>
      <c r="R95">
        <f>IF($C95-R$1&lt;År1,0,Q94*(1-VLOOKUP($A95,[1]Hugst!$R$5:$W$9,MATCH(ROUNDUP((R$1)/10,0)*10,[1]Hugst!$R$4:$W$4,0))))</f>
        <v>0</v>
      </c>
      <c r="S95">
        <f>IF($C95-S$1&lt;År1,0,R94*(1-VLOOKUP($A95,[1]Hugst!$R$5:$W$9,MATCH(ROUNDUP((S$1)/10,0)*10,[1]Hugst!$R$4:$W$4,0))))</f>
        <v>0</v>
      </c>
      <c r="T95">
        <f>IF($C95-T$1&lt;År1,0,S94*(1-VLOOKUP($A95,[1]Hugst!$R$5:$W$9,MATCH(ROUNDUP((T$1)/10,0)*10,[1]Hugst!$R$4:$W$4,0))))</f>
        <v>0</v>
      </c>
      <c r="U95">
        <f>IF($C95-U$1&lt;År1,0,T94*(1-VLOOKUP($A95,[1]Hugst!$R$5:$W$9,MATCH(ROUNDUP((U$1)/10,0)*10,[1]Hugst!$R$4:$W$4,0))))</f>
        <v>0</v>
      </c>
      <c r="V95">
        <f>IF($C95-V$1&lt;År1,0,U94*(1-VLOOKUP($A95,[1]Hugst!$R$5:$W$9,MATCH(ROUNDUP((V$1)/10,0)*10,[1]Hugst!$R$4:$W$4,0))))</f>
        <v>0</v>
      </c>
      <c r="W95">
        <f>IF($C95-W$1&lt;År1,0,V94*(1-VLOOKUP($A95,[1]Hugst!$R$5:$W$9,MATCH(ROUNDUP((W$1)/10,0)*10,[1]Hugst!$R$4:$W$4,0))))</f>
        <v>0</v>
      </c>
      <c r="X95">
        <f>IF($C95-X$1&lt;År1,0,W94*(1-VLOOKUP($A95,[1]Hugst!$R$5:$W$9,MATCH(ROUNDUP((X$1)/10,0)*10,[1]Hugst!$R$4:$W$4,0))))</f>
        <v>0</v>
      </c>
      <c r="Y95">
        <f>IF($C95-Y$1&lt;År1,0,X94*(1-VLOOKUP($A95,[1]Hugst!$R$5:$W$9,MATCH(ROUNDUP((Y$1)/10,0)*10,[1]Hugst!$R$4:$W$4,0))))</f>
        <v>0</v>
      </c>
      <c r="Z95">
        <f>IF($C95-Z$1&lt;År1,0,Y94*(1-VLOOKUP($A95,[1]Hugst!$R$5:$W$9,MATCH(ROUNDUP((Z$1)/10,0)*10,[1]Hugst!$R$4:$W$4,0))))</f>
        <v>0</v>
      </c>
      <c r="AA95">
        <f>IF($C95-AA$1&lt;År1,0,Z94*(1-VLOOKUP($A95,[1]Hugst!$R$5:$W$9,MATCH(ROUNDUP((AA$1)/10,0)*10,[1]Hugst!$R$4:$W$4,0))))</f>
        <v>0</v>
      </c>
      <c r="AB95">
        <f>IF($C95-AB$1&lt;År1,0,AA94*(1-VLOOKUP($A95,[1]Hugst!$R$5:$W$9,MATCH(ROUNDUP((AB$1)/10,0)*10,[1]Hugst!$R$4:$W$4,0))))</f>
        <v>0</v>
      </c>
      <c r="AC95">
        <f>IF($C95-AC$1&lt;År1,0,AB94*(1-VLOOKUP($A95,[1]Hugst!$R$5:$W$9,MATCH(ROUNDUP((AC$1)/10,0)*10,[1]Hugst!$R$4:$W$4,0))))</f>
        <v>0</v>
      </c>
      <c r="AD95">
        <f>IF($C95-AD$1&lt;År1,0,AC94*(1-VLOOKUP($A95,[1]Hugst!$R$5:$W$9,MATCH(ROUNDUP((AD$1)/10,0)*10,[1]Hugst!$R$4:$W$4,0))))</f>
        <v>0</v>
      </c>
      <c r="AE95">
        <f>IF($C95-AE$1&lt;År1,0,AD94*(1-VLOOKUP($A95,[1]Hugst!$R$5:$W$9,MATCH(ROUNDUP((AE$1)/10,0)*10,[1]Hugst!$R$4:$W$4,0))))</f>
        <v>0</v>
      </c>
      <c r="AF95">
        <f>IF($C95-AF$1&lt;År1,0,AE94*(1-VLOOKUP($A95,[1]Hugst!$R$5:$W$9,MATCH(ROUNDUP((AF$1)/10,0)*10,[1]Hugst!$R$4:$W$4,0))))</f>
        <v>0</v>
      </c>
      <c r="AG95">
        <f>IF($C95-AG$1&lt;År1,0,AF94*(1-VLOOKUP($A95,[1]Hugst!$R$5:$W$9,MATCH(ROUNDUP((AG$1)/10,0)*10,[1]Hugst!$R$4:$W$4,0))))</f>
        <v>0</v>
      </c>
      <c r="AH95">
        <f>IF($C95-AH$1&lt;År1,0,AG94*(1-VLOOKUP($A95,[1]Hugst!$R$5:$W$9,MATCH(ROUNDUP((AH$1)/10,0)*10,[1]Hugst!$R$4:$W$4,0))))</f>
        <v>0</v>
      </c>
      <c r="AI95">
        <f>IF($C95-AI$1&lt;År1,0,AH94*(1-VLOOKUP($A95,[1]Hugst!$R$5:$W$9,MATCH(ROUNDUP((AI$1)/10,0)*10,[1]Hugst!$R$4:$W$4,0))))</f>
        <v>0</v>
      </c>
      <c r="AJ95">
        <f>IF($C95-AJ$1&lt;År1,0,AI94*(1-VLOOKUP($A95,[1]Hugst!$R$5:$W$9,MATCH(ROUNDUP((AJ$1)/10,0)*10,[1]Hugst!$R$4:$W$4,0))))</f>
        <v>0</v>
      </c>
    </row>
    <row r="96" spans="1:38" x14ac:dyDescent="0.25">
      <c r="A96" t="s">
        <v>177</v>
      </c>
      <c r="B96" t="s">
        <v>24</v>
      </c>
      <c r="C96">
        <v>2021</v>
      </c>
      <c r="D96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285.09468971636375</v>
      </c>
      <c r="E96">
        <f t="shared" ref="E96:E124" ca="1" si="2">IF(C96=2020,SUM(G96:AJ96),SUM(F95:AJ95)-SUM(G96:AJ96))</f>
        <v>0</v>
      </c>
      <c r="F96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634.70187265687969</v>
      </c>
      <c r="G96">
        <f ca="1">IF($C96-G$1&lt;År1,0,F95*(1-VLOOKUP($A96,[1]Hugst!$R$5:$W$9,MATCH(ROUNDUP((G$1)/10,0)*10,[1]Hugst!$R$4:$W$4,0))))</f>
        <v>636.13450928862039</v>
      </c>
      <c r="H96">
        <f>IF($C96-H$1&lt;År1,0,G95*(1-VLOOKUP($A96,[1]Hugst!$R$5:$W$9,MATCH(ROUNDUP((H$1)/10,0)*10,[1]Hugst!$R$4:$W$4,0))))</f>
        <v>0</v>
      </c>
      <c r="I96">
        <f>IF($C96-I$1&lt;År1,0,H95*(1-VLOOKUP($A96,[1]Hugst!$R$5:$W$9,MATCH(ROUNDUP((I$1)/10,0)*10,[1]Hugst!$R$4:$W$4,0))))</f>
        <v>0</v>
      </c>
      <c r="J96">
        <f>IF($C96-J$1&lt;År1,0,I95*(1-VLOOKUP($A96,[1]Hugst!$R$5:$W$9,MATCH(ROUNDUP((J$1)/10,0)*10,[1]Hugst!$R$4:$W$4,0))))</f>
        <v>0</v>
      </c>
      <c r="K96">
        <f>IF($C96-K$1&lt;År1,0,J95*(1-VLOOKUP($A96,[1]Hugst!$R$5:$W$9,MATCH(ROUNDUP((K$1)/10,0)*10,[1]Hugst!$R$4:$W$4,0))))</f>
        <v>0</v>
      </c>
      <c r="L96">
        <f>IF($C96-L$1&lt;År1,0,K95*(1-VLOOKUP($A96,[1]Hugst!$R$5:$W$9,MATCH(ROUNDUP((L$1)/10,0)*10,[1]Hugst!$R$4:$W$4,0))))</f>
        <v>0</v>
      </c>
      <c r="M96">
        <f>IF($C96-M$1&lt;År1,0,L95*(1-VLOOKUP($A96,[1]Hugst!$R$5:$W$9,MATCH(ROUNDUP((M$1)/10,0)*10,[1]Hugst!$R$4:$W$4,0))))</f>
        <v>0</v>
      </c>
      <c r="N96">
        <f>IF($C96-N$1&lt;År1,0,M95*(1-VLOOKUP($A96,[1]Hugst!$R$5:$W$9,MATCH(ROUNDUP((N$1)/10,0)*10,[1]Hugst!$R$4:$W$4,0))))</f>
        <v>0</v>
      </c>
      <c r="O96">
        <f>IF($C96-O$1&lt;År1,0,N95*(1-VLOOKUP($A96,[1]Hugst!$R$5:$W$9,MATCH(ROUNDUP((O$1)/10,0)*10,[1]Hugst!$R$4:$W$4,0))))</f>
        <v>0</v>
      </c>
      <c r="P96">
        <f>IF($C96-P$1&lt;År1,0,O95*(1-VLOOKUP($A96,[1]Hugst!$R$5:$W$9,MATCH(ROUNDUP((P$1)/10,0)*10,[1]Hugst!$R$4:$W$4,0))))</f>
        <v>0</v>
      </c>
      <c r="Q96">
        <f>IF($C96-Q$1&lt;År1,0,P95*(1-VLOOKUP($A96,[1]Hugst!$R$5:$W$9,MATCH(ROUNDUP((Q$1)/10,0)*10,[1]Hugst!$R$4:$W$4,0))))</f>
        <v>0</v>
      </c>
      <c r="R96">
        <f>IF($C96-R$1&lt;År1,0,Q95*(1-VLOOKUP($A96,[1]Hugst!$R$5:$W$9,MATCH(ROUNDUP((R$1)/10,0)*10,[1]Hugst!$R$4:$W$4,0))))</f>
        <v>0</v>
      </c>
      <c r="S96">
        <f>IF($C96-S$1&lt;År1,0,R95*(1-VLOOKUP($A96,[1]Hugst!$R$5:$W$9,MATCH(ROUNDUP((S$1)/10,0)*10,[1]Hugst!$R$4:$W$4,0))))</f>
        <v>0</v>
      </c>
      <c r="T96">
        <f>IF($C96-T$1&lt;År1,0,S95*(1-VLOOKUP($A96,[1]Hugst!$R$5:$W$9,MATCH(ROUNDUP((T$1)/10,0)*10,[1]Hugst!$R$4:$W$4,0))))</f>
        <v>0</v>
      </c>
      <c r="U96">
        <f>IF($C96-U$1&lt;År1,0,T95*(1-VLOOKUP($A96,[1]Hugst!$R$5:$W$9,MATCH(ROUNDUP((U$1)/10,0)*10,[1]Hugst!$R$4:$W$4,0))))</f>
        <v>0</v>
      </c>
      <c r="V96">
        <f>IF($C96-V$1&lt;År1,0,U95*(1-VLOOKUP($A96,[1]Hugst!$R$5:$W$9,MATCH(ROUNDUP((V$1)/10,0)*10,[1]Hugst!$R$4:$W$4,0))))</f>
        <v>0</v>
      </c>
      <c r="W96">
        <f>IF($C96-W$1&lt;År1,0,V95*(1-VLOOKUP($A96,[1]Hugst!$R$5:$W$9,MATCH(ROUNDUP((W$1)/10,0)*10,[1]Hugst!$R$4:$W$4,0))))</f>
        <v>0</v>
      </c>
      <c r="X96">
        <f>IF($C96-X$1&lt;År1,0,W95*(1-VLOOKUP($A96,[1]Hugst!$R$5:$W$9,MATCH(ROUNDUP((X$1)/10,0)*10,[1]Hugst!$R$4:$W$4,0))))</f>
        <v>0</v>
      </c>
      <c r="Y96">
        <f>IF($C96-Y$1&lt;År1,0,X95*(1-VLOOKUP($A96,[1]Hugst!$R$5:$W$9,MATCH(ROUNDUP((Y$1)/10,0)*10,[1]Hugst!$R$4:$W$4,0))))</f>
        <v>0</v>
      </c>
      <c r="Z96">
        <f>IF($C96-Z$1&lt;År1,0,Y95*(1-VLOOKUP($A96,[1]Hugst!$R$5:$W$9,MATCH(ROUNDUP((Z$1)/10,0)*10,[1]Hugst!$R$4:$W$4,0))))</f>
        <v>0</v>
      </c>
      <c r="AA96">
        <f>IF($C96-AA$1&lt;År1,0,Z95*(1-VLOOKUP($A96,[1]Hugst!$R$5:$W$9,MATCH(ROUNDUP((AA$1)/10,0)*10,[1]Hugst!$R$4:$W$4,0))))</f>
        <v>0</v>
      </c>
      <c r="AB96">
        <f>IF($C96-AB$1&lt;År1,0,AA95*(1-VLOOKUP($A96,[1]Hugst!$R$5:$W$9,MATCH(ROUNDUP((AB$1)/10,0)*10,[1]Hugst!$R$4:$W$4,0))))</f>
        <v>0</v>
      </c>
      <c r="AC96">
        <f>IF($C96-AC$1&lt;År1,0,AB95*(1-VLOOKUP($A96,[1]Hugst!$R$5:$W$9,MATCH(ROUNDUP((AC$1)/10,0)*10,[1]Hugst!$R$4:$W$4,0))))</f>
        <v>0</v>
      </c>
      <c r="AD96">
        <f>IF($C96-AD$1&lt;År1,0,AC95*(1-VLOOKUP($A96,[1]Hugst!$R$5:$W$9,MATCH(ROUNDUP((AD$1)/10,0)*10,[1]Hugst!$R$4:$W$4,0))))</f>
        <v>0</v>
      </c>
      <c r="AE96">
        <f>IF($C96-AE$1&lt;År1,0,AD95*(1-VLOOKUP($A96,[1]Hugst!$R$5:$W$9,MATCH(ROUNDUP((AE$1)/10,0)*10,[1]Hugst!$R$4:$W$4,0))))</f>
        <v>0</v>
      </c>
      <c r="AF96">
        <f>IF($C96-AF$1&lt;År1,0,AE95*(1-VLOOKUP($A96,[1]Hugst!$R$5:$W$9,MATCH(ROUNDUP((AF$1)/10,0)*10,[1]Hugst!$R$4:$W$4,0))))</f>
        <v>0</v>
      </c>
      <c r="AG96">
        <f>IF($C96-AG$1&lt;År1,0,AF95*(1-VLOOKUP($A96,[1]Hugst!$R$5:$W$9,MATCH(ROUNDUP((AG$1)/10,0)*10,[1]Hugst!$R$4:$W$4,0))))</f>
        <v>0</v>
      </c>
      <c r="AH96">
        <f>IF($C96-AH$1&lt;År1,0,AG95*(1-VLOOKUP($A96,[1]Hugst!$R$5:$W$9,MATCH(ROUNDUP((AH$1)/10,0)*10,[1]Hugst!$R$4:$W$4,0))))</f>
        <v>0</v>
      </c>
      <c r="AI96">
        <f>IF($C96-AI$1&lt;År1,0,AH95*(1-VLOOKUP($A96,[1]Hugst!$R$5:$W$9,MATCH(ROUNDUP((AI$1)/10,0)*10,[1]Hugst!$R$4:$W$4,0))))</f>
        <v>0</v>
      </c>
      <c r="AJ96">
        <f>IF($C96-AJ$1&lt;År1,0,AI95*(1-VLOOKUP($A96,[1]Hugst!$R$5:$W$9,MATCH(ROUNDUP((AJ$1)/10,0)*10,[1]Hugst!$R$4:$W$4,0))))</f>
        <v>0</v>
      </c>
    </row>
    <row r="97" spans="1:36" x14ac:dyDescent="0.25">
      <c r="A97" t="s">
        <v>177</v>
      </c>
      <c r="B97" t="s">
        <v>24</v>
      </c>
      <c r="C97">
        <v>2022</v>
      </c>
      <c r="D97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283.66921626778276</v>
      </c>
      <c r="E97">
        <f t="shared" ca="1" si="2"/>
        <v>0</v>
      </c>
      <c r="F97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633.2763992082987</v>
      </c>
      <c r="G97">
        <f ca="1">IF($C97-G$1&lt;År1,0,F96*(1-VLOOKUP($A97,[1]Hugst!$R$5:$W$9,MATCH(ROUNDUP((G$1)/10,0)*10,[1]Hugst!$R$4:$W$4,0))))</f>
        <v>634.70187265687969</v>
      </c>
      <c r="H97">
        <f ca="1">IF($C97-H$1&lt;År1,0,G96*(1-VLOOKUP($A97,[1]Hugst!$R$5:$W$9,MATCH(ROUNDUP((H$1)/10,0)*10,[1]Hugst!$R$4:$W$4,0))))</f>
        <v>636.13450928862039</v>
      </c>
      <c r="I97">
        <f>IF($C97-I$1&lt;År1,0,H96*(1-VLOOKUP($A97,[1]Hugst!$R$5:$W$9,MATCH(ROUNDUP((I$1)/10,0)*10,[1]Hugst!$R$4:$W$4,0))))</f>
        <v>0</v>
      </c>
      <c r="J97">
        <f>IF($C97-J$1&lt;År1,0,I96*(1-VLOOKUP($A97,[1]Hugst!$R$5:$W$9,MATCH(ROUNDUP((J$1)/10,0)*10,[1]Hugst!$R$4:$W$4,0))))</f>
        <v>0</v>
      </c>
      <c r="K97">
        <f>IF($C97-K$1&lt;År1,0,J96*(1-VLOOKUP($A97,[1]Hugst!$R$5:$W$9,MATCH(ROUNDUP((K$1)/10,0)*10,[1]Hugst!$R$4:$W$4,0))))</f>
        <v>0</v>
      </c>
      <c r="L97">
        <f>IF($C97-L$1&lt;År1,0,K96*(1-VLOOKUP($A97,[1]Hugst!$R$5:$W$9,MATCH(ROUNDUP((L$1)/10,0)*10,[1]Hugst!$R$4:$W$4,0))))</f>
        <v>0</v>
      </c>
      <c r="M97">
        <f>IF($C97-M$1&lt;År1,0,L96*(1-VLOOKUP($A97,[1]Hugst!$R$5:$W$9,MATCH(ROUNDUP((M$1)/10,0)*10,[1]Hugst!$R$4:$W$4,0))))</f>
        <v>0</v>
      </c>
      <c r="N97">
        <f>IF($C97-N$1&lt;År1,0,M96*(1-VLOOKUP($A97,[1]Hugst!$R$5:$W$9,MATCH(ROUNDUP((N$1)/10,0)*10,[1]Hugst!$R$4:$W$4,0))))</f>
        <v>0</v>
      </c>
      <c r="O97">
        <f>IF($C97-O$1&lt;År1,0,N96*(1-VLOOKUP($A97,[1]Hugst!$R$5:$W$9,MATCH(ROUNDUP((O$1)/10,0)*10,[1]Hugst!$R$4:$W$4,0))))</f>
        <v>0</v>
      </c>
      <c r="P97">
        <f>IF($C97-P$1&lt;År1,0,O96*(1-VLOOKUP($A97,[1]Hugst!$R$5:$W$9,MATCH(ROUNDUP((P$1)/10,0)*10,[1]Hugst!$R$4:$W$4,0))))</f>
        <v>0</v>
      </c>
      <c r="Q97">
        <f>IF($C97-Q$1&lt;År1,0,P96*(1-VLOOKUP($A97,[1]Hugst!$R$5:$W$9,MATCH(ROUNDUP((Q$1)/10,0)*10,[1]Hugst!$R$4:$W$4,0))))</f>
        <v>0</v>
      </c>
      <c r="R97">
        <f>IF($C97-R$1&lt;År1,0,Q96*(1-VLOOKUP($A97,[1]Hugst!$R$5:$W$9,MATCH(ROUNDUP((R$1)/10,0)*10,[1]Hugst!$R$4:$W$4,0))))</f>
        <v>0</v>
      </c>
      <c r="S97">
        <f>IF($C97-S$1&lt;År1,0,R96*(1-VLOOKUP($A97,[1]Hugst!$R$5:$W$9,MATCH(ROUNDUP((S$1)/10,0)*10,[1]Hugst!$R$4:$W$4,0))))</f>
        <v>0</v>
      </c>
      <c r="T97">
        <f>IF($C97-T$1&lt;År1,0,S96*(1-VLOOKUP($A97,[1]Hugst!$R$5:$W$9,MATCH(ROUNDUP((T$1)/10,0)*10,[1]Hugst!$R$4:$W$4,0))))</f>
        <v>0</v>
      </c>
      <c r="U97">
        <f>IF($C97-U$1&lt;År1,0,T96*(1-VLOOKUP($A97,[1]Hugst!$R$5:$W$9,MATCH(ROUNDUP((U$1)/10,0)*10,[1]Hugst!$R$4:$W$4,0))))</f>
        <v>0</v>
      </c>
      <c r="V97">
        <f>IF($C97-V$1&lt;År1,0,U96*(1-VLOOKUP($A97,[1]Hugst!$R$5:$W$9,MATCH(ROUNDUP((V$1)/10,0)*10,[1]Hugst!$R$4:$W$4,0))))</f>
        <v>0</v>
      </c>
      <c r="W97">
        <f>IF($C97-W$1&lt;År1,0,V96*(1-VLOOKUP($A97,[1]Hugst!$R$5:$W$9,MATCH(ROUNDUP((W$1)/10,0)*10,[1]Hugst!$R$4:$W$4,0))))</f>
        <v>0</v>
      </c>
      <c r="X97">
        <f>IF($C97-X$1&lt;År1,0,W96*(1-VLOOKUP($A97,[1]Hugst!$R$5:$W$9,MATCH(ROUNDUP((X$1)/10,0)*10,[1]Hugst!$R$4:$W$4,0))))</f>
        <v>0</v>
      </c>
      <c r="Y97">
        <f>IF($C97-Y$1&lt;År1,0,X96*(1-VLOOKUP($A97,[1]Hugst!$R$5:$W$9,MATCH(ROUNDUP((Y$1)/10,0)*10,[1]Hugst!$R$4:$W$4,0))))</f>
        <v>0</v>
      </c>
      <c r="Z97">
        <f>IF($C97-Z$1&lt;År1,0,Y96*(1-VLOOKUP($A97,[1]Hugst!$R$5:$W$9,MATCH(ROUNDUP((Z$1)/10,0)*10,[1]Hugst!$R$4:$W$4,0))))</f>
        <v>0</v>
      </c>
      <c r="AA97">
        <f>IF($C97-AA$1&lt;År1,0,Z96*(1-VLOOKUP($A97,[1]Hugst!$R$5:$W$9,MATCH(ROUNDUP((AA$1)/10,0)*10,[1]Hugst!$R$4:$W$4,0))))</f>
        <v>0</v>
      </c>
      <c r="AB97">
        <f>IF($C97-AB$1&lt;År1,0,AA96*(1-VLOOKUP($A97,[1]Hugst!$R$5:$W$9,MATCH(ROUNDUP((AB$1)/10,0)*10,[1]Hugst!$R$4:$W$4,0))))</f>
        <v>0</v>
      </c>
      <c r="AC97">
        <f>IF($C97-AC$1&lt;År1,0,AB96*(1-VLOOKUP($A97,[1]Hugst!$R$5:$W$9,MATCH(ROUNDUP((AC$1)/10,0)*10,[1]Hugst!$R$4:$W$4,0))))</f>
        <v>0</v>
      </c>
      <c r="AD97">
        <f>IF($C97-AD$1&lt;År1,0,AC96*(1-VLOOKUP($A97,[1]Hugst!$R$5:$W$9,MATCH(ROUNDUP((AD$1)/10,0)*10,[1]Hugst!$R$4:$W$4,0))))</f>
        <v>0</v>
      </c>
      <c r="AE97">
        <f>IF($C97-AE$1&lt;År1,0,AD96*(1-VLOOKUP($A97,[1]Hugst!$R$5:$W$9,MATCH(ROUNDUP((AE$1)/10,0)*10,[1]Hugst!$R$4:$W$4,0))))</f>
        <v>0</v>
      </c>
      <c r="AF97">
        <f>IF($C97-AF$1&lt;År1,0,AE96*(1-VLOOKUP($A97,[1]Hugst!$R$5:$W$9,MATCH(ROUNDUP((AF$1)/10,0)*10,[1]Hugst!$R$4:$W$4,0))))</f>
        <v>0</v>
      </c>
      <c r="AG97">
        <f>IF($C97-AG$1&lt;År1,0,AF96*(1-VLOOKUP($A97,[1]Hugst!$R$5:$W$9,MATCH(ROUNDUP((AG$1)/10,0)*10,[1]Hugst!$R$4:$W$4,0))))</f>
        <v>0</v>
      </c>
      <c r="AH97">
        <f>IF($C97-AH$1&lt;År1,0,AG96*(1-VLOOKUP($A97,[1]Hugst!$R$5:$W$9,MATCH(ROUNDUP((AH$1)/10,0)*10,[1]Hugst!$R$4:$W$4,0))))</f>
        <v>0</v>
      </c>
      <c r="AI97">
        <f>IF($C97-AI$1&lt;År1,0,AH96*(1-VLOOKUP($A97,[1]Hugst!$R$5:$W$9,MATCH(ROUNDUP((AI$1)/10,0)*10,[1]Hugst!$R$4:$W$4,0))))</f>
        <v>0</v>
      </c>
      <c r="AJ97">
        <f>IF($C97-AJ$1&lt;År1,0,AI96*(1-VLOOKUP($A97,[1]Hugst!$R$5:$W$9,MATCH(ROUNDUP((AJ$1)/10,0)*10,[1]Hugst!$R$4:$W$4,0))))</f>
        <v>0</v>
      </c>
    </row>
    <row r="98" spans="1:36" x14ac:dyDescent="0.25">
      <c r="A98" t="s">
        <v>177</v>
      </c>
      <c r="B98" t="s">
        <v>24</v>
      </c>
      <c r="C98">
        <v>2023</v>
      </c>
      <c r="D9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282.25087018643683</v>
      </c>
      <c r="E98">
        <f t="shared" ca="1" si="2"/>
        <v>0</v>
      </c>
      <c r="F9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631.85805312695265</v>
      </c>
      <c r="G98">
        <f ca="1">IF($C98-G$1&lt;År1,0,F97*(1-VLOOKUP($A98,[1]Hugst!$R$5:$W$9,MATCH(ROUNDUP((G$1)/10,0)*10,[1]Hugst!$R$4:$W$4,0))))</f>
        <v>633.2763992082987</v>
      </c>
      <c r="H98">
        <f ca="1">IF($C98-H$1&lt;År1,0,G97*(1-VLOOKUP($A98,[1]Hugst!$R$5:$W$9,MATCH(ROUNDUP((H$1)/10,0)*10,[1]Hugst!$R$4:$W$4,0))))</f>
        <v>634.70187265687969</v>
      </c>
      <c r="I98">
        <f ca="1">IF($C98-I$1&lt;År1,0,H97*(1-VLOOKUP($A98,[1]Hugst!$R$5:$W$9,MATCH(ROUNDUP((I$1)/10,0)*10,[1]Hugst!$R$4:$W$4,0))))</f>
        <v>636.13450928862039</v>
      </c>
      <c r="J98">
        <f>IF($C98-J$1&lt;År1,0,I97*(1-VLOOKUP($A98,[1]Hugst!$R$5:$W$9,MATCH(ROUNDUP((J$1)/10,0)*10,[1]Hugst!$R$4:$W$4,0))))</f>
        <v>0</v>
      </c>
      <c r="K98">
        <f>IF($C98-K$1&lt;År1,0,J97*(1-VLOOKUP($A98,[1]Hugst!$R$5:$W$9,MATCH(ROUNDUP((K$1)/10,0)*10,[1]Hugst!$R$4:$W$4,0))))</f>
        <v>0</v>
      </c>
      <c r="L98">
        <f>IF($C98-L$1&lt;År1,0,K97*(1-VLOOKUP($A98,[1]Hugst!$R$5:$W$9,MATCH(ROUNDUP((L$1)/10,0)*10,[1]Hugst!$R$4:$W$4,0))))</f>
        <v>0</v>
      </c>
      <c r="M98">
        <f>IF($C98-M$1&lt;År1,0,L97*(1-VLOOKUP($A98,[1]Hugst!$R$5:$W$9,MATCH(ROUNDUP((M$1)/10,0)*10,[1]Hugst!$R$4:$W$4,0))))</f>
        <v>0</v>
      </c>
      <c r="N98">
        <f>IF($C98-N$1&lt;År1,0,M97*(1-VLOOKUP($A98,[1]Hugst!$R$5:$W$9,MATCH(ROUNDUP((N$1)/10,0)*10,[1]Hugst!$R$4:$W$4,0))))</f>
        <v>0</v>
      </c>
      <c r="O98">
        <f>IF($C98-O$1&lt;År1,0,N97*(1-VLOOKUP($A98,[1]Hugst!$R$5:$W$9,MATCH(ROUNDUP((O$1)/10,0)*10,[1]Hugst!$R$4:$W$4,0))))</f>
        <v>0</v>
      </c>
      <c r="P98">
        <f>IF($C98-P$1&lt;År1,0,O97*(1-VLOOKUP($A98,[1]Hugst!$R$5:$W$9,MATCH(ROUNDUP((P$1)/10,0)*10,[1]Hugst!$R$4:$W$4,0))))</f>
        <v>0</v>
      </c>
      <c r="Q98">
        <f>IF($C98-Q$1&lt;År1,0,P97*(1-VLOOKUP($A98,[1]Hugst!$R$5:$W$9,MATCH(ROUNDUP((Q$1)/10,0)*10,[1]Hugst!$R$4:$W$4,0))))</f>
        <v>0</v>
      </c>
      <c r="R98">
        <f>IF($C98-R$1&lt;År1,0,Q97*(1-VLOOKUP($A98,[1]Hugst!$R$5:$W$9,MATCH(ROUNDUP((R$1)/10,0)*10,[1]Hugst!$R$4:$W$4,0))))</f>
        <v>0</v>
      </c>
      <c r="S98">
        <f>IF($C98-S$1&lt;År1,0,R97*(1-VLOOKUP($A98,[1]Hugst!$R$5:$W$9,MATCH(ROUNDUP((S$1)/10,0)*10,[1]Hugst!$R$4:$W$4,0))))</f>
        <v>0</v>
      </c>
      <c r="T98">
        <f>IF($C98-T$1&lt;År1,0,S97*(1-VLOOKUP($A98,[1]Hugst!$R$5:$W$9,MATCH(ROUNDUP((T$1)/10,0)*10,[1]Hugst!$R$4:$W$4,0))))</f>
        <v>0</v>
      </c>
      <c r="U98">
        <f>IF($C98-U$1&lt;År1,0,T97*(1-VLOOKUP($A98,[1]Hugst!$R$5:$W$9,MATCH(ROUNDUP((U$1)/10,0)*10,[1]Hugst!$R$4:$W$4,0))))</f>
        <v>0</v>
      </c>
      <c r="V98">
        <f>IF($C98-V$1&lt;År1,0,U97*(1-VLOOKUP($A98,[1]Hugst!$R$5:$W$9,MATCH(ROUNDUP((V$1)/10,0)*10,[1]Hugst!$R$4:$W$4,0))))</f>
        <v>0</v>
      </c>
      <c r="W98">
        <f>IF($C98-W$1&lt;År1,0,V97*(1-VLOOKUP($A98,[1]Hugst!$R$5:$W$9,MATCH(ROUNDUP((W$1)/10,0)*10,[1]Hugst!$R$4:$W$4,0))))</f>
        <v>0</v>
      </c>
      <c r="X98">
        <f>IF($C98-X$1&lt;År1,0,W97*(1-VLOOKUP($A98,[1]Hugst!$R$5:$W$9,MATCH(ROUNDUP((X$1)/10,0)*10,[1]Hugst!$R$4:$W$4,0))))</f>
        <v>0</v>
      </c>
      <c r="Y98">
        <f>IF($C98-Y$1&lt;År1,0,X97*(1-VLOOKUP($A98,[1]Hugst!$R$5:$W$9,MATCH(ROUNDUP((Y$1)/10,0)*10,[1]Hugst!$R$4:$W$4,0))))</f>
        <v>0</v>
      </c>
      <c r="Z98">
        <f>IF($C98-Z$1&lt;År1,0,Y97*(1-VLOOKUP($A98,[1]Hugst!$R$5:$W$9,MATCH(ROUNDUP((Z$1)/10,0)*10,[1]Hugst!$R$4:$W$4,0))))</f>
        <v>0</v>
      </c>
      <c r="AA98">
        <f>IF($C98-AA$1&lt;År1,0,Z97*(1-VLOOKUP($A98,[1]Hugst!$R$5:$W$9,MATCH(ROUNDUP((AA$1)/10,0)*10,[1]Hugst!$R$4:$W$4,0))))</f>
        <v>0</v>
      </c>
      <c r="AB98">
        <f>IF($C98-AB$1&lt;År1,0,AA97*(1-VLOOKUP($A98,[1]Hugst!$R$5:$W$9,MATCH(ROUNDUP((AB$1)/10,0)*10,[1]Hugst!$R$4:$W$4,0))))</f>
        <v>0</v>
      </c>
      <c r="AC98">
        <f>IF($C98-AC$1&lt;År1,0,AB97*(1-VLOOKUP($A98,[1]Hugst!$R$5:$W$9,MATCH(ROUNDUP((AC$1)/10,0)*10,[1]Hugst!$R$4:$W$4,0))))</f>
        <v>0</v>
      </c>
      <c r="AD98">
        <f>IF($C98-AD$1&lt;År1,0,AC97*(1-VLOOKUP($A98,[1]Hugst!$R$5:$W$9,MATCH(ROUNDUP((AD$1)/10,0)*10,[1]Hugst!$R$4:$W$4,0))))</f>
        <v>0</v>
      </c>
      <c r="AE98">
        <f>IF($C98-AE$1&lt;År1,0,AD97*(1-VLOOKUP($A98,[1]Hugst!$R$5:$W$9,MATCH(ROUNDUP((AE$1)/10,0)*10,[1]Hugst!$R$4:$W$4,0))))</f>
        <v>0</v>
      </c>
      <c r="AF98">
        <f>IF($C98-AF$1&lt;År1,0,AE97*(1-VLOOKUP($A98,[1]Hugst!$R$5:$W$9,MATCH(ROUNDUP((AF$1)/10,0)*10,[1]Hugst!$R$4:$W$4,0))))</f>
        <v>0</v>
      </c>
      <c r="AG98">
        <f>IF($C98-AG$1&lt;År1,0,AF97*(1-VLOOKUP($A98,[1]Hugst!$R$5:$W$9,MATCH(ROUNDUP((AG$1)/10,0)*10,[1]Hugst!$R$4:$W$4,0))))</f>
        <v>0</v>
      </c>
      <c r="AH98">
        <f>IF($C98-AH$1&lt;År1,0,AG97*(1-VLOOKUP($A98,[1]Hugst!$R$5:$W$9,MATCH(ROUNDUP((AH$1)/10,0)*10,[1]Hugst!$R$4:$W$4,0))))</f>
        <v>0</v>
      </c>
      <c r="AI98">
        <f>IF($C98-AI$1&lt;År1,0,AH97*(1-VLOOKUP($A98,[1]Hugst!$R$5:$W$9,MATCH(ROUNDUP((AI$1)/10,0)*10,[1]Hugst!$R$4:$W$4,0))))</f>
        <v>0</v>
      </c>
      <c r="AJ98">
        <f>IF($C98-AJ$1&lt;År1,0,AI97*(1-VLOOKUP($A98,[1]Hugst!$R$5:$W$9,MATCH(ROUNDUP((AJ$1)/10,0)*10,[1]Hugst!$R$4:$W$4,0))))</f>
        <v>0</v>
      </c>
    </row>
    <row r="99" spans="1:36" x14ac:dyDescent="0.25">
      <c r="A99" t="s">
        <v>177</v>
      </c>
      <c r="B99" t="s">
        <v>24</v>
      </c>
      <c r="C99">
        <v>2024</v>
      </c>
      <c r="D99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280.83961583551218</v>
      </c>
      <c r="E99">
        <f t="shared" ca="1" si="2"/>
        <v>0</v>
      </c>
      <c r="F9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630.44679877602812</v>
      </c>
      <c r="G99">
        <f ca="1">IF($C99-G$1&lt;År1,0,F98*(1-VLOOKUP($A99,[1]Hugst!$R$5:$W$9,MATCH(ROUNDUP((G$1)/10,0)*10,[1]Hugst!$R$4:$W$4,0))))</f>
        <v>631.85805312695265</v>
      </c>
      <c r="H99">
        <f ca="1">IF($C99-H$1&lt;År1,0,G98*(1-VLOOKUP($A99,[1]Hugst!$R$5:$W$9,MATCH(ROUNDUP((H$1)/10,0)*10,[1]Hugst!$R$4:$W$4,0))))</f>
        <v>633.2763992082987</v>
      </c>
      <c r="I99">
        <f ca="1">IF($C99-I$1&lt;År1,0,H98*(1-VLOOKUP($A99,[1]Hugst!$R$5:$W$9,MATCH(ROUNDUP((I$1)/10,0)*10,[1]Hugst!$R$4:$W$4,0))))</f>
        <v>634.70187265687969</v>
      </c>
      <c r="J99">
        <f ca="1">IF($C99-J$1&lt;År1,0,I98*(1-VLOOKUP($A99,[1]Hugst!$R$5:$W$9,MATCH(ROUNDUP((J$1)/10,0)*10,[1]Hugst!$R$4:$W$4,0))))</f>
        <v>636.13450928862039</v>
      </c>
      <c r="K99">
        <f>IF($C99-K$1&lt;År1,0,J98*(1-VLOOKUP($A99,[1]Hugst!$R$5:$W$9,MATCH(ROUNDUP((K$1)/10,0)*10,[1]Hugst!$R$4:$W$4,0))))</f>
        <v>0</v>
      </c>
      <c r="L99">
        <f>IF($C99-L$1&lt;År1,0,K98*(1-VLOOKUP($A99,[1]Hugst!$R$5:$W$9,MATCH(ROUNDUP((L$1)/10,0)*10,[1]Hugst!$R$4:$W$4,0))))</f>
        <v>0</v>
      </c>
      <c r="M99">
        <f>IF($C99-M$1&lt;År1,0,L98*(1-VLOOKUP($A99,[1]Hugst!$R$5:$W$9,MATCH(ROUNDUP((M$1)/10,0)*10,[1]Hugst!$R$4:$W$4,0))))</f>
        <v>0</v>
      </c>
      <c r="N99">
        <f>IF($C99-N$1&lt;År1,0,M98*(1-VLOOKUP($A99,[1]Hugst!$R$5:$W$9,MATCH(ROUNDUP((N$1)/10,0)*10,[1]Hugst!$R$4:$W$4,0))))</f>
        <v>0</v>
      </c>
      <c r="O99">
        <f>IF($C99-O$1&lt;År1,0,N98*(1-VLOOKUP($A99,[1]Hugst!$R$5:$W$9,MATCH(ROUNDUP((O$1)/10,0)*10,[1]Hugst!$R$4:$W$4,0))))</f>
        <v>0</v>
      </c>
      <c r="P99">
        <f>IF($C99-P$1&lt;År1,0,O98*(1-VLOOKUP($A99,[1]Hugst!$R$5:$W$9,MATCH(ROUNDUP((P$1)/10,0)*10,[1]Hugst!$R$4:$W$4,0))))</f>
        <v>0</v>
      </c>
      <c r="Q99">
        <f>IF($C99-Q$1&lt;År1,0,P98*(1-VLOOKUP($A99,[1]Hugst!$R$5:$W$9,MATCH(ROUNDUP((Q$1)/10,0)*10,[1]Hugst!$R$4:$W$4,0))))</f>
        <v>0</v>
      </c>
      <c r="R99">
        <f>IF($C99-R$1&lt;År1,0,Q98*(1-VLOOKUP($A99,[1]Hugst!$R$5:$W$9,MATCH(ROUNDUP((R$1)/10,0)*10,[1]Hugst!$R$4:$W$4,0))))</f>
        <v>0</v>
      </c>
      <c r="S99">
        <f>IF($C99-S$1&lt;År1,0,R98*(1-VLOOKUP($A99,[1]Hugst!$R$5:$W$9,MATCH(ROUNDUP((S$1)/10,0)*10,[1]Hugst!$R$4:$W$4,0))))</f>
        <v>0</v>
      </c>
      <c r="T99">
        <f>IF($C99-T$1&lt;År1,0,S98*(1-VLOOKUP($A99,[1]Hugst!$R$5:$W$9,MATCH(ROUNDUP((T$1)/10,0)*10,[1]Hugst!$R$4:$W$4,0))))</f>
        <v>0</v>
      </c>
      <c r="U99">
        <f>IF($C99-U$1&lt;År1,0,T98*(1-VLOOKUP($A99,[1]Hugst!$R$5:$W$9,MATCH(ROUNDUP((U$1)/10,0)*10,[1]Hugst!$R$4:$W$4,0))))</f>
        <v>0</v>
      </c>
      <c r="V99">
        <f>IF($C99-V$1&lt;År1,0,U98*(1-VLOOKUP($A99,[1]Hugst!$R$5:$W$9,MATCH(ROUNDUP((V$1)/10,0)*10,[1]Hugst!$R$4:$W$4,0))))</f>
        <v>0</v>
      </c>
      <c r="W99">
        <f>IF($C99-W$1&lt;År1,0,V98*(1-VLOOKUP($A99,[1]Hugst!$R$5:$W$9,MATCH(ROUNDUP((W$1)/10,0)*10,[1]Hugst!$R$4:$W$4,0))))</f>
        <v>0</v>
      </c>
      <c r="X99">
        <f>IF($C99-X$1&lt;År1,0,W98*(1-VLOOKUP($A99,[1]Hugst!$R$5:$W$9,MATCH(ROUNDUP((X$1)/10,0)*10,[1]Hugst!$R$4:$W$4,0))))</f>
        <v>0</v>
      </c>
      <c r="Y99">
        <f>IF($C99-Y$1&lt;År1,0,X98*(1-VLOOKUP($A99,[1]Hugst!$R$5:$W$9,MATCH(ROUNDUP((Y$1)/10,0)*10,[1]Hugst!$R$4:$W$4,0))))</f>
        <v>0</v>
      </c>
      <c r="Z99">
        <f>IF($C99-Z$1&lt;År1,0,Y98*(1-VLOOKUP($A99,[1]Hugst!$R$5:$W$9,MATCH(ROUNDUP((Z$1)/10,0)*10,[1]Hugst!$R$4:$W$4,0))))</f>
        <v>0</v>
      </c>
      <c r="AA99">
        <f>IF($C99-AA$1&lt;År1,0,Z98*(1-VLOOKUP($A99,[1]Hugst!$R$5:$W$9,MATCH(ROUNDUP((AA$1)/10,0)*10,[1]Hugst!$R$4:$W$4,0))))</f>
        <v>0</v>
      </c>
      <c r="AB99">
        <f>IF($C99-AB$1&lt;År1,0,AA98*(1-VLOOKUP($A99,[1]Hugst!$R$5:$W$9,MATCH(ROUNDUP((AB$1)/10,0)*10,[1]Hugst!$R$4:$W$4,0))))</f>
        <v>0</v>
      </c>
      <c r="AC99">
        <f>IF($C99-AC$1&lt;År1,0,AB98*(1-VLOOKUP($A99,[1]Hugst!$R$5:$W$9,MATCH(ROUNDUP((AC$1)/10,0)*10,[1]Hugst!$R$4:$W$4,0))))</f>
        <v>0</v>
      </c>
      <c r="AD99">
        <f>IF($C99-AD$1&lt;År1,0,AC98*(1-VLOOKUP($A99,[1]Hugst!$R$5:$W$9,MATCH(ROUNDUP((AD$1)/10,0)*10,[1]Hugst!$R$4:$W$4,0))))</f>
        <v>0</v>
      </c>
      <c r="AE99">
        <f>IF($C99-AE$1&lt;År1,0,AD98*(1-VLOOKUP($A99,[1]Hugst!$R$5:$W$9,MATCH(ROUNDUP((AE$1)/10,0)*10,[1]Hugst!$R$4:$W$4,0))))</f>
        <v>0</v>
      </c>
      <c r="AF99">
        <f>IF($C99-AF$1&lt;År1,0,AE98*(1-VLOOKUP($A99,[1]Hugst!$R$5:$W$9,MATCH(ROUNDUP((AF$1)/10,0)*10,[1]Hugst!$R$4:$W$4,0))))</f>
        <v>0</v>
      </c>
      <c r="AG99">
        <f>IF($C99-AG$1&lt;År1,0,AF98*(1-VLOOKUP($A99,[1]Hugst!$R$5:$W$9,MATCH(ROUNDUP((AG$1)/10,0)*10,[1]Hugst!$R$4:$W$4,0))))</f>
        <v>0</v>
      </c>
      <c r="AH99">
        <f>IF($C99-AH$1&lt;År1,0,AG98*(1-VLOOKUP($A99,[1]Hugst!$R$5:$W$9,MATCH(ROUNDUP((AH$1)/10,0)*10,[1]Hugst!$R$4:$W$4,0))))</f>
        <v>0</v>
      </c>
      <c r="AI99">
        <f>IF($C99-AI$1&lt;År1,0,AH98*(1-VLOOKUP($A99,[1]Hugst!$R$5:$W$9,MATCH(ROUNDUP((AI$1)/10,0)*10,[1]Hugst!$R$4:$W$4,0))))</f>
        <v>0</v>
      </c>
      <c r="AJ99">
        <f>IF($C99-AJ$1&lt;År1,0,AI98*(1-VLOOKUP($A99,[1]Hugst!$R$5:$W$9,MATCH(ROUNDUP((AJ$1)/10,0)*10,[1]Hugst!$R$4:$W$4,0))))</f>
        <v>0</v>
      </c>
    </row>
    <row r="100" spans="1:36" x14ac:dyDescent="0.25">
      <c r="A100" t="s">
        <v>177</v>
      </c>
      <c r="B100" t="s">
        <v>24</v>
      </c>
      <c r="C100">
        <v>2025</v>
      </c>
      <c r="D100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279.4354177563298</v>
      </c>
      <c r="E100">
        <f t="shared" ca="1" si="2"/>
        <v>0</v>
      </c>
      <c r="F100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629.04260069684574</v>
      </c>
      <c r="G100">
        <f ca="1">IF($C100-G$1&lt;År1,0,F99*(1-VLOOKUP($A100,[1]Hugst!$R$5:$W$9,MATCH(ROUNDUP((G$1)/10,0)*10,[1]Hugst!$R$4:$W$4,0))))</f>
        <v>630.44679877602812</v>
      </c>
      <c r="H100">
        <f ca="1">IF($C100-H$1&lt;År1,0,G99*(1-VLOOKUP($A100,[1]Hugst!$R$5:$W$9,MATCH(ROUNDUP((H$1)/10,0)*10,[1]Hugst!$R$4:$W$4,0))))</f>
        <v>631.85805312695265</v>
      </c>
      <c r="I100">
        <f ca="1">IF($C100-I$1&lt;År1,0,H99*(1-VLOOKUP($A100,[1]Hugst!$R$5:$W$9,MATCH(ROUNDUP((I$1)/10,0)*10,[1]Hugst!$R$4:$W$4,0))))</f>
        <v>633.2763992082987</v>
      </c>
      <c r="J100">
        <f ca="1">IF($C100-J$1&lt;År1,0,I99*(1-VLOOKUP($A100,[1]Hugst!$R$5:$W$9,MATCH(ROUNDUP((J$1)/10,0)*10,[1]Hugst!$R$4:$W$4,0))))</f>
        <v>634.70187265687969</v>
      </c>
      <c r="K100">
        <f ca="1">IF($C100-K$1&lt;År1,0,J99*(1-VLOOKUP($A100,[1]Hugst!$R$5:$W$9,MATCH(ROUNDUP((K$1)/10,0)*10,[1]Hugst!$R$4:$W$4,0))))</f>
        <v>636.13450928862039</v>
      </c>
      <c r="L100">
        <f>IF($C100-L$1&lt;År1,0,K99*(1-VLOOKUP($A100,[1]Hugst!$R$5:$W$9,MATCH(ROUNDUP((L$1)/10,0)*10,[1]Hugst!$R$4:$W$4,0))))</f>
        <v>0</v>
      </c>
      <c r="M100">
        <f>IF($C100-M$1&lt;År1,0,L99*(1-VLOOKUP($A100,[1]Hugst!$R$5:$W$9,MATCH(ROUNDUP((M$1)/10,0)*10,[1]Hugst!$R$4:$W$4,0))))</f>
        <v>0</v>
      </c>
      <c r="N100">
        <f>IF($C100-N$1&lt;År1,0,M99*(1-VLOOKUP($A100,[1]Hugst!$R$5:$W$9,MATCH(ROUNDUP((N$1)/10,0)*10,[1]Hugst!$R$4:$W$4,0))))</f>
        <v>0</v>
      </c>
      <c r="O100">
        <f>IF($C100-O$1&lt;År1,0,N99*(1-VLOOKUP($A100,[1]Hugst!$R$5:$W$9,MATCH(ROUNDUP((O$1)/10,0)*10,[1]Hugst!$R$4:$W$4,0))))</f>
        <v>0</v>
      </c>
      <c r="P100">
        <f>IF($C100-P$1&lt;År1,0,O99*(1-VLOOKUP($A100,[1]Hugst!$R$5:$W$9,MATCH(ROUNDUP((P$1)/10,0)*10,[1]Hugst!$R$4:$W$4,0))))</f>
        <v>0</v>
      </c>
      <c r="Q100">
        <f>IF($C100-Q$1&lt;År1,0,P99*(1-VLOOKUP($A100,[1]Hugst!$R$5:$W$9,MATCH(ROUNDUP((Q$1)/10,0)*10,[1]Hugst!$R$4:$W$4,0))))</f>
        <v>0</v>
      </c>
      <c r="R100">
        <f>IF($C100-R$1&lt;År1,0,Q99*(1-VLOOKUP($A100,[1]Hugst!$R$5:$W$9,MATCH(ROUNDUP((R$1)/10,0)*10,[1]Hugst!$R$4:$W$4,0))))</f>
        <v>0</v>
      </c>
      <c r="S100">
        <f>IF($C100-S$1&lt;År1,0,R99*(1-VLOOKUP($A100,[1]Hugst!$R$5:$W$9,MATCH(ROUNDUP((S$1)/10,0)*10,[1]Hugst!$R$4:$W$4,0))))</f>
        <v>0</v>
      </c>
      <c r="T100">
        <f>IF($C100-T$1&lt;År1,0,S99*(1-VLOOKUP($A100,[1]Hugst!$R$5:$W$9,MATCH(ROUNDUP((T$1)/10,0)*10,[1]Hugst!$R$4:$W$4,0))))</f>
        <v>0</v>
      </c>
      <c r="U100">
        <f>IF($C100-U$1&lt;År1,0,T99*(1-VLOOKUP($A100,[1]Hugst!$R$5:$W$9,MATCH(ROUNDUP((U$1)/10,0)*10,[1]Hugst!$R$4:$W$4,0))))</f>
        <v>0</v>
      </c>
      <c r="V100">
        <f>IF($C100-V$1&lt;År1,0,U99*(1-VLOOKUP($A100,[1]Hugst!$R$5:$W$9,MATCH(ROUNDUP((V$1)/10,0)*10,[1]Hugst!$R$4:$W$4,0))))</f>
        <v>0</v>
      </c>
      <c r="W100">
        <f>IF($C100-W$1&lt;År1,0,V99*(1-VLOOKUP($A100,[1]Hugst!$R$5:$W$9,MATCH(ROUNDUP((W$1)/10,0)*10,[1]Hugst!$R$4:$W$4,0))))</f>
        <v>0</v>
      </c>
      <c r="X100">
        <f>IF($C100-X$1&lt;År1,0,W99*(1-VLOOKUP($A100,[1]Hugst!$R$5:$W$9,MATCH(ROUNDUP((X$1)/10,0)*10,[1]Hugst!$R$4:$W$4,0))))</f>
        <v>0</v>
      </c>
      <c r="Y100">
        <f>IF($C100-Y$1&lt;År1,0,X99*(1-VLOOKUP($A100,[1]Hugst!$R$5:$W$9,MATCH(ROUNDUP((Y$1)/10,0)*10,[1]Hugst!$R$4:$W$4,0))))</f>
        <v>0</v>
      </c>
      <c r="Z100">
        <f>IF($C100-Z$1&lt;År1,0,Y99*(1-VLOOKUP($A100,[1]Hugst!$R$5:$W$9,MATCH(ROUNDUP((Z$1)/10,0)*10,[1]Hugst!$R$4:$W$4,0))))</f>
        <v>0</v>
      </c>
      <c r="AA100">
        <f>IF($C100-AA$1&lt;År1,0,Z99*(1-VLOOKUP($A100,[1]Hugst!$R$5:$W$9,MATCH(ROUNDUP((AA$1)/10,0)*10,[1]Hugst!$R$4:$W$4,0))))</f>
        <v>0</v>
      </c>
      <c r="AB100">
        <f>IF($C100-AB$1&lt;År1,0,AA99*(1-VLOOKUP($A100,[1]Hugst!$R$5:$W$9,MATCH(ROUNDUP((AB$1)/10,0)*10,[1]Hugst!$R$4:$W$4,0))))</f>
        <v>0</v>
      </c>
      <c r="AC100">
        <f>IF($C100-AC$1&lt;År1,0,AB99*(1-VLOOKUP($A100,[1]Hugst!$R$5:$W$9,MATCH(ROUNDUP((AC$1)/10,0)*10,[1]Hugst!$R$4:$W$4,0))))</f>
        <v>0</v>
      </c>
      <c r="AD100">
        <f>IF($C100-AD$1&lt;År1,0,AC99*(1-VLOOKUP($A100,[1]Hugst!$R$5:$W$9,MATCH(ROUNDUP((AD$1)/10,0)*10,[1]Hugst!$R$4:$W$4,0))))</f>
        <v>0</v>
      </c>
      <c r="AE100">
        <f>IF($C100-AE$1&lt;År1,0,AD99*(1-VLOOKUP($A100,[1]Hugst!$R$5:$W$9,MATCH(ROUNDUP((AE$1)/10,0)*10,[1]Hugst!$R$4:$W$4,0))))</f>
        <v>0</v>
      </c>
      <c r="AF100">
        <f>IF($C100-AF$1&lt;År1,0,AE99*(1-VLOOKUP($A100,[1]Hugst!$R$5:$W$9,MATCH(ROUNDUP((AF$1)/10,0)*10,[1]Hugst!$R$4:$W$4,0))))</f>
        <v>0</v>
      </c>
      <c r="AG100">
        <f>IF($C100-AG$1&lt;År1,0,AF99*(1-VLOOKUP($A100,[1]Hugst!$R$5:$W$9,MATCH(ROUNDUP((AG$1)/10,0)*10,[1]Hugst!$R$4:$W$4,0))))</f>
        <v>0</v>
      </c>
      <c r="AH100">
        <f>IF($C100-AH$1&lt;År1,0,AG99*(1-VLOOKUP($A100,[1]Hugst!$R$5:$W$9,MATCH(ROUNDUP((AH$1)/10,0)*10,[1]Hugst!$R$4:$W$4,0))))</f>
        <v>0</v>
      </c>
      <c r="AI100">
        <f>IF($C100-AI$1&lt;År1,0,AH99*(1-VLOOKUP($A100,[1]Hugst!$R$5:$W$9,MATCH(ROUNDUP((AI$1)/10,0)*10,[1]Hugst!$R$4:$W$4,0))))</f>
        <v>0</v>
      </c>
      <c r="AJ100">
        <f>IF($C100-AJ$1&lt;År1,0,AI99*(1-VLOOKUP($A100,[1]Hugst!$R$5:$W$9,MATCH(ROUNDUP((AJ$1)/10,0)*10,[1]Hugst!$R$4:$W$4,0))))</f>
        <v>0</v>
      </c>
    </row>
    <row r="101" spans="1:36" x14ac:dyDescent="0.25">
      <c r="A101" t="s">
        <v>177</v>
      </c>
      <c r="B101" t="s">
        <v>24</v>
      </c>
      <c r="C101">
        <v>2026</v>
      </c>
      <c r="D101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278.03824066756056</v>
      </c>
      <c r="E101">
        <f t="shared" ca="1" si="2"/>
        <v>0</v>
      </c>
      <c r="F101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627.6454236080765</v>
      </c>
      <c r="G101">
        <f ca="1">IF($C101-G$1&lt;År1,0,F100*(1-VLOOKUP($A101,[1]Hugst!$R$5:$W$9,MATCH(ROUNDUP((G$1)/10,0)*10,[1]Hugst!$R$4:$W$4,0))))</f>
        <v>629.04260069684574</v>
      </c>
      <c r="H101">
        <f ca="1">IF($C101-H$1&lt;År1,0,G100*(1-VLOOKUP($A101,[1]Hugst!$R$5:$W$9,MATCH(ROUNDUP((H$1)/10,0)*10,[1]Hugst!$R$4:$W$4,0))))</f>
        <v>630.44679877602812</v>
      </c>
      <c r="I101">
        <f ca="1">IF($C101-I$1&lt;År1,0,H100*(1-VLOOKUP($A101,[1]Hugst!$R$5:$W$9,MATCH(ROUNDUP((I$1)/10,0)*10,[1]Hugst!$R$4:$W$4,0))))</f>
        <v>631.85805312695265</v>
      </c>
      <c r="J101">
        <f ca="1">IF($C101-J$1&lt;År1,0,I100*(1-VLOOKUP($A101,[1]Hugst!$R$5:$W$9,MATCH(ROUNDUP((J$1)/10,0)*10,[1]Hugst!$R$4:$W$4,0))))</f>
        <v>633.2763992082987</v>
      </c>
      <c r="K101">
        <f ca="1">IF($C101-K$1&lt;År1,0,J100*(1-VLOOKUP($A101,[1]Hugst!$R$5:$W$9,MATCH(ROUNDUP((K$1)/10,0)*10,[1]Hugst!$R$4:$W$4,0))))</f>
        <v>634.70187265687969</v>
      </c>
      <c r="L101">
        <f ca="1">IF($C101-L$1&lt;År1,0,K100*(1-VLOOKUP($A101,[1]Hugst!$R$5:$W$9,MATCH(ROUNDUP((L$1)/10,0)*10,[1]Hugst!$R$4:$W$4,0))))</f>
        <v>636.13450928862039</v>
      </c>
      <c r="M101">
        <f>IF($C101-M$1&lt;År1,0,L100*(1-VLOOKUP($A101,[1]Hugst!$R$5:$W$9,MATCH(ROUNDUP((M$1)/10,0)*10,[1]Hugst!$R$4:$W$4,0))))</f>
        <v>0</v>
      </c>
      <c r="N101">
        <f>IF($C101-N$1&lt;År1,0,M100*(1-VLOOKUP($A101,[1]Hugst!$R$5:$W$9,MATCH(ROUNDUP((N$1)/10,0)*10,[1]Hugst!$R$4:$W$4,0))))</f>
        <v>0</v>
      </c>
      <c r="O101">
        <f>IF($C101-O$1&lt;År1,0,N100*(1-VLOOKUP($A101,[1]Hugst!$R$5:$W$9,MATCH(ROUNDUP((O$1)/10,0)*10,[1]Hugst!$R$4:$W$4,0))))</f>
        <v>0</v>
      </c>
      <c r="P101">
        <f>IF($C101-P$1&lt;År1,0,O100*(1-VLOOKUP($A101,[1]Hugst!$R$5:$W$9,MATCH(ROUNDUP((P$1)/10,0)*10,[1]Hugst!$R$4:$W$4,0))))</f>
        <v>0</v>
      </c>
      <c r="Q101">
        <f>IF($C101-Q$1&lt;År1,0,P100*(1-VLOOKUP($A101,[1]Hugst!$R$5:$W$9,MATCH(ROUNDUP((Q$1)/10,0)*10,[1]Hugst!$R$4:$W$4,0))))</f>
        <v>0</v>
      </c>
      <c r="R101">
        <f>IF($C101-R$1&lt;År1,0,Q100*(1-VLOOKUP($A101,[1]Hugst!$R$5:$W$9,MATCH(ROUNDUP((R$1)/10,0)*10,[1]Hugst!$R$4:$W$4,0))))</f>
        <v>0</v>
      </c>
      <c r="S101">
        <f>IF($C101-S$1&lt;År1,0,R100*(1-VLOOKUP($A101,[1]Hugst!$R$5:$W$9,MATCH(ROUNDUP((S$1)/10,0)*10,[1]Hugst!$R$4:$W$4,0))))</f>
        <v>0</v>
      </c>
      <c r="T101">
        <f>IF($C101-T$1&lt;År1,0,S100*(1-VLOOKUP($A101,[1]Hugst!$R$5:$W$9,MATCH(ROUNDUP((T$1)/10,0)*10,[1]Hugst!$R$4:$W$4,0))))</f>
        <v>0</v>
      </c>
      <c r="U101">
        <f>IF($C101-U$1&lt;År1,0,T100*(1-VLOOKUP($A101,[1]Hugst!$R$5:$W$9,MATCH(ROUNDUP((U$1)/10,0)*10,[1]Hugst!$R$4:$W$4,0))))</f>
        <v>0</v>
      </c>
      <c r="V101">
        <f>IF($C101-V$1&lt;År1,0,U100*(1-VLOOKUP($A101,[1]Hugst!$R$5:$W$9,MATCH(ROUNDUP((V$1)/10,0)*10,[1]Hugst!$R$4:$W$4,0))))</f>
        <v>0</v>
      </c>
      <c r="W101">
        <f>IF($C101-W$1&lt;År1,0,V100*(1-VLOOKUP($A101,[1]Hugst!$R$5:$W$9,MATCH(ROUNDUP((W$1)/10,0)*10,[1]Hugst!$R$4:$W$4,0))))</f>
        <v>0</v>
      </c>
      <c r="X101">
        <f>IF($C101-X$1&lt;År1,0,W100*(1-VLOOKUP($A101,[1]Hugst!$R$5:$W$9,MATCH(ROUNDUP((X$1)/10,0)*10,[1]Hugst!$R$4:$W$4,0))))</f>
        <v>0</v>
      </c>
      <c r="Y101">
        <f>IF($C101-Y$1&lt;År1,0,X100*(1-VLOOKUP($A101,[1]Hugst!$R$5:$W$9,MATCH(ROUNDUP((Y$1)/10,0)*10,[1]Hugst!$R$4:$W$4,0))))</f>
        <v>0</v>
      </c>
      <c r="Z101">
        <f>IF($C101-Z$1&lt;År1,0,Y100*(1-VLOOKUP($A101,[1]Hugst!$R$5:$W$9,MATCH(ROUNDUP((Z$1)/10,0)*10,[1]Hugst!$R$4:$W$4,0))))</f>
        <v>0</v>
      </c>
      <c r="AA101">
        <f>IF($C101-AA$1&lt;År1,0,Z100*(1-VLOOKUP($A101,[1]Hugst!$R$5:$W$9,MATCH(ROUNDUP((AA$1)/10,0)*10,[1]Hugst!$R$4:$W$4,0))))</f>
        <v>0</v>
      </c>
      <c r="AB101">
        <f>IF($C101-AB$1&lt;År1,0,AA100*(1-VLOOKUP($A101,[1]Hugst!$R$5:$W$9,MATCH(ROUNDUP((AB$1)/10,0)*10,[1]Hugst!$R$4:$W$4,0))))</f>
        <v>0</v>
      </c>
      <c r="AC101">
        <f>IF($C101-AC$1&lt;År1,0,AB100*(1-VLOOKUP($A101,[1]Hugst!$R$5:$W$9,MATCH(ROUNDUP((AC$1)/10,0)*10,[1]Hugst!$R$4:$W$4,0))))</f>
        <v>0</v>
      </c>
      <c r="AD101">
        <f>IF($C101-AD$1&lt;År1,0,AC100*(1-VLOOKUP($A101,[1]Hugst!$R$5:$W$9,MATCH(ROUNDUP((AD$1)/10,0)*10,[1]Hugst!$R$4:$W$4,0))))</f>
        <v>0</v>
      </c>
      <c r="AE101">
        <f>IF($C101-AE$1&lt;År1,0,AD100*(1-VLOOKUP($A101,[1]Hugst!$R$5:$W$9,MATCH(ROUNDUP((AE$1)/10,0)*10,[1]Hugst!$R$4:$W$4,0))))</f>
        <v>0</v>
      </c>
      <c r="AF101">
        <f>IF($C101-AF$1&lt;År1,0,AE100*(1-VLOOKUP($A101,[1]Hugst!$R$5:$W$9,MATCH(ROUNDUP((AF$1)/10,0)*10,[1]Hugst!$R$4:$W$4,0))))</f>
        <v>0</v>
      </c>
      <c r="AG101">
        <f>IF($C101-AG$1&lt;År1,0,AF100*(1-VLOOKUP($A101,[1]Hugst!$R$5:$W$9,MATCH(ROUNDUP((AG$1)/10,0)*10,[1]Hugst!$R$4:$W$4,0))))</f>
        <v>0</v>
      </c>
      <c r="AH101">
        <f>IF($C101-AH$1&lt;År1,0,AG100*(1-VLOOKUP($A101,[1]Hugst!$R$5:$W$9,MATCH(ROUNDUP((AH$1)/10,0)*10,[1]Hugst!$R$4:$W$4,0))))</f>
        <v>0</v>
      </c>
      <c r="AI101">
        <f>IF($C101-AI$1&lt;År1,0,AH100*(1-VLOOKUP($A101,[1]Hugst!$R$5:$W$9,MATCH(ROUNDUP((AI$1)/10,0)*10,[1]Hugst!$R$4:$W$4,0))))</f>
        <v>0</v>
      </c>
      <c r="AJ101">
        <f>IF($C101-AJ$1&lt;År1,0,AI100*(1-VLOOKUP($A101,[1]Hugst!$R$5:$W$9,MATCH(ROUNDUP((AJ$1)/10,0)*10,[1]Hugst!$R$4:$W$4,0))))</f>
        <v>0</v>
      </c>
    </row>
    <row r="102" spans="1:36" x14ac:dyDescent="0.25">
      <c r="A102" t="s">
        <v>177</v>
      </c>
      <c r="B102" t="s">
        <v>24</v>
      </c>
      <c r="C102">
        <v>2027</v>
      </c>
      <c r="D102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276.64804946420918</v>
      </c>
      <c r="E102">
        <f t="shared" ca="1" si="2"/>
        <v>0</v>
      </c>
      <c r="F102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626.25523240472512</v>
      </c>
      <c r="G102">
        <f ca="1">IF($C102-G$1&lt;År1,0,F101*(1-VLOOKUP($A102,[1]Hugst!$R$5:$W$9,MATCH(ROUNDUP((G$1)/10,0)*10,[1]Hugst!$R$4:$W$4,0))))</f>
        <v>627.6454236080765</v>
      </c>
      <c r="H102">
        <f ca="1">IF($C102-H$1&lt;År1,0,G101*(1-VLOOKUP($A102,[1]Hugst!$R$5:$W$9,MATCH(ROUNDUP((H$1)/10,0)*10,[1]Hugst!$R$4:$W$4,0))))</f>
        <v>629.04260069684574</v>
      </c>
      <c r="I102">
        <f ca="1">IF($C102-I$1&lt;År1,0,H101*(1-VLOOKUP($A102,[1]Hugst!$R$5:$W$9,MATCH(ROUNDUP((I$1)/10,0)*10,[1]Hugst!$R$4:$W$4,0))))</f>
        <v>630.44679877602812</v>
      </c>
      <c r="J102">
        <f ca="1">IF($C102-J$1&lt;År1,0,I101*(1-VLOOKUP($A102,[1]Hugst!$R$5:$W$9,MATCH(ROUNDUP((J$1)/10,0)*10,[1]Hugst!$R$4:$W$4,0))))</f>
        <v>631.85805312695265</v>
      </c>
      <c r="K102">
        <f ca="1">IF($C102-K$1&lt;År1,0,J101*(1-VLOOKUP($A102,[1]Hugst!$R$5:$W$9,MATCH(ROUNDUP((K$1)/10,0)*10,[1]Hugst!$R$4:$W$4,0))))</f>
        <v>633.2763992082987</v>
      </c>
      <c r="L102">
        <f ca="1">IF($C102-L$1&lt;År1,0,K101*(1-VLOOKUP($A102,[1]Hugst!$R$5:$W$9,MATCH(ROUNDUP((L$1)/10,0)*10,[1]Hugst!$R$4:$W$4,0))))</f>
        <v>634.70187265687969</v>
      </c>
      <c r="M102">
        <f ca="1">IF($C102-M$1&lt;År1,0,L101*(1-VLOOKUP($A102,[1]Hugst!$R$5:$W$9,MATCH(ROUNDUP((M$1)/10,0)*10,[1]Hugst!$R$4:$W$4,0))))</f>
        <v>636.13450928862039</v>
      </c>
      <c r="N102">
        <f>IF($C102-N$1&lt;År1,0,M101*(1-VLOOKUP($A102,[1]Hugst!$R$5:$W$9,MATCH(ROUNDUP((N$1)/10,0)*10,[1]Hugst!$R$4:$W$4,0))))</f>
        <v>0</v>
      </c>
      <c r="O102">
        <f>IF($C102-O$1&lt;År1,0,N101*(1-VLOOKUP($A102,[1]Hugst!$R$5:$W$9,MATCH(ROUNDUP((O$1)/10,0)*10,[1]Hugst!$R$4:$W$4,0))))</f>
        <v>0</v>
      </c>
      <c r="P102">
        <f>IF($C102-P$1&lt;År1,0,O101*(1-VLOOKUP($A102,[1]Hugst!$R$5:$W$9,MATCH(ROUNDUP((P$1)/10,0)*10,[1]Hugst!$R$4:$W$4,0))))</f>
        <v>0</v>
      </c>
      <c r="Q102">
        <f>IF($C102-Q$1&lt;År1,0,P101*(1-VLOOKUP($A102,[1]Hugst!$R$5:$W$9,MATCH(ROUNDUP((Q$1)/10,0)*10,[1]Hugst!$R$4:$W$4,0))))</f>
        <v>0</v>
      </c>
      <c r="R102">
        <f>IF($C102-R$1&lt;År1,0,Q101*(1-VLOOKUP($A102,[1]Hugst!$R$5:$W$9,MATCH(ROUNDUP((R$1)/10,0)*10,[1]Hugst!$R$4:$W$4,0))))</f>
        <v>0</v>
      </c>
      <c r="S102">
        <f>IF($C102-S$1&lt;År1,0,R101*(1-VLOOKUP($A102,[1]Hugst!$R$5:$W$9,MATCH(ROUNDUP((S$1)/10,0)*10,[1]Hugst!$R$4:$W$4,0))))</f>
        <v>0</v>
      </c>
      <c r="T102">
        <f>IF($C102-T$1&lt;År1,0,S101*(1-VLOOKUP($A102,[1]Hugst!$R$5:$W$9,MATCH(ROUNDUP((T$1)/10,0)*10,[1]Hugst!$R$4:$W$4,0))))</f>
        <v>0</v>
      </c>
      <c r="U102">
        <f>IF($C102-U$1&lt;År1,0,T101*(1-VLOOKUP($A102,[1]Hugst!$R$5:$W$9,MATCH(ROUNDUP((U$1)/10,0)*10,[1]Hugst!$R$4:$W$4,0))))</f>
        <v>0</v>
      </c>
      <c r="V102">
        <f>IF($C102-V$1&lt;År1,0,U101*(1-VLOOKUP($A102,[1]Hugst!$R$5:$W$9,MATCH(ROUNDUP((V$1)/10,0)*10,[1]Hugst!$R$4:$W$4,0))))</f>
        <v>0</v>
      </c>
      <c r="W102">
        <f>IF($C102-W$1&lt;År1,0,V101*(1-VLOOKUP($A102,[1]Hugst!$R$5:$W$9,MATCH(ROUNDUP((W$1)/10,0)*10,[1]Hugst!$R$4:$W$4,0))))</f>
        <v>0</v>
      </c>
      <c r="X102">
        <f>IF($C102-X$1&lt;År1,0,W101*(1-VLOOKUP($A102,[1]Hugst!$R$5:$W$9,MATCH(ROUNDUP((X$1)/10,0)*10,[1]Hugst!$R$4:$W$4,0))))</f>
        <v>0</v>
      </c>
      <c r="Y102">
        <f>IF($C102-Y$1&lt;År1,0,X101*(1-VLOOKUP($A102,[1]Hugst!$R$5:$W$9,MATCH(ROUNDUP((Y$1)/10,0)*10,[1]Hugst!$R$4:$W$4,0))))</f>
        <v>0</v>
      </c>
      <c r="Z102">
        <f>IF($C102-Z$1&lt;År1,0,Y101*(1-VLOOKUP($A102,[1]Hugst!$R$5:$W$9,MATCH(ROUNDUP((Z$1)/10,0)*10,[1]Hugst!$R$4:$W$4,0))))</f>
        <v>0</v>
      </c>
      <c r="AA102">
        <f>IF($C102-AA$1&lt;År1,0,Z101*(1-VLOOKUP($A102,[1]Hugst!$R$5:$W$9,MATCH(ROUNDUP((AA$1)/10,0)*10,[1]Hugst!$R$4:$W$4,0))))</f>
        <v>0</v>
      </c>
      <c r="AB102">
        <f>IF($C102-AB$1&lt;År1,0,AA101*(1-VLOOKUP($A102,[1]Hugst!$R$5:$W$9,MATCH(ROUNDUP((AB$1)/10,0)*10,[1]Hugst!$R$4:$W$4,0))))</f>
        <v>0</v>
      </c>
      <c r="AC102">
        <f>IF($C102-AC$1&lt;År1,0,AB101*(1-VLOOKUP($A102,[1]Hugst!$R$5:$W$9,MATCH(ROUNDUP((AC$1)/10,0)*10,[1]Hugst!$R$4:$W$4,0))))</f>
        <v>0</v>
      </c>
      <c r="AD102">
        <f>IF($C102-AD$1&lt;År1,0,AC101*(1-VLOOKUP($A102,[1]Hugst!$R$5:$W$9,MATCH(ROUNDUP((AD$1)/10,0)*10,[1]Hugst!$R$4:$W$4,0))))</f>
        <v>0</v>
      </c>
      <c r="AE102">
        <f>IF($C102-AE$1&lt;År1,0,AD101*(1-VLOOKUP($A102,[1]Hugst!$R$5:$W$9,MATCH(ROUNDUP((AE$1)/10,0)*10,[1]Hugst!$R$4:$W$4,0))))</f>
        <v>0</v>
      </c>
      <c r="AF102">
        <f>IF($C102-AF$1&lt;År1,0,AE101*(1-VLOOKUP($A102,[1]Hugst!$R$5:$W$9,MATCH(ROUNDUP((AF$1)/10,0)*10,[1]Hugst!$R$4:$W$4,0))))</f>
        <v>0</v>
      </c>
      <c r="AG102">
        <f>IF($C102-AG$1&lt;År1,0,AF101*(1-VLOOKUP($A102,[1]Hugst!$R$5:$W$9,MATCH(ROUNDUP((AG$1)/10,0)*10,[1]Hugst!$R$4:$W$4,0))))</f>
        <v>0</v>
      </c>
      <c r="AH102">
        <f>IF($C102-AH$1&lt;År1,0,AG101*(1-VLOOKUP($A102,[1]Hugst!$R$5:$W$9,MATCH(ROUNDUP((AH$1)/10,0)*10,[1]Hugst!$R$4:$W$4,0))))</f>
        <v>0</v>
      </c>
      <c r="AI102">
        <f>IF($C102-AI$1&lt;År1,0,AH101*(1-VLOOKUP($A102,[1]Hugst!$R$5:$W$9,MATCH(ROUNDUP((AI$1)/10,0)*10,[1]Hugst!$R$4:$W$4,0))))</f>
        <v>0</v>
      </c>
      <c r="AJ102">
        <f>IF($C102-AJ$1&lt;År1,0,AI101*(1-VLOOKUP($A102,[1]Hugst!$R$5:$W$9,MATCH(ROUNDUP((AJ$1)/10,0)*10,[1]Hugst!$R$4:$W$4,0))))</f>
        <v>0</v>
      </c>
    </row>
    <row r="103" spans="1:36" x14ac:dyDescent="0.25">
      <c r="A103" t="s">
        <v>177</v>
      </c>
      <c r="B103" t="s">
        <v>24</v>
      </c>
      <c r="C103">
        <v>2028</v>
      </c>
      <c r="D103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275.26480921689426</v>
      </c>
      <c r="E103">
        <f t="shared" ca="1" si="2"/>
        <v>0</v>
      </c>
      <c r="F103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624.8719921574102</v>
      </c>
      <c r="G103">
        <f ca="1">IF($C103-G$1&lt;År1,0,F102*(1-VLOOKUP($A103,[1]Hugst!$R$5:$W$9,MATCH(ROUNDUP((G$1)/10,0)*10,[1]Hugst!$R$4:$W$4,0))))</f>
        <v>626.25523240472512</v>
      </c>
      <c r="H103">
        <f ca="1">IF($C103-H$1&lt;År1,0,G102*(1-VLOOKUP($A103,[1]Hugst!$R$5:$W$9,MATCH(ROUNDUP((H$1)/10,0)*10,[1]Hugst!$R$4:$W$4,0))))</f>
        <v>627.6454236080765</v>
      </c>
      <c r="I103">
        <f ca="1">IF($C103-I$1&lt;År1,0,H102*(1-VLOOKUP($A103,[1]Hugst!$R$5:$W$9,MATCH(ROUNDUP((I$1)/10,0)*10,[1]Hugst!$R$4:$W$4,0))))</f>
        <v>629.04260069684574</v>
      </c>
      <c r="J103">
        <f ca="1">IF($C103-J$1&lt;År1,0,I102*(1-VLOOKUP($A103,[1]Hugst!$R$5:$W$9,MATCH(ROUNDUP((J$1)/10,0)*10,[1]Hugst!$R$4:$W$4,0))))</f>
        <v>630.44679877602812</v>
      </c>
      <c r="K103">
        <f ca="1">IF($C103-K$1&lt;År1,0,J102*(1-VLOOKUP($A103,[1]Hugst!$R$5:$W$9,MATCH(ROUNDUP((K$1)/10,0)*10,[1]Hugst!$R$4:$W$4,0))))</f>
        <v>631.85805312695265</v>
      </c>
      <c r="L103">
        <f ca="1">IF($C103-L$1&lt;År1,0,K102*(1-VLOOKUP($A103,[1]Hugst!$R$5:$W$9,MATCH(ROUNDUP((L$1)/10,0)*10,[1]Hugst!$R$4:$W$4,0))))</f>
        <v>633.2763992082987</v>
      </c>
      <c r="M103">
        <f ca="1">IF($C103-M$1&lt;År1,0,L102*(1-VLOOKUP($A103,[1]Hugst!$R$5:$W$9,MATCH(ROUNDUP((M$1)/10,0)*10,[1]Hugst!$R$4:$W$4,0))))</f>
        <v>634.70187265687969</v>
      </c>
      <c r="N103">
        <f ca="1">IF($C103-N$1&lt;År1,0,M102*(1-VLOOKUP($A103,[1]Hugst!$R$5:$W$9,MATCH(ROUNDUP((N$1)/10,0)*10,[1]Hugst!$R$4:$W$4,0))))</f>
        <v>636.13450928862039</v>
      </c>
      <c r="O103">
        <f>IF($C103-O$1&lt;År1,0,N102*(1-VLOOKUP($A103,[1]Hugst!$R$5:$W$9,MATCH(ROUNDUP((O$1)/10,0)*10,[1]Hugst!$R$4:$W$4,0))))</f>
        <v>0</v>
      </c>
      <c r="P103">
        <f>IF($C103-P$1&lt;År1,0,O102*(1-VLOOKUP($A103,[1]Hugst!$R$5:$W$9,MATCH(ROUNDUP((P$1)/10,0)*10,[1]Hugst!$R$4:$W$4,0))))</f>
        <v>0</v>
      </c>
      <c r="Q103">
        <f>IF($C103-Q$1&lt;År1,0,P102*(1-VLOOKUP($A103,[1]Hugst!$R$5:$W$9,MATCH(ROUNDUP((Q$1)/10,0)*10,[1]Hugst!$R$4:$W$4,0))))</f>
        <v>0</v>
      </c>
      <c r="R103">
        <f>IF($C103-R$1&lt;År1,0,Q102*(1-VLOOKUP($A103,[1]Hugst!$R$5:$W$9,MATCH(ROUNDUP((R$1)/10,0)*10,[1]Hugst!$R$4:$W$4,0))))</f>
        <v>0</v>
      </c>
      <c r="S103">
        <f>IF($C103-S$1&lt;År1,0,R102*(1-VLOOKUP($A103,[1]Hugst!$R$5:$W$9,MATCH(ROUNDUP((S$1)/10,0)*10,[1]Hugst!$R$4:$W$4,0))))</f>
        <v>0</v>
      </c>
      <c r="T103">
        <f>IF($C103-T$1&lt;År1,0,S102*(1-VLOOKUP($A103,[1]Hugst!$R$5:$W$9,MATCH(ROUNDUP((T$1)/10,0)*10,[1]Hugst!$R$4:$W$4,0))))</f>
        <v>0</v>
      </c>
      <c r="U103">
        <f>IF($C103-U$1&lt;År1,0,T102*(1-VLOOKUP($A103,[1]Hugst!$R$5:$W$9,MATCH(ROUNDUP((U$1)/10,0)*10,[1]Hugst!$R$4:$W$4,0))))</f>
        <v>0</v>
      </c>
      <c r="V103">
        <f>IF($C103-V$1&lt;År1,0,U102*(1-VLOOKUP($A103,[1]Hugst!$R$5:$W$9,MATCH(ROUNDUP((V$1)/10,0)*10,[1]Hugst!$R$4:$W$4,0))))</f>
        <v>0</v>
      </c>
      <c r="W103">
        <f>IF($C103-W$1&lt;År1,0,V102*(1-VLOOKUP($A103,[1]Hugst!$R$5:$W$9,MATCH(ROUNDUP((W$1)/10,0)*10,[1]Hugst!$R$4:$W$4,0))))</f>
        <v>0</v>
      </c>
      <c r="X103">
        <f>IF($C103-X$1&lt;År1,0,W102*(1-VLOOKUP($A103,[1]Hugst!$R$5:$W$9,MATCH(ROUNDUP((X$1)/10,0)*10,[1]Hugst!$R$4:$W$4,0))))</f>
        <v>0</v>
      </c>
      <c r="Y103">
        <f>IF($C103-Y$1&lt;År1,0,X102*(1-VLOOKUP($A103,[1]Hugst!$R$5:$W$9,MATCH(ROUNDUP((Y$1)/10,0)*10,[1]Hugst!$R$4:$W$4,0))))</f>
        <v>0</v>
      </c>
      <c r="Z103">
        <f>IF($C103-Z$1&lt;År1,0,Y102*(1-VLOOKUP($A103,[1]Hugst!$R$5:$W$9,MATCH(ROUNDUP((Z$1)/10,0)*10,[1]Hugst!$R$4:$W$4,0))))</f>
        <v>0</v>
      </c>
      <c r="AA103">
        <f>IF($C103-AA$1&lt;År1,0,Z102*(1-VLOOKUP($A103,[1]Hugst!$R$5:$W$9,MATCH(ROUNDUP((AA$1)/10,0)*10,[1]Hugst!$R$4:$W$4,0))))</f>
        <v>0</v>
      </c>
      <c r="AB103">
        <f>IF($C103-AB$1&lt;År1,0,AA102*(1-VLOOKUP($A103,[1]Hugst!$R$5:$W$9,MATCH(ROUNDUP((AB$1)/10,0)*10,[1]Hugst!$R$4:$W$4,0))))</f>
        <v>0</v>
      </c>
      <c r="AC103">
        <f>IF($C103-AC$1&lt;År1,0,AB102*(1-VLOOKUP($A103,[1]Hugst!$R$5:$W$9,MATCH(ROUNDUP((AC$1)/10,0)*10,[1]Hugst!$R$4:$W$4,0))))</f>
        <v>0</v>
      </c>
      <c r="AD103">
        <f>IF($C103-AD$1&lt;År1,0,AC102*(1-VLOOKUP($A103,[1]Hugst!$R$5:$W$9,MATCH(ROUNDUP((AD$1)/10,0)*10,[1]Hugst!$R$4:$W$4,0))))</f>
        <v>0</v>
      </c>
      <c r="AE103">
        <f>IF($C103-AE$1&lt;År1,0,AD102*(1-VLOOKUP($A103,[1]Hugst!$R$5:$W$9,MATCH(ROUNDUP((AE$1)/10,0)*10,[1]Hugst!$R$4:$W$4,0))))</f>
        <v>0</v>
      </c>
      <c r="AF103">
        <f>IF($C103-AF$1&lt;År1,0,AE102*(1-VLOOKUP($A103,[1]Hugst!$R$5:$W$9,MATCH(ROUNDUP((AF$1)/10,0)*10,[1]Hugst!$R$4:$W$4,0))))</f>
        <v>0</v>
      </c>
      <c r="AG103">
        <f>IF($C103-AG$1&lt;År1,0,AF102*(1-VLOOKUP($A103,[1]Hugst!$R$5:$W$9,MATCH(ROUNDUP((AG$1)/10,0)*10,[1]Hugst!$R$4:$W$4,0))))</f>
        <v>0</v>
      </c>
      <c r="AH103">
        <f>IF($C103-AH$1&lt;År1,0,AG102*(1-VLOOKUP($A103,[1]Hugst!$R$5:$W$9,MATCH(ROUNDUP((AH$1)/10,0)*10,[1]Hugst!$R$4:$W$4,0))))</f>
        <v>0</v>
      </c>
      <c r="AI103">
        <f>IF($C103-AI$1&lt;År1,0,AH102*(1-VLOOKUP($A103,[1]Hugst!$R$5:$W$9,MATCH(ROUNDUP((AI$1)/10,0)*10,[1]Hugst!$R$4:$W$4,0))))</f>
        <v>0</v>
      </c>
      <c r="AJ103">
        <f>IF($C103-AJ$1&lt;År1,0,AI102*(1-VLOOKUP($A103,[1]Hugst!$R$5:$W$9,MATCH(ROUNDUP((AJ$1)/10,0)*10,[1]Hugst!$R$4:$W$4,0))))</f>
        <v>0</v>
      </c>
    </row>
    <row r="104" spans="1:36" x14ac:dyDescent="0.25">
      <c r="A104" t="s">
        <v>177</v>
      </c>
      <c r="B104" t="s">
        <v>24</v>
      </c>
      <c r="C104">
        <v>2029</v>
      </c>
      <c r="D104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273.88848517080805</v>
      </c>
      <c r="E104">
        <f ca="1">IF(C104=2020,SUM(G104:AJ104),SUM(F103:AJ103)-SUM(G104:AJ104))</f>
        <v>0</v>
      </c>
      <c r="F104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623.49566811132399</v>
      </c>
      <c r="G104">
        <f ca="1">IF($C104-G$1&lt;År1,0,F103*(1-VLOOKUP($A104,[1]Hugst!$R$5:$W$9,MATCH(ROUNDUP((G$1)/10,0)*10,[1]Hugst!$R$4:$W$4,0))))</f>
        <v>624.8719921574102</v>
      </c>
      <c r="H104">
        <f ca="1">IF($C104-H$1&lt;År1,0,G103*(1-VLOOKUP($A104,[1]Hugst!$R$5:$W$9,MATCH(ROUNDUP((H$1)/10,0)*10,[1]Hugst!$R$4:$W$4,0))))</f>
        <v>626.25523240472512</v>
      </c>
      <c r="I104">
        <f ca="1">IF($C104-I$1&lt;År1,0,H103*(1-VLOOKUP($A104,[1]Hugst!$R$5:$W$9,MATCH(ROUNDUP((I$1)/10,0)*10,[1]Hugst!$R$4:$W$4,0))))</f>
        <v>627.6454236080765</v>
      </c>
      <c r="J104">
        <f ca="1">IF($C104-J$1&lt;År1,0,I103*(1-VLOOKUP($A104,[1]Hugst!$R$5:$W$9,MATCH(ROUNDUP((J$1)/10,0)*10,[1]Hugst!$R$4:$W$4,0))))</f>
        <v>629.04260069684574</v>
      </c>
      <c r="K104">
        <f ca="1">IF($C104-K$1&lt;År1,0,J103*(1-VLOOKUP($A104,[1]Hugst!$R$5:$W$9,MATCH(ROUNDUP((K$1)/10,0)*10,[1]Hugst!$R$4:$W$4,0))))</f>
        <v>630.44679877602812</v>
      </c>
      <c r="L104">
        <f ca="1">IF($C104-L$1&lt;År1,0,K103*(1-VLOOKUP($A104,[1]Hugst!$R$5:$W$9,MATCH(ROUNDUP((L$1)/10,0)*10,[1]Hugst!$R$4:$W$4,0))))</f>
        <v>631.85805312695265</v>
      </c>
      <c r="M104">
        <f ca="1">IF($C104-M$1&lt;År1,0,L103*(1-VLOOKUP($A104,[1]Hugst!$R$5:$W$9,MATCH(ROUNDUP((M$1)/10,0)*10,[1]Hugst!$R$4:$W$4,0))))</f>
        <v>633.2763992082987</v>
      </c>
      <c r="N104">
        <f ca="1">IF($C104-N$1&lt;År1,0,M103*(1-VLOOKUP($A104,[1]Hugst!$R$5:$W$9,MATCH(ROUNDUP((N$1)/10,0)*10,[1]Hugst!$R$4:$W$4,0))))</f>
        <v>634.70187265687969</v>
      </c>
      <c r="O104">
        <f ca="1">IF($C104-O$1&lt;År1,0,N103*(1-VLOOKUP($A104,[1]Hugst!$R$5:$W$9,MATCH(ROUNDUP((O$1)/10,0)*10,[1]Hugst!$R$4:$W$4,0))))</f>
        <v>636.13450928862039</v>
      </c>
      <c r="P104">
        <f>IF($C104-P$1&lt;År1,0,O103*(1-VLOOKUP($A104,[1]Hugst!$R$5:$W$9,MATCH(ROUNDUP((P$1)/10,0)*10,[1]Hugst!$R$4:$W$4,0))))</f>
        <v>0</v>
      </c>
      <c r="Q104">
        <f>IF($C104-Q$1&lt;År1,0,P103*(1-VLOOKUP($A104,[1]Hugst!$R$5:$W$9,MATCH(ROUNDUP((Q$1)/10,0)*10,[1]Hugst!$R$4:$W$4,0))))</f>
        <v>0</v>
      </c>
      <c r="R104">
        <f>IF($C104-R$1&lt;År1,0,Q103*(1-VLOOKUP($A104,[1]Hugst!$R$5:$W$9,MATCH(ROUNDUP((R$1)/10,0)*10,[1]Hugst!$R$4:$W$4,0))))</f>
        <v>0</v>
      </c>
      <c r="S104">
        <f>IF($C104-S$1&lt;År1,0,R103*(1-VLOOKUP($A104,[1]Hugst!$R$5:$W$9,MATCH(ROUNDUP((S$1)/10,0)*10,[1]Hugst!$R$4:$W$4,0))))</f>
        <v>0</v>
      </c>
      <c r="T104">
        <f>IF($C104-T$1&lt;År1,0,S103*(1-VLOOKUP($A104,[1]Hugst!$R$5:$W$9,MATCH(ROUNDUP((T$1)/10,0)*10,[1]Hugst!$R$4:$W$4,0))))</f>
        <v>0</v>
      </c>
      <c r="U104">
        <f>IF($C104-U$1&lt;År1,0,T103*(1-VLOOKUP($A104,[1]Hugst!$R$5:$W$9,MATCH(ROUNDUP((U$1)/10,0)*10,[1]Hugst!$R$4:$W$4,0))))</f>
        <v>0</v>
      </c>
      <c r="V104">
        <f>IF($C104-V$1&lt;År1,0,U103*(1-VLOOKUP($A104,[1]Hugst!$R$5:$W$9,MATCH(ROUNDUP((V$1)/10,0)*10,[1]Hugst!$R$4:$W$4,0))))</f>
        <v>0</v>
      </c>
      <c r="W104">
        <f>IF($C104-W$1&lt;År1,0,V103*(1-VLOOKUP($A104,[1]Hugst!$R$5:$W$9,MATCH(ROUNDUP((W$1)/10,0)*10,[1]Hugst!$R$4:$W$4,0))))</f>
        <v>0</v>
      </c>
      <c r="X104">
        <f>IF($C104-X$1&lt;År1,0,W103*(1-VLOOKUP($A104,[1]Hugst!$R$5:$W$9,MATCH(ROUNDUP((X$1)/10,0)*10,[1]Hugst!$R$4:$W$4,0))))</f>
        <v>0</v>
      </c>
      <c r="Y104">
        <f>IF($C104-Y$1&lt;År1,0,X103*(1-VLOOKUP($A104,[1]Hugst!$R$5:$W$9,MATCH(ROUNDUP((Y$1)/10,0)*10,[1]Hugst!$R$4:$W$4,0))))</f>
        <v>0</v>
      </c>
      <c r="Z104">
        <f>IF($C104-Z$1&lt;År1,0,Y103*(1-VLOOKUP($A104,[1]Hugst!$R$5:$W$9,MATCH(ROUNDUP((Z$1)/10,0)*10,[1]Hugst!$R$4:$W$4,0))))</f>
        <v>0</v>
      </c>
      <c r="AA104">
        <f>IF($C104-AA$1&lt;År1,0,Z103*(1-VLOOKUP($A104,[1]Hugst!$R$5:$W$9,MATCH(ROUNDUP((AA$1)/10,0)*10,[1]Hugst!$R$4:$W$4,0))))</f>
        <v>0</v>
      </c>
      <c r="AB104">
        <f>IF($C104-AB$1&lt;År1,0,AA103*(1-VLOOKUP($A104,[1]Hugst!$R$5:$W$9,MATCH(ROUNDUP((AB$1)/10,0)*10,[1]Hugst!$R$4:$W$4,0))))</f>
        <v>0</v>
      </c>
      <c r="AC104">
        <f>IF($C104-AC$1&lt;År1,0,AB103*(1-VLOOKUP($A104,[1]Hugst!$R$5:$W$9,MATCH(ROUNDUP((AC$1)/10,0)*10,[1]Hugst!$R$4:$W$4,0))))</f>
        <v>0</v>
      </c>
      <c r="AD104">
        <f>IF($C104-AD$1&lt;År1,0,AC103*(1-VLOOKUP($A104,[1]Hugst!$R$5:$W$9,MATCH(ROUNDUP((AD$1)/10,0)*10,[1]Hugst!$R$4:$W$4,0))))</f>
        <v>0</v>
      </c>
      <c r="AE104">
        <f>IF($C104-AE$1&lt;År1,0,AD103*(1-VLOOKUP($A104,[1]Hugst!$R$5:$W$9,MATCH(ROUNDUP((AE$1)/10,0)*10,[1]Hugst!$R$4:$W$4,0))))</f>
        <v>0</v>
      </c>
      <c r="AF104">
        <f>IF($C104-AF$1&lt;År1,0,AE103*(1-VLOOKUP($A104,[1]Hugst!$R$5:$W$9,MATCH(ROUNDUP((AF$1)/10,0)*10,[1]Hugst!$R$4:$W$4,0))))</f>
        <v>0</v>
      </c>
      <c r="AG104">
        <f>IF($C104-AG$1&lt;År1,0,AF103*(1-VLOOKUP($A104,[1]Hugst!$R$5:$W$9,MATCH(ROUNDUP((AG$1)/10,0)*10,[1]Hugst!$R$4:$W$4,0))))</f>
        <v>0</v>
      </c>
      <c r="AH104">
        <f>IF($C104-AH$1&lt;År1,0,AG103*(1-VLOOKUP($A104,[1]Hugst!$R$5:$W$9,MATCH(ROUNDUP((AH$1)/10,0)*10,[1]Hugst!$R$4:$W$4,0))))</f>
        <v>0</v>
      </c>
      <c r="AI104">
        <f>IF($C104-AI$1&lt;År1,0,AH103*(1-VLOOKUP($A104,[1]Hugst!$R$5:$W$9,MATCH(ROUNDUP((AI$1)/10,0)*10,[1]Hugst!$R$4:$W$4,0))))</f>
        <v>0</v>
      </c>
      <c r="AJ104">
        <f>IF($C104-AJ$1&lt;År1,0,AI103*(1-VLOOKUP($A104,[1]Hugst!$R$5:$W$9,MATCH(ROUNDUP((AJ$1)/10,0)*10,[1]Hugst!$R$4:$W$4,0))))</f>
        <v>0</v>
      </c>
    </row>
    <row r="105" spans="1:36" x14ac:dyDescent="0.25">
      <c r="A105" t="s">
        <v>177</v>
      </c>
      <c r="B105" t="s">
        <v>24</v>
      </c>
      <c r="C105">
        <v>2030</v>
      </c>
      <c r="D105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272.51904274496019</v>
      </c>
      <c r="E105">
        <f t="shared" ca="1" si="2"/>
        <v>0.970374675185667</v>
      </c>
      <c r="F105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623.0966003606618</v>
      </c>
      <c r="G105">
        <f ca="1">IF($C105-G$1&lt;År1,0,F104*(1-VLOOKUP($A105,[1]Hugst!$R$5:$W$9,MATCH(ROUNDUP((G$1)/10,0)*10,[1]Hugst!$R$4:$W$4,0))))</f>
        <v>623.49566811132399</v>
      </c>
      <c r="H105">
        <f ca="1">IF($C105-H$1&lt;År1,0,G104*(1-VLOOKUP($A105,[1]Hugst!$R$5:$W$9,MATCH(ROUNDUP((H$1)/10,0)*10,[1]Hugst!$R$4:$W$4,0))))</f>
        <v>624.8719921574102</v>
      </c>
      <c r="I105">
        <f ca="1">IF($C105-I$1&lt;År1,0,H104*(1-VLOOKUP($A105,[1]Hugst!$R$5:$W$9,MATCH(ROUNDUP((I$1)/10,0)*10,[1]Hugst!$R$4:$W$4,0))))</f>
        <v>626.25523240472512</v>
      </c>
      <c r="J105">
        <f ca="1">IF($C105-J$1&lt;År1,0,I104*(1-VLOOKUP($A105,[1]Hugst!$R$5:$W$9,MATCH(ROUNDUP((J$1)/10,0)*10,[1]Hugst!$R$4:$W$4,0))))</f>
        <v>627.6454236080765</v>
      </c>
      <c r="K105">
        <f ca="1">IF($C105-K$1&lt;År1,0,J104*(1-VLOOKUP($A105,[1]Hugst!$R$5:$W$9,MATCH(ROUNDUP((K$1)/10,0)*10,[1]Hugst!$R$4:$W$4,0))))</f>
        <v>629.04260069684574</v>
      </c>
      <c r="L105">
        <f ca="1">IF($C105-L$1&lt;År1,0,K104*(1-VLOOKUP($A105,[1]Hugst!$R$5:$W$9,MATCH(ROUNDUP((L$1)/10,0)*10,[1]Hugst!$R$4:$W$4,0))))</f>
        <v>630.44679877602812</v>
      </c>
      <c r="M105">
        <f ca="1">IF($C105-M$1&lt;År1,0,L104*(1-VLOOKUP($A105,[1]Hugst!$R$5:$W$9,MATCH(ROUNDUP((M$1)/10,0)*10,[1]Hugst!$R$4:$W$4,0))))</f>
        <v>631.85805312695265</v>
      </c>
      <c r="N105">
        <f ca="1">IF($C105-N$1&lt;År1,0,M104*(1-VLOOKUP($A105,[1]Hugst!$R$5:$W$9,MATCH(ROUNDUP((N$1)/10,0)*10,[1]Hugst!$R$4:$W$4,0))))</f>
        <v>633.2763992082987</v>
      </c>
      <c r="O105">
        <f ca="1">IF($C105-O$1&lt;År1,0,N104*(1-VLOOKUP($A105,[1]Hugst!$R$5:$W$9,MATCH(ROUNDUP((O$1)/10,0)*10,[1]Hugst!$R$4:$W$4,0))))</f>
        <v>634.70187265687969</v>
      </c>
      <c r="P105">
        <f ca="1">IF($C105-P$1&lt;År1,0,O104*(1-VLOOKUP($A105,[1]Hugst!$R$5:$W$9,MATCH(ROUNDUP((P$1)/10,0)*10,[1]Hugst!$R$4:$W$4,0))))</f>
        <v>635.16413461343438</v>
      </c>
      <c r="Q105">
        <f>IF($C105-Q$1&lt;År1,0,P104*(1-VLOOKUP($A105,[1]Hugst!$R$5:$W$9,MATCH(ROUNDUP((Q$1)/10,0)*10,[1]Hugst!$R$4:$W$4,0))))</f>
        <v>0</v>
      </c>
      <c r="R105">
        <f>IF($C105-R$1&lt;År1,0,Q104*(1-VLOOKUP($A105,[1]Hugst!$R$5:$W$9,MATCH(ROUNDUP((R$1)/10,0)*10,[1]Hugst!$R$4:$W$4,0))))</f>
        <v>0</v>
      </c>
      <c r="S105">
        <f>IF($C105-S$1&lt;År1,0,R104*(1-VLOOKUP($A105,[1]Hugst!$R$5:$W$9,MATCH(ROUNDUP((S$1)/10,0)*10,[1]Hugst!$R$4:$W$4,0))))</f>
        <v>0</v>
      </c>
      <c r="T105">
        <f>IF($C105-T$1&lt;År1,0,S104*(1-VLOOKUP($A105,[1]Hugst!$R$5:$W$9,MATCH(ROUNDUP((T$1)/10,0)*10,[1]Hugst!$R$4:$W$4,0))))</f>
        <v>0</v>
      </c>
      <c r="U105">
        <f>IF($C105-U$1&lt;År1,0,T104*(1-VLOOKUP($A105,[1]Hugst!$R$5:$W$9,MATCH(ROUNDUP((U$1)/10,0)*10,[1]Hugst!$R$4:$W$4,0))))</f>
        <v>0</v>
      </c>
      <c r="V105">
        <f>IF($C105-V$1&lt;År1,0,U104*(1-VLOOKUP($A105,[1]Hugst!$R$5:$W$9,MATCH(ROUNDUP((V$1)/10,0)*10,[1]Hugst!$R$4:$W$4,0))))</f>
        <v>0</v>
      </c>
      <c r="W105">
        <f>IF($C105-W$1&lt;År1,0,V104*(1-VLOOKUP($A105,[1]Hugst!$R$5:$W$9,MATCH(ROUNDUP((W$1)/10,0)*10,[1]Hugst!$R$4:$W$4,0))))</f>
        <v>0</v>
      </c>
      <c r="X105">
        <f>IF($C105-X$1&lt;År1,0,W104*(1-VLOOKUP($A105,[1]Hugst!$R$5:$W$9,MATCH(ROUNDUP((X$1)/10,0)*10,[1]Hugst!$R$4:$W$4,0))))</f>
        <v>0</v>
      </c>
      <c r="Y105">
        <f>IF($C105-Y$1&lt;År1,0,X104*(1-VLOOKUP($A105,[1]Hugst!$R$5:$W$9,MATCH(ROUNDUP((Y$1)/10,0)*10,[1]Hugst!$R$4:$W$4,0))))</f>
        <v>0</v>
      </c>
      <c r="Z105">
        <f>IF($C105-Z$1&lt;År1,0,Y104*(1-VLOOKUP($A105,[1]Hugst!$R$5:$W$9,MATCH(ROUNDUP((Z$1)/10,0)*10,[1]Hugst!$R$4:$W$4,0))))</f>
        <v>0</v>
      </c>
      <c r="AA105">
        <f>IF($C105-AA$1&lt;År1,0,Z104*(1-VLOOKUP($A105,[1]Hugst!$R$5:$W$9,MATCH(ROUNDUP((AA$1)/10,0)*10,[1]Hugst!$R$4:$W$4,0))))</f>
        <v>0</v>
      </c>
      <c r="AB105">
        <f>IF($C105-AB$1&lt;År1,0,AA104*(1-VLOOKUP($A105,[1]Hugst!$R$5:$W$9,MATCH(ROUNDUP((AB$1)/10,0)*10,[1]Hugst!$R$4:$W$4,0))))</f>
        <v>0</v>
      </c>
      <c r="AC105">
        <f>IF($C105-AC$1&lt;År1,0,AB104*(1-VLOOKUP($A105,[1]Hugst!$R$5:$W$9,MATCH(ROUNDUP((AC$1)/10,0)*10,[1]Hugst!$R$4:$W$4,0))))</f>
        <v>0</v>
      </c>
      <c r="AD105">
        <f>IF($C105-AD$1&lt;År1,0,AC104*(1-VLOOKUP($A105,[1]Hugst!$R$5:$W$9,MATCH(ROUNDUP((AD$1)/10,0)*10,[1]Hugst!$R$4:$W$4,0))))</f>
        <v>0</v>
      </c>
      <c r="AE105">
        <f>IF($C105-AE$1&lt;År1,0,AD104*(1-VLOOKUP($A105,[1]Hugst!$R$5:$W$9,MATCH(ROUNDUP((AE$1)/10,0)*10,[1]Hugst!$R$4:$W$4,0))))</f>
        <v>0</v>
      </c>
      <c r="AF105">
        <f>IF($C105-AF$1&lt;År1,0,AE104*(1-VLOOKUP($A105,[1]Hugst!$R$5:$W$9,MATCH(ROUNDUP((AF$1)/10,0)*10,[1]Hugst!$R$4:$W$4,0))))</f>
        <v>0</v>
      </c>
      <c r="AG105">
        <f>IF($C105-AG$1&lt;År1,0,AF104*(1-VLOOKUP($A105,[1]Hugst!$R$5:$W$9,MATCH(ROUNDUP((AG$1)/10,0)*10,[1]Hugst!$R$4:$W$4,0))))</f>
        <v>0</v>
      </c>
      <c r="AH105">
        <f>IF($C105-AH$1&lt;År1,0,AG104*(1-VLOOKUP($A105,[1]Hugst!$R$5:$W$9,MATCH(ROUNDUP((AH$1)/10,0)*10,[1]Hugst!$R$4:$W$4,0))))</f>
        <v>0</v>
      </c>
      <c r="AI105">
        <f>IF($C105-AI$1&lt;År1,0,AH104*(1-VLOOKUP($A105,[1]Hugst!$R$5:$W$9,MATCH(ROUNDUP((AI$1)/10,0)*10,[1]Hugst!$R$4:$W$4,0))))</f>
        <v>0</v>
      </c>
      <c r="AJ105">
        <f>IF($C105-AJ$1&lt;År1,0,AI104*(1-VLOOKUP($A105,[1]Hugst!$R$5:$W$9,MATCH(ROUNDUP((AJ$1)/10,0)*10,[1]Hugst!$R$4:$W$4,0))))</f>
        <v>0</v>
      </c>
    </row>
    <row r="106" spans="1:36" x14ac:dyDescent="0.25">
      <c r="A106" t="s">
        <v>177</v>
      </c>
      <c r="B106" t="s">
        <v>24</v>
      </c>
      <c r="C106">
        <v>2031</v>
      </c>
      <c r="D106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271.15644753122115</v>
      </c>
      <c r="E106">
        <f t="shared" ca="1" si="2"/>
        <v>1.9370837399037555</v>
      </c>
      <c r="F106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822.47624732050792</v>
      </c>
      <c r="G106">
        <f ca="1">IF($C106-G$1&lt;År1,0,F105*(1-VLOOKUP($A106,[1]Hugst!$R$5:$W$9,MATCH(ROUNDUP((G$1)/10,0)*10,[1]Hugst!$R$4:$W$4,0))))</f>
        <v>623.0966003606618</v>
      </c>
      <c r="H106">
        <f ca="1">IF($C106-H$1&lt;År1,0,G105*(1-VLOOKUP($A106,[1]Hugst!$R$5:$W$9,MATCH(ROUNDUP((H$1)/10,0)*10,[1]Hugst!$R$4:$W$4,0))))</f>
        <v>623.49566811132399</v>
      </c>
      <c r="I106">
        <f ca="1">IF($C106-I$1&lt;År1,0,H105*(1-VLOOKUP($A106,[1]Hugst!$R$5:$W$9,MATCH(ROUNDUP((I$1)/10,0)*10,[1]Hugst!$R$4:$W$4,0))))</f>
        <v>624.8719921574102</v>
      </c>
      <c r="J106">
        <f ca="1">IF($C106-J$1&lt;År1,0,I105*(1-VLOOKUP($A106,[1]Hugst!$R$5:$W$9,MATCH(ROUNDUP((J$1)/10,0)*10,[1]Hugst!$R$4:$W$4,0))))</f>
        <v>626.25523240472512</v>
      </c>
      <c r="K106">
        <f ca="1">IF($C106-K$1&lt;År1,0,J105*(1-VLOOKUP($A106,[1]Hugst!$R$5:$W$9,MATCH(ROUNDUP((K$1)/10,0)*10,[1]Hugst!$R$4:$W$4,0))))</f>
        <v>627.6454236080765</v>
      </c>
      <c r="L106">
        <f ca="1">IF($C106-L$1&lt;År1,0,K105*(1-VLOOKUP($A106,[1]Hugst!$R$5:$W$9,MATCH(ROUNDUP((L$1)/10,0)*10,[1]Hugst!$R$4:$W$4,0))))</f>
        <v>629.04260069684574</v>
      </c>
      <c r="M106">
        <f ca="1">IF($C106-M$1&lt;År1,0,L105*(1-VLOOKUP($A106,[1]Hugst!$R$5:$W$9,MATCH(ROUNDUP((M$1)/10,0)*10,[1]Hugst!$R$4:$W$4,0))))</f>
        <v>630.44679877602812</v>
      </c>
      <c r="N106">
        <f ca="1">IF($C106-N$1&lt;År1,0,M105*(1-VLOOKUP($A106,[1]Hugst!$R$5:$W$9,MATCH(ROUNDUP((N$1)/10,0)*10,[1]Hugst!$R$4:$W$4,0))))</f>
        <v>631.85805312695265</v>
      </c>
      <c r="O106">
        <f ca="1">IF($C106-O$1&lt;År1,0,N105*(1-VLOOKUP($A106,[1]Hugst!$R$5:$W$9,MATCH(ROUNDUP((O$1)/10,0)*10,[1]Hugst!$R$4:$W$4,0))))</f>
        <v>633.2763992082987</v>
      </c>
      <c r="P106">
        <f ca="1">IF($C106-P$1&lt;År1,0,O105*(1-VLOOKUP($A106,[1]Hugst!$R$5:$W$9,MATCH(ROUNDUP((P$1)/10,0)*10,[1]Hugst!$R$4:$W$4,0))))</f>
        <v>633.73368335960652</v>
      </c>
      <c r="Q106">
        <f ca="1">IF($C106-Q$1&lt;År1,0,P105*(1-VLOOKUP($A106,[1]Hugst!$R$5:$W$9,MATCH(ROUNDUP((Q$1)/10,0)*10,[1]Hugst!$R$4:$W$4,0))))</f>
        <v>634.19524017080369</v>
      </c>
      <c r="R106">
        <f>IF($C106-R$1&lt;År1,0,Q105*(1-VLOOKUP($A106,[1]Hugst!$R$5:$W$9,MATCH(ROUNDUP((R$1)/10,0)*10,[1]Hugst!$R$4:$W$4,0))))</f>
        <v>0</v>
      </c>
      <c r="S106">
        <f>IF($C106-S$1&lt;År1,0,R105*(1-VLOOKUP($A106,[1]Hugst!$R$5:$W$9,MATCH(ROUNDUP((S$1)/10,0)*10,[1]Hugst!$R$4:$W$4,0))))</f>
        <v>0</v>
      </c>
      <c r="T106">
        <f>IF($C106-T$1&lt;År1,0,S105*(1-VLOOKUP($A106,[1]Hugst!$R$5:$W$9,MATCH(ROUNDUP((T$1)/10,0)*10,[1]Hugst!$R$4:$W$4,0))))</f>
        <v>0</v>
      </c>
      <c r="U106">
        <f>IF($C106-U$1&lt;År1,0,T105*(1-VLOOKUP($A106,[1]Hugst!$R$5:$W$9,MATCH(ROUNDUP((U$1)/10,0)*10,[1]Hugst!$R$4:$W$4,0))))</f>
        <v>0</v>
      </c>
      <c r="V106">
        <f>IF($C106-V$1&lt;År1,0,U105*(1-VLOOKUP($A106,[1]Hugst!$R$5:$W$9,MATCH(ROUNDUP((V$1)/10,0)*10,[1]Hugst!$R$4:$W$4,0))))</f>
        <v>0</v>
      </c>
      <c r="W106">
        <f>IF($C106-W$1&lt;År1,0,V105*(1-VLOOKUP($A106,[1]Hugst!$R$5:$W$9,MATCH(ROUNDUP((W$1)/10,0)*10,[1]Hugst!$R$4:$W$4,0))))</f>
        <v>0</v>
      </c>
      <c r="X106">
        <f>IF($C106-X$1&lt;År1,0,W105*(1-VLOOKUP($A106,[1]Hugst!$R$5:$W$9,MATCH(ROUNDUP((X$1)/10,0)*10,[1]Hugst!$R$4:$W$4,0))))</f>
        <v>0</v>
      </c>
      <c r="Y106">
        <f>IF($C106-Y$1&lt;År1,0,X105*(1-VLOOKUP($A106,[1]Hugst!$R$5:$W$9,MATCH(ROUNDUP((Y$1)/10,0)*10,[1]Hugst!$R$4:$W$4,0))))</f>
        <v>0</v>
      </c>
      <c r="Z106">
        <f>IF($C106-Z$1&lt;År1,0,Y105*(1-VLOOKUP($A106,[1]Hugst!$R$5:$W$9,MATCH(ROUNDUP((Z$1)/10,0)*10,[1]Hugst!$R$4:$W$4,0))))</f>
        <v>0</v>
      </c>
      <c r="AA106">
        <f>IF($C106-AA$1&lt;År1,0,Z105*(1-VLOOKUP($A106,[1]Hugst!$R$5:$W$9,MATCH(ROUNDUP((AA$1)/10,0)*10,[1]Hugst!$R$4:$W$4,0))))</f>
        <v>0</v>
      </c>
      <c r="AB106">
        <f>IF($C106-AB$1&lt;År1,0,AA105*(1-VLOOKUP($A106,[1]Hugst!$R$5:$W$9,MATCH(ROUNDUP((AB$1)/10,0)*10,[1]Hugst!$R$4:$W$4,0))))</f>
        <v>0</v>
      </c>
      <c r="AC106">
        <f>IF($C106-AC$1&lt;År1,0,AB105*(1-VLOOKUP($A106,[1]Hugst!$R$5:$W$9,MATCH(ROUNDUP((AC$1)/10,0)*10,[1]Hugst!$R$4:$W$4,0))))</f>
        <v>0</v>
      </c>
      <c r="AD106">
        <f>IF($C106-AD$1&lt;År1,0,AC105*(1-VLOOKUP($A106,[1]Hugst!$R$5:$W$9,MATCH(ROUNDUP((AD$1)/10,0)*10,[1]Hugst!$R$4:$W$4,0))))</f>
        <v>0</v>
      </c>
      <c r="AE106">
        <f>IF($C106-AE$1&lt;År1,0,AD105*(1-VLOOKUP($A106,[1]Hugst!$R$5:$W$9,MATCH(ROUNDUP((AE$1)/10,0)*10,[1]Hugst!$R$4:$W$4,0))))</f>
        <v>0</v>
      </c>
      <c r="AF106">
        <f>IF($C106-AF$1&lt;År1,0,AE105*(1-VLOOKUP($A106,[1]Hugst!$R$5:$W$9,MATCH(ROUNDUP((AF$1)/10,0)*10,[1]Hugst!$R$4:$W$4,0))))</f>
        <v>0</v>
      </c>
      <c r="AG106">
        <f>IF($C106-AG$1&lt;År1,0,AF105*(1-VLOOKUP($A106,[1]Hugst!$R$5:$W$9,MATCH(ROUNDUP((AG$1)/10,0)*10,[1]Hugst!$R$4:$W$4,0))))</f>
        <v>0</v>
      </c>
      <c r="AH106">
        <f>IF($C106-AH$1&lt;År1,0,AG105*(1-VLOOKUP($A106,[1]Hugst!$R$5:$W$9,MATCH(ROUNDUP((AH$1)/10,0)*10,[1]Hugst!$R$4:$W$4,0))))</f>
        <v>0</v>
      </c>
      <c r="AI106">
        <f>IF($C106-AI$1&lt;År1,0,AH105*(1-VLOOKUP($A106,[1]Hugst!$R$5:$W$9,MATCH(ROUNDUP((AI$1)/10,0)*10,[1]Hugst!$R$4:$W$4,0))))</f>
        <v>0</v>
      </c>
      <c r="AJ106">
        <f>IF($C106-AJ$1&lt;År1,0,AI105*(1-VLOOKUP($A106,[1]Hugst!$R$5:$W$9,MATCH(ROUNDUP((AJ$1)/10,0)*10,[1]Hugst!$R$4:$W$4,0))))</f>
        <v>0</v>
      </c>
    </row>
    <row r="107" spans="1:36" x14ac:dyDescent="0.25">
      <c r="A107" t="s">
        <v>177</v>
      </c>
      <c r="B107" t="s">
        <v>24</v>
      </c>
      <c r="C107">
        <v>2032</v>
      </c>
      <c r="D107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269.80066529357509</v>
      </c>
      <c r="E107">
        <f t="shared" ca="1" si="2"/>
        <v>2.9001437126535166</v>
      </c>
      <c r="F107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822.08352505561163</v>
      </c>
      <c r="G107">
        <f ca="1">IF($C107-G$1&lt;År1,0,F106*(1-VLOOKUP($A107,[1]Hugst!$R$5:$W$9,MATCH(ROUNDUP((G$1)/10,0)*10,[1]Hugst!$R$4:$W$4,0))))</f>
        <v>822.47624732050792</v>
      </c>
      <c r="H107">
        <f ca="1">IF($C107-H$1&lt;År1,0,G106*(1-VLOOKUP($A107,[1]Hugst!$R$5:$W$9,MATCH(ROUNDUP((H$1)/10,0)*10,[1]Hugst!$R$4:$W$4,0))))</f>
        <v>623.0966003606618</v>
      </c>
      <c r="I107">
        <f ca="1">IF($C107-I$1&lt;År1,0,H106*(1-VLOOKUP($A107,[1]Hugst!$R$5:$W$9,MATCH(ROUNDUP((I$1)/10,0)*10,[1]Hugst!$R$4:$W$4,0))))</f>
        <v>623.49566811132399</v>
      </c>
      <c r="J107">
        <f ca="1">IF($C107-J$1&lt;År1,0,I106*(1-VLOOKUP($A107,[1]Hugst!$R$5:$W$9,MATCH(ROUNDUP((J$1)/10,0)*10,[1]Hugst!$R$4:$W$4,0))))</f>
        <v>624.8719921574102</v>
      </c>
      <c r="K107">
        <f ca="1">IF($C107-K$1&lt;År1,0,J106*(1-VLOOKUP($A107,[1]Hugst!$R$5:$W$9,MATCH(ROUNDUP((K$1)/10,0)*10,[1]Hugst!$R$4:$W$4,0))))</f>
        <v>626.25523240472512</v>
      </c>
      <c r="L107">
        <f ca="1">IF($C107-L$1&lt;År1,0,K106*(1-VLOOKUP($A107,[1]Hugst!$R$5:$W$9,MATCH(ROUNDUP((L$1)/10,0)*10,[1]Hugst!$R$4:$W$4,0))))</f>
        <v>627.6454236080765</v>
      </c>
      <c r="M107">
        <f ca="1">IF($C107-M$1&lt;År1,0,L106*(1-VLOOKUP($A107,[1]Hugst!$R$5:$W$9,MATCH(ROUNDUP((M$1)/10,0)*10,[1]Hugst!$R$4:$W$4,0))))</f>
        <v>629.04260069684574</v>
      </c>
      <c r="N107">
        <f ca="1">IF($C107-N$1&lt;År1,0,M106*(1-VLOOKUP($A107,[1]Hugst!$R$5:$W$9,MATCH(ROUNDUP((N$1)/10,0)*10,[1]Hugst!$R$4:$W$4,0))))</f>
        <v>630.44679877602812</v>
      </c>
      <c r="O107">
        <f ca="1">IF($C107-O$1&lt;År1,0,N106*(1-VLOOKUP($A107,[1]Hugst!$R$5:$W$9,MATCH(ROUNDUP((O$1)/10,0)*10,[1]Hugst!$R$4:$W$4,0))))</f>
        <v>631.85805312695265</v>
      </c>
      <c r="P107">
        <f ca="1">IF($C107-P$1&lt;År1,0,O106*(1-VLOOKUP($A107,[1]Hugst!$R$5:$W$9,MATCH(ROUNDUP((P$1)/10,0)*10,[1]Hugst!$R$4:$W$4,0))))</f>
        <v>632.31038436204869</v>
      </c>
      <c r="Q107">
        <f ca="1">IF($C107-Q$1&lt;År1,0,P106*(1-VLOOKUP($A107,[1]Hugst!$R$5:$W$9,MATCH(ROUNDUP((Q$1)/10,0)*10,[1]Hugst!$R$4:$W$4,0))))</f>
        <v>632.76697096126134</v>
      </c>
      <c r="R107">
        <f ca="1">IF($C107-R$1&lt;År1,0,Q106*(1-VLOOKUP($A107,[1]Hugst!$R$5:$W$9,MATCH(ROUNDUP((R$1)/10,0)*10,[1]Hugst!$R$4:$W$4,0))))</f>
        <v>633.22782370274649</v>
      </c>
      <c r="S107">
        <f>IF($C107-S$1&lt;År1,0,R106*(1-VLOOKUP($A107,[1]Hugst!$R$5:$W$9,MATCH(ROUNDUP((S$1)/10,0)*10,[1]Hugst!$R$4:$W$4,0))))</f>
        <v>0</v>
      </c>
      <c r="T107">
        <f>IF($C107-T$1&lt;År1,0,S106*(1-VLOOKUP($A107,[1]Hugst!$R$5:$W$9,MATCH(ROUNDUP((T$1)/10,0)*10,[1]Hugst!$R$4:$W$4,0))))</f>
        <v>0</v>
      </c>
      <c r="U107">
        <f>IF($C107-U$1&lt;År1,0,T106*(1-VLOOKUP($A107,[1]Hugst!$R$5:$W$9,MATCH(ROUNDUP((U$1)/10,0)*10,[1]Hugst!$R$4:$W$4,0))))</f>
        <v>0</v>
      </c>
      <c r="V107">
        <f>IF($C107-V$1&lt;År1,0,U106*(1-VLOOKUP($A107,[1]Hugst!$R$5:$W$9,MATCH(ROUNDUP((V$1)/10,0)*10,[1]Hugst!$R$4:$W$4,0))))</f>
        <v>0</v>
      </c>
      <c r="W107">
        <f>IF($C107-W$1&lt;År1,0,V106*(1-VLOOKUP($A107,[1]Hugst!$R$5:$W$9,MATCH(ROUNDUP((W$1)/10,0)*10,[1]Hugst!$R$4:$W$4,0))))</f>
        <v>0</v>
      </c>
      <c r="X107">
        <f>IF($C107-X$1&lt;År1,0,W106*(1-VLOOKUP($A107,[1]Hugst!$R$5:$W$9,MATCH(ROUNDUP((X$1)/10,0)*10,[1]Hugst!$R$4:$W$4,0))))</f>
        <v>0</v>
      </c>
      <c r="Y107">
        <f>IF($C107-Y$1&lt;År1,0,X106*(1-VLOOKUP($A107,[1]Hugst!$R$5:$W$9,MATCH(ROUNDUP((Y$1)/10,0)*10,[1]Hugst!$R$4:$W$4,0))))</f>
        <v>0</v>
      </c>
      <c r="Z107">
        <f>IF($C107-Z$1&lt;År1,0,Y106*(1-VLOOKUP($A107,[1]Hugst!$R$5:$W$9,MATCH(ROUNDUP((Z$1)/10,0)*10,[1]Hugst!$R$4:$W$4,0))))</f>
        <v>0</v>
      </c>
      <c r="AA107">
        <f>IF($C107-AA$1&lt;År1,0,Z106*(1-VLOOKUP($A107,[1]Hugst!$R$5:$W$9,MATCH(ROUNDUP((AA$1)/10,0)*10,[1]Hugst!$R$4:$W$4,0))))</f>
        <v>0</v>
      </c>
      <c r="AB107">
        <f>IF($C107-AB$1&lt;År1,0,AA106*(1-VLOOKUP($A107,[1]Hugst!$R$5:$W$9,MATCH(ROUNDUP((AB$1)/10,0)*10,[1]Hugst!$R$4:$W$4,0))))</f>
        <v>0</v>
      </c>
      <c r="AC107">
        <f>IF($C107-AC$1&lt;År1,0,AB106*(1-VLOOKUP($A107,[1]Hugst!$R$5:$W$9,MATCH(ROUNDUP((AC$1)/10,0)*10,[1]Hugst!$R$4:$W$4,0))))</f>
        <v>0</v>
      </c>
      <c r="AD107">
        <f>IF($C107-AD$1&lt;År1,0,AC106*(1-VLOOKUP($A107,[1]Hugst!$R$5:$W$9,MATCH(ROUNDUP((AD$1)/10,0)*10,[1]Hugst!$R$4:$W$4,0))))</f>
        <v>0</v>
      </c>
      <c r="AE107">
        <f>IF($C107-AE$1&lt;År1,0,AD106*(1-VLOOKUP($A107,[1]Hugst!$R$5:$W$9,MATCH(ROUNDUP((AE$1)/10,0)*10,[1]Hugst!$R$4:$W$4,0))))</f>
        <v>0</v>
      </c>
      <c r="AF107">
        <f>IF($C107-AF$1&lt;År1,0,AE106*(1-VLOOKUP($A107,[1]Hugst!$R$5:$W$9,MATCH(ROUNDUP((AF$1)/10,0)*10,[1]Hugst!$R$4:$W$4,0))))</f>
        <v>0</v>
      </c>
      <c r="AG107">
        <f>IF($C107-AG$1&lt;År1,0,AF106*(1-VLOOKUP($A107,[1]Hugst!$R$5:$W$9,MATCH(ROUNDUP((AG$1)/10,0)*10,[1]Hugst!$R$4:$W$4,0))))</f>
        <v>0</v>
      </c>
      <c r="AH107">
        <f>IF($C107-AH$1&lt;År1,0,AG106*(1-VLOOKUP($A107,[1]Hugst!$R$5:$W$9,MATCH(ROUNDUP((AH$1)/10,0)*10,[1]Hugst!$R$4:$W$4,0))))</f>
        <v>0</v>
      </c>
      <c r="AI107">
        <f>IF($C107-AI$1&lt;År1,0,AH106*(1-VLOOKUP($A107,[1]Hugst!$R$5:$W$9,MATCH(ROUNDUP((AI$1)/10,0)*10,[1]Hugst!$R$4:$W$4,0))))</f>
        <v>0</v>
      </c>
      <c r="AJ107">
        <f>IF($C107-AJ$1&lt;År1,0,AI106*(1-VLOOKUP($A107,[1]Hugst!$R$5:$W$9,MATCH(ROUNDUP((AJ$1)/10,0)*10,[1]Hugst!$R$4:$W$4,0))))</f>
        <v>0</v>
      </c>
    </row>
    <row r="108" spans="1:36" x14ac:dyDescent="0.25">
      <c r="A108" t="s">
        <v>177</v>
      </c>
      <c r="B108" t="s">
        <v>24</v>
      </c>
      <c r="C108">
        <v>2033</v>
      </c>
      <c r="D10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268.45166196710352</v>
      </c>
      <c r="E108">
        <f t="shared" ca="1" si="2"/>
        <v>3.8595710320987564</v>
      </c>
      <c r="F10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821.6939490485853</v>
      </c>
      <c r="G108">
        <f ca="1">IF($C108-G$1&lt;År1,0,F107*(1-VLOOKUP($A108,[1]Hugst!$R$5:$W$9,MATCH(ROUNDUP((G$1)/10,0)*10,[1]Hugst!$R$4:$W$4,0))))</f>
        <v>822.08352505561163</v>
      </c>
      <c r="H108">
        <f ca="1">IF($C108-H$1&lt;År1,0,G107*(1-VLOOKUP($A108,[1]Hugst!$R$5:$W$9,MATCH(ROUNDUP((H$1)/10,0)*10,[1]Hugst!$R$4:$W$4,0))))</f>
        <v>822.47624732050792</v>
      </c>
      <c r="I108">
        <f ca="1">IF($C108-I$1&lt;År1,0,H107*(1-VLOOKUP($A108,[1]Hugst!$R$5:$W$9,MATCH(ROUNDUP((I$1)/10,0)*10,[1]Hugst!$R$4:$W$4,0))))</f>
        <v>623.0966003606618</v>
      </c>
      <c r="J108">
        <f ca="1">IF($C108-J$1&lt;År1,0,I107*(1-VLOOKUP($A108,[1]Hugst!$R$5:$W$9,MATCH(ROUNDUP((J$1)/10,0)*10,[1]Hugst!$R$4:$W$4,0))))</f>
        <v>623.49566811132399</v>
      </c>
      <c r="K108">
        <f ca="1">IF($C108-K$1&lt;År1,0,J107*(1-VLOOKUP($A108,[1]Hugst!$R$5:$W$9,MATCH(ROUNDUP((K$1)/10,0)*10,[1]Hugst!$R$4:$W$4,0))))</f>
        <v>624.8719921574102</v>
      </c>
      <c r="L108">
        <f ca="1">IF($C108-L$1&lt;År1,0,K107*(1-VLOOKUP($A108,[1]Hugst!$R$5:$W$9,MATCH(ROUNDUP((L$1)/10,0)*10,[1]Hugst!$R$4:$W$4,0))))</f>
        <v>626.25523240472512</v>
      </c>
      <c r="M108">
        <f ca="1">IF($C108-M$1&lt;År1,0,L107*(1-VLOOKUP($A108,[1]Hugst!$R$5:$W$9,MATCH(ROUNDUP((M$1)/10,0)*10,[1]Hugst!$R$4:$W$4,0))))</f>
        <v>627.6454236080765</v>
      </c>
      <c r="N108">
        <f ca="1">IF($C108-N$1&lt;År1,0,M107*(1-VLOOKUP($A108,[1]Hugst!$R$5:$W$9,MATCH(ROUNDUP((N$1)/10,0)*10,[1]Hugst!$R$4:$W$4,0))))</f>
        <v>629.04260069684574</v>
      </c>
      <c r="O108">
        <f ca="1">IF($C108-O$1&lt;År1,0,N107*(1-VLOOKUP($A108,[1]Hugst!$R$5:$W$9,MATCH(ROUNDUP((O$1)/10,0)*10,[1]Hugst!$R$4:$W$4,0))))</f>
        <v>630.44679877602812</v>
      </c>
      <c r="P108">
        <f ca="1">IF($C108-P$1&lt;År1,0,O107*(1-VLOOKUP($A108,[1]Hugst!$R$5:$W$9,MATCH(ROUNDUP((P$1)/10,0)*10,[1]Hugst!$R$4:$W$4,0))))</f>
        <v>630.89420185947085</v>
      </c>
      <c r="Q108">
        <f ca="1">IF($C108-Q$1&lt;År1,0,P107*(1-VLOOKUP($A108,[1]Hugst!$R$5:$W$9,MATCH(ROUNDUP((Q$1)/10,0)*10,[1]Hugst!$R$4:$W$4,0))))</f>
        <v>631.34584309776756</v>
      </c>
      <c r="R108">
        <f ca="1">IF($C108-R$1&lt;År1,0,Q107*(1-VLOOKUP($A108,[1]Hugst!$R$5:$W$9,MATCH(ROUNDUP((R$1)/10,0)*10,[1]Hugst!$R$4:$W$4,0))))</f>
        <v>631.80173320894755</v>
      </c>
      <c r="S108">
        <f ca="1">IF($C108-S$1&lt;År1,0,R107*(1-VLOOKUP($A108,[1]Hugst!$R$5:$W$9,MATCH(ROUNDUP((S$1)/10,0)*10,[1]Hugst!$R$4:$W$4,0))))</f>
        <v>632.26188295472537</v>
      </c>
      <c r="T108">
        <f>IF($C108-T$1&lt;År1,0,S107*(1-VLOOKUP($A108,[1]Hugst!$R$5:$W$9,MATCH(ROUNDUP((T$1)/10,0)*10,[1]Hugst!$R$4:$W$4,0))))</f>
        <v>0</v>
      </c>
      <c r="U108">
        <f>IF($C108-U$1&lt;År1,0,T107*(1-VLOOKUP($A108,[1]Hugst!$R$5:$W$9,MATCH(ROUNDUP((U$1)/10,0)*10,[1]Hugst!$R$4:$W$4,0))))</f>
        <v>0</v>
      </c>
      <c r="V108">
        <f>IF($C108-V$1&lt;År1,0,U107*(1-VLOOKUP($A108,[1]Hugst!$R$5:$W$9,MATCH(ROUNDUP((V$1)/10,0)*10,[1]Hugst!$R$4:$W$4,0))))</f>
        <v>0</v>
      </c>
      <c r="W108">
        <f>IF($C108-W$1&lt;År1,0,V107*(1-VLOOKUP($A108,[1]Hugst!$R$5:$W$9,MATCH(ROUNDUP((W$1)/10,0)*10,[1]Hugst!$R$4:$W$4,0))))</f>
        <v>0</v>
      </c>
      <c r="X108">
        <f>IF($C108-X$1&lt;År1,0,W107*(1-VLOOKUP($A108,[1]Hugst!$R$5:$W$9,MATCH(ROUNDUP((X$1)/10,0)*10,[1]Hugst!$R$4:$W$4,0))))</f>
        <v>0</v>
      </c>
      <c r="Y108">
        <f>IF($C108-Y$1&lt;År1,0,X107*(1-VLOOKUP($A108,[1]Hugst!$R$5:$W$9,MATCH(ROUNDUP((Y$1)/10,0)*10,[1]Hugst!$R$4:$W$4,0))))</f>
        <v>0</v>
      </c>
      <c r="Z108">
        <f>IF($C108-Z$1&lt;År1,0,Y107*(1-VLOOKUP($A108,[1]Hugst!$R$5:$W$9,MATCH(ROUNDUP((Z$1)/10,0)*10,[1]Hugst!$R$4:$W$4,0))))</f>
        <v>0</v>
      </c>
      <c r="AA108">
        <f>IF($C108-AA$1&lt;År1,0,Z107*(1-VLOOKUP($A108,[1]Hugst!$R$5:$W$9,MATCH(ROUNDUP((AA$1)/10,0)*10,[1]Hugst!$R$4:$W$4,0))))</f>
        <v>0</v>
      </c>
      <c r="AB108">
        <f>IF($C108-AB$1&lt;År1,0,AA107*(1-VLOOKUP($A108,[1]Hugst!$R$5:$W$9,MATCH(ROUNDUP((AB$1)/10,0)*10,[1]Hugst!$R$4:$W$4,0))))</f>
        <v>0</v>
      </c>
      <c r="AC108">
        <f>IF($C108-AC$1&lt;År1,0,AB107*(1-VLOOKUP($A108,[1]Hugst!$R$5:$W$9,MATCH(ROUNDUP((AC$1)/10,0)*10,[1]Hugst!$R$4:$W$4,0))))</f>
        <v>0</v>
      </c>
      <c r="AD108">
        <f>IF($C108-AD$1&lt;År1,0,AC107*(1-VLOOKUP($A108,[1]Hugst!$R$5:$W$9,MATCH(ROUNDUP((AD$1)/10,0)*10,[1]Hugst!$R$4:$W$4,0))))</f>
        <v>0</v>
      </c>
      <c r="AE108">
        <f>IF($C108-AE$1&lt;År1,0,AD107*(1-VLOOKUP($A108,[1]Hugst!$R$5:$W$9,MATCH(ROUNDUP((AE$1)/10,0)*10,[1]Hugst!$R$4:$W$4,0))))</f>
        <v>0</v>
      </c>
      <c r="AF108">
        <f>IF($C108-AF$1&lt;År1,0,AE107*(1-VLOOKUP($A108,[1]Hugst!$R$5:$W$9,MATCH(ROUNDUP((AF$1)/10,0)*10,[1]Hugst!$R$4:$W$4,0))))</f>
        <v>0</v>
      </c>
      <c r="AG108">
        <f>IF($C108-AG$1&lt;År1,0,AF107*(1-VLOOKUP($A108,[1]Hugst!$R$5:$W$9,MATCH(ROUNDUP((AG$1)/10,0)*10,[1]Hugst!$R$4:$W$4,0))))</f>
        <v>0</v>
      </c>
      <c r="AH108">
        <f>IF($C108-AH$1&lt;År1,0,AG107*(1-VLOOKUP($A108,[1]Hugst!$R$5:$W$9,MATCH(ROUNDUP((AH$1)/10,0)*10,[1]Hugst!$R$4:$W$4,0))))</f>
        <v>0</v>
      </c>
      <c r="AI108">
        <f>IF($C108-AI$1&lt;År1,0,AH107*(1-VLOOKUP($A108,[1]Hugst!$R$5:$W$9,MATCH(ROUNDUP((AI$1)/10,0)*10,[1]Hugst!$R$4:$W$4,0))))</f>
        <v>0</v>
      </c>
      <c r="AJ108">
        <f>IF($C108-AJ$1&lt;År1,0,AI107*(1-VLOOKUP($A108,[1]Hugst!$R$5:$W$9,MATCH(ROUNDUP((AJ$1)/10,0)*10,[1]Hugst!$R$4:$W$4,0))))</f>
        <v>0</v>
      </c>
    </row>
    <row r="109" spans="1:36" x14ac:dyDescent="0.25">
      <c r="A109" t="s">
        <v>177</v>
      </c>
      <c r="B109" t="s">
        <v>24</v>
      </c>
      <c r="C109">
        <v>2034</v>
      </c>
      <c r="D109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267.10940365726901</v>
      </c>
      <c r="E109">
        <f t="shared" ca="1" si="2"/>
        <v>4.8153820574698329</v>
      </c>
      <c r="F10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821.30750176412187</v>
      </c>
      <c r="G109">
        <f ca="1">IF($C109-G$1&lt;År1,0,F108*(1-VLOOKUP($A109,[1]Hugst!$R$5:$W$9,MATCH(ROUNDUP((G$1)/10,0)*10,[1]Hugst!$R$4:$W$4,0))))</f>
        <v>821.6939490485853</v>
      </c>
      <c r="H109">
        <f ca="1">IF($C109-H$1&lt;År1,0,G108*(1-VLOOKUP($A109,[1]Hugst!$R$5:$W$9,MATCH(ROUNDUP((H$1)/10,0)*10,[1]Hugst!$R$4:$W$4,0))))</f>
        <v>822.08352505561163</v>
      </c>
      <c r="I109">
        <f ca="1">IF($C109-I$1&lt;År1,0,H108*(1-VLOOKUP($A109,[1]Hugst!$R$5:$W$9,MATCH(ROUNDUP((I$1)/10,0)*10,[1]Hugst!$R$4:$W$4,0))))</f>
        <v>822.47624732050792</v>
      </c>
      <c r="J109">
        <f ca="1">IF($C109-J$1&lt;År1,0,I108*(1-VLOOKUP($A109,[1]Hugst!$R$5:$W$9,MATCH(ROUNDUP((J$1)/10,0)*10,[1]Hugst!$R$4:$W$4,0))))</f>
        <v>623.0966003606618</v>
      </c>
      <c r="K109">
        <f ca="1">IF($C109-K$1&lt;År1,0,J108*(1-VLOOKUP($A109,[1]Hugst!$R$5:$W$9,MATCH(ROUNDUP((K$1)/10,0)*10,[1]Hugst!$R$4:$W$4,0))))</f>
        <v>623.49566811132399</v>
      </c>
      <c r="L109">
        <f ca="1">IF($C109-L$1&lt;År1,0,K108*(1-VLOOKUP($A109,[1]Hugst!$R$5:$W$9,MATCH(ROUNDUP((L$1)/10,0)*10,[1]Hugst!$R$4:$W$4,0))))</f>
        <v>624.8719921574102</v>
      </c>
      <c r="M109">
        <f ca="1">IF($C109-M$1&lt;År1,0,L108*(1-VLOOKUP($A109,[1]Hugst!$R$5:$W$9,MATCH(ROUNDUP((M$1)/10,0)*10,[1]Hugst!$R$4:$W$4,0))))</f>
        <v>626.25523240472512</v>
      </c>
      <c r="N109">
        <f ca="1">IF($C109-N$1&lt;År1,0,M108*(1-VLOOKUP($A109,[1]Hugst!$R$5:$W$9,MATCH(ROUNDUP((N$1)/10,0)*10,[1]Hugst!$R$4:$W$4,0))))</f>
        <v>627.6454236080765</v>
      </c>
      <c r="O109">
        <f ca="1">IF($C109-O$1&lt;År1,0,N108*(1-VLOOKUP($A109,[1]Hugst!$R$5:$W$9,MATCH(ROUNDUP((O$1)/10,0)*10,[1]Hugst!$R$4:$W$4,0))))</f>
        <v>629.04260069684574</v>
      </c>
      <c r="P109">
        <f ca="1">IF($C109-P$1&lt;År1,0,O108*(1-VLOOKUP($A109,[1]Hugst!$R$5:$W$9,MATCH(ROUNDUP((P$1)/10,0)*10,[1]Hugst!$R$4:$W$4,0))))</f>
        <v>629.48510026942063</v>
      </c>
      <c r="Q109">
        <f ca="1">IF($C109-Q$1&lt;År1,0,P108*(1-VLOOKUP($A109,[1]Hugst!$R$5:$W$9,MATCH(ROUNDUP((Q$1)/10,0)*10,[1]Hugst!$R$4:$W$4,0))))</f>
        <v>629.93182087358355</v>
      </c>
      <c r="R109">
        <f ca="1">IF($C109-R$1&lt;År1,0,Q108*(1-VLOOKUP($A109,[1]Hugst!$R$5:$W$9,MATCH(ROUNDUP((R$1)/10,0)*10,[1]Hugst!$R$4:$W$4,0))))</f>
        <v>630.38277316761844</v>
      </c>
      <c r="S109">
        <f ca="1">IF($C109-S$1&lt;År1,0,R108*(1-VLOOKUP($A109,[1]Hugst!$R$5:$W$9,MATCH(ROUNDUP((S$1)/10,0)*10,[1]Hugst!$R$4:$W$4,0))))</f>
        <v>630.8379678532051</v>
      </c>
      <c r="T109">
        <f ca="1">IF($C109-T$1&lt;År1,0,S108*(1-VLOOKUP($A109,[1]Hugst!$R$5:$W$9,MATCH(ROUNDUP((T$1)/10,0)*10,[1]Hugst!$R$4:$W$4,0))))</f>
        <v>631.2974156756419</v>
      </c>
      <c r="U109">
        <f>IF($C109-U$1&lt;År1,0,T108*(1-VLOOKUP($A109,[1]Hugst!$R$5:$W$9,MATCH(ROUNDUP((U$1)/10,0)*10,[1]Hugst!$R$4:$W$4,0))))</f>
        <v>0</v>
      </c>
      <c r="V109">
        <f>IF($C109-V$1&lt;År1,0,U108*(1-VLOOKUP($A109,[1]Hugst!$R$5:$W$9,MATCH(ROUNDUP((V$1)/10,0)*10,[1]Hugst!$R$4:$W$4,0))))</f>
        <v>0</v>
      </c>
      <c r="W109">
        <f>IF($C109-W$1&lt;År1,0,V108*(1-VLOOKUP($A109,[1]Hugst!$R$5:$W$9,MATCH(ROUNDUP((W$1)/10,0)*10,[1]Hugst!$R$4:$W$4,0))))</f>
        <v>0</v>
      </c>
      <c r="X109">
        <f>IF($C109-X$1&lt;År1,0,W108*(1-VLOOKUP($A109,[1]Hugst!$R$5:$W$9,MATCH(ROUNDUP((X$1)/10,0)*10,[1]Hugst!$R$4:$W$4,0))))</f>
        <v>0</v>
      </c>
      <c r="Y109">
        <f>IF($C109-Y$1&lt;År1,0,X108*(1-VLOOKUP($A109,[1]Hugst!$R$5:$W$9,MATCH(ROUNDUP((Y$1)/10,0)*10,[1]Hugst!$R$4:$W$4,0))))</f>
        <v>0</v>
      </c>
      <c r="Z109">
        <f>IF($C109-Z$1&lt;År1,0,Y108*(1-VLOOKUP($A109,[1]Hugst!$R$5:$W$9,MATCH(ROUNDUP((Z$1)/10,0)*10,[1]Hugst!$R$4:$W$4,0))))</f>
        <v>0</v>
      </c>
      <c r="AA109">
        <f>IF($C109-AA$1&lt;År1,0,Z108*(1-VLOOKUP($A109,[1]Hugst!$R$5:$W$9,MATCH(ROUNDUP((AA$1)/10,0)*10,[1]Hugst!$R$4:$W$4,0))))</f>
        <v>0</v>
      </c>
      <c r="AB109">
        <f>IF($C109-AB$1&lt;År1,0,AA108*(1-VLOOKUP($A109,[1]Hugst!$R$5:$W$9,MATCH(ROUNDUP((AB$1)/10,0)*10,[1]Hugst!$R$4:$W$4,0))))</f>
        <v>0</v>
      </c>
      <c r="AC109">
        <f>IF($C109-AC$1&lt;År1,0,AB108*(1-VLOOKUP($A109,[1]Hugst!$R$5:$W$9,MATCH(ROUNDUP((AC$1)/10,0)*10,[1]Hugst!$R$4:$W$4,0))))</f>
        <v>0</v>
      </c>
      <c r="AD109">
        <f>IF($C109-AD$1&lt;År1,0,AC108*(1-VLOOKUP($A109,[1]Hugst!$R$5:$W$9,MATCH(ROUNDUP((AD$1)/10,0)*10,[1]Hugst!$R$4:$W$4,0))))</f>
        <v>0</v>
      </c>
      <c r="AE109">
        <f>IF($C109-AE$1&lt;År1,0,AD108*(1-VLOOKUP($A109,[1]Hugst!$R$5:$W$9,MATCH(ROUNDUP((AE$1)/10,0)*10,[1]Hugst!$R$4:$W$4,0))))</f>
        <v>0</v>
      </c>
      <c r="AF109">
        <f>IF($C109-AF$1&lt;År1,0,AE108*(1-VLOOKUP($A109,[1]Hugst!$R$5:$W$9,MATCH(ROUNDUP((AF$1)/10,0)*10,[1]Hugst!$R$4:$W$4,0))))</f>
        <v>0</v>
      </c>
      <c r="AG109">
        <f>IF($C109-AG$1&lt;År1,0,AF108*(1-VLOOKUP($A109,[1]Hugst!$R$5:$W$9,MATCH(ROUNDUP((AG$1)/10,0)*10,[1]Hugst!$R$4:$W$4,0))))</f>
        <v>0</v>
      </c>
      <c r="AH109">
        <f>IF($C109-AH$1&lt;År1,0,AG108*(1-VLOOKUP($A109,[1]Hugst!$R$5:$W$9,MATCH(ROUNDUP((AH$1)/10,0)*10,[1]Hugst!$R$4:$W$4,0))))</f>
        <v>0</v>
      </c>
      <c r="AI109">
        <f>IF($C109-AI$1&lt;År1,0,AH108*(1-VLOOKUP($A109,[1]Hugst!$R$5:$W$9,MATCH(ROUNDUP((AI$1)/10,0)*10,[1]Hugst!$R$4:$W$4,0))))</f>
        <v>0</v>
      </c>
      <c r="AJ109">
        <f>IF($C109-AJ$1&lt;År1,0,AI108*(1-VLOOKUP($A109,[1]Hugst!$R$5:$W$9,MATCH(ROUNDUP((AJ$1)/10,0)*10,[1]Hugst!$R$4:$W$4,0))))</f>
        <v>0</v>
      </c>
    </row>
    <row r="110" spans="1:36" x14ac:dyDescent="0.25">
      <c r="A110" t="s">
        <v>177</v>
      </c>
      <c r="B110" t="s">
        <v>24</v>
      </c>
      <c r="C110">
        <v>2035</v>
      </c>
      <c r="D110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265.77385663898804</v>
      </c>
      <c r="E110">
        <f t="shared" ca="1" si="2"/>
        <v>5.7675930689547386</v>
      </c>
      <c r="F110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820.9241657573258</v>
      </c>
      <c r="G110">
        <f ca="1">IF($C110-G$1&lt;År1,0,F109*(1-VLOOKUP($A110,[1]Hugst!$R$5:$W$9,MATCH(ROUNDUP((G$1)/10,0)*10,[1]Hugst!$R$4:$W$4,0))))</f>
        <v>821.30750176412187</v>
      </c>
      <c r="H110">
        <f ca="1">IF($C110-H$1&lt;År1,0,G109*(1-VLOOKUP($A110,[1]Hugst!$R$5:$W$9,MATCH(ROUNDUP((H$1)/10,0)*10,[1]Hugst!$R$4:$W$4,0))))</f>
        <v>821.6939490485853</v>
      </c>
      <c r="I110">
        <f ca="1">IF($C110-I$1&lt;År1,0,H109*(1-VLOOKUP($A110,[1]Hugst!$R$5:$W$9,MATCH(ROUNDUP((I$1)/10,0)*10,[1]Hugst!$R$4:$W$4,0))))</f>
        <v>822.08352505561163</v>
      </c>
      <c r="J110">
        <f ca="1">IF($C110-J$1&lt;År1,0,I109*(1-VLOOKUP($A110,[1]Hugst!$R$5:$W$9,MATCH(ROUNDUP((J$1)/10,0)*10,[1]Hugst!$R$4:$W$4,0))))</f>
        <v>822.47624732050792</v>
      </c>
      <c r="K110">
        <f ca="1">IF($C110-K$1&lt;År1,0,J109*(1-VLOOKUP($A110,[1]Hugst!$R$5:$W$9,MATCH(ROUNDUP((K$1)/10,0)*10,[1]Hugst!$R$4:$W$4,0))))</f>
        <v>623.0966003606618</v>
      </c>
      <c r="L110">
        <f ca="1">IF($C110-L$1&lt;År1,0,K109*(1-VLOOKUP($A110,[1]Hugst!$R$5:$W$9,MATCH(ROUNDUP((L$1)/10,0)*10,[1]Hugst!$R$4:$W$4,0))))</f>
        <v>623.49566811132399</v>
      </c>
      <c r="M110">
        <f ca="1">IF($C110-M$1&lt;År1,0,L109*(1-VLOOKUP($A110,[1]Hugst!$R$5:$W$9,MATCH(ROUNDUP((M$1)/10,0)*10,[1]Hugst!$R$4:$W$4,0))))</f>
        <v>624.8719921574102</v>
      </c>
      <c r="N110">
        <f ca="1">IF($C110-N$1&lt;År1,0,M109*(1-VLOOKUP($A110,[1]Hugst!$R$5:$W$9,MATCH(ROUNDUP((N$1)/10,0)*10,[1]Hugst!$R$4:$W$4,0))))</f>
        <v>626.25523240472512</v>
      </c>
      <c r="O110">
        <f ca="1">IF($C110-O$1&lt;År1,0,N109*(1-VLOOKUP($A110,[1]Hugst!$R$5:$W$9,MATCH(ROUNDUP((O$1)/10,0)*10,[1]Hugst!$R$4:$W$4,0))))</f>
        <v>627.6454236080765</v>
      </c>
      <c r="P110">
        <f ca="1">IF($C110-P$1&lt;År1,0,O109*(1-VLOOKUP($A110,[1]Hugst!$R$5:$W$9,MATCH(ROUNDUP((P$1)/10,0)*10,[1]Hugst!$R$4:$W$4,0))))</f>
        <v>628.08304418730813</v>
      </c>
      <c r="Q110">
        <f ca="1">IF($C110-Q$1&lt;År1,0,P109*(1-VLOOKUP($A110,[1]Hugst!$R$5:$W$9,MATCH(ROUNDUP((Q$1)/10,0)*10,[1]Hugst!$R$4:$W$4,0))))</f>
        <v>628.52486876053501</v>
      </c>
      <c r="R110">
        <f ca="1">IF($C110-R$1&lt;År1,0,Q109*(1-VLOOKUP($A110,[1]Hugst!$R$5:$W$9,MATCH(ROUNDUP((R$1)/10,0)*10,[1]Hugst!$R$4:$W$4,0))))</f>
        <v>628.97090792648828</v>
      </c>
      <c r="S110">
        <f ca="1">IF($C110-S$1&lt;År1,0,R109*(1-VLOOKUP($A110,[1]Hugst!$R$5:$W$9,MATCH(ROUNDUP((S$1)/10,0)*10,[1]Hugst!$R$4:$W$4,0))))</f>
        <v>629.42117232719329</v>
      </c>
      <c r="T110">
        <f ca="1">IF($C110-T$1&lt;År1,0,S109*(1-VLOOKUP($A110,[1]Hugst!$R$5:$W$9,MATCH(ROUNDUP((T$1)/10,0)*10,[1]Hugst!$R$4:$W$4,0))))</f>
        <v>629.87567264800532</v>
      </c>
      <c r="U110">
        <f ca="1">IF($C110-U$1&lt;År1,0,T109*(1-VLOOKUP($A110,[1]Hugst!$R$5:$W$9,MATCH(ROUNDUP((U$1)/10,0)*10,[1]Hugst!$R$4:$W$4,0))))</f>
        <v>630.3344196178316</v>
      </c>
      <c r="V110">
        <f>IF($C110-V$1&lt;År1,0,U109*(1-VLOOKUP($A110,[1]Hugst!$R$5:$W$9,MATCH(ROUNDUP((V$1)/10,0)*10,[1]Hugst!$R$4:$W$4,0))))</f>
        <v>0</v>
      </c>
      <c r="W110">
        <f>IF($C110-W$1&lt;År1,0,V109*(1-VLOOKUP($A110,[1]Hugst!$R$5:$W$9,MATCH(ROUNDUP((W$1)/10,0)*10,[1]Hugst!$R$4:$W$4,0))))</f>
        <v>0</v>
      </c>
      <c r="X110">
        <f>IF($C110-X$1&lt;År1,0,W109*(1-VLOOKUP($A110,[1]Hugst!$R$5:$W$9,MATCH(ROUNDUP((X$1)/10,0)*10,[1]Hugst!$R$4:$W$4,0))))</f>
        <v>0</v>
      </c>
      <c r="Y110">
        <f>IF($C110-Y$1&lt;År1,0,X109*(1-VLOOKUP($A110,[1]Hugst!$R$5:$W$9,MATCH(ROUNDUP((Y$1)/10,0)*10,[1]Hugst!$R$4:$W$4,0))))</f>
        <v>0</v>
      </c>
      <c r="Z110">
        <f>IF($C110-Z$1&lt;År1,0,Y109*(1-VLOOKUP($A110,[1]Hugst!$R$5:$W$9,MATCH(ROUNDUP((Z$1)/10,0)*10,[1]Hugst!$R$4:$W$4,0))))</f>
        <v>0</v>
      </c>
      <c r="AA110">
        <f>IF($C110-AA$1&lt;År1,0,Z109*(1-VLOOKUP($A110,[1]Hugst!$R$5:$W$9,MATCH(ROUNDUP((AA$1)/10,0)*10,[1]Hugst!$R$4:$W$4,0))))</f>
        <v>0</v>
      </c>
      <c r="AB110">
        <f>IF($C110-AB$1&lt;År1,0,AA109*(1-VLOOKUP($A110,[1]Hugst!$R$5:$W$9,MATCH(ROUNDUP((AB$1)/10,0)*10,[1]Hugst!$R$4:$W$4,0))))</f>
        <v>0</v>
      </c>
      <c r="AC110">
        <f>IF($C110-AC$1&lt;År1,0,AB109*(1-VLOOKUP($A110,[1]Hugst!$R$5:$W$9,MATCH(ROUNDUP((AC$1)/10,0)*10,[1]Hugst!$R$4:$W$4,0))))</f>
        <v>0</v>
      </c>
      <c r="AD110">
        <f>IF($C110-AD$1&lt;År1,0,AC109*(1-VLOOKUP($A110,[1]Hugst!$R$5:$W$9,MATCH(ROUNDUP((AD$1)/10,0)*10,[1]Hugst!$R$4:$W$4,0))))</f>
        <v>0</v>
      </c>
      <c r="AE110">
        <f>IF($C110-AE$1&lt;År1,0,AD109*(1-VLOOKUP($A110,[1]Hugst!$R$5:$W$9,MATCH(ROUNDUP((AE$1)/10,0)*10,[1]Hugst!$R$4:$W$4,0))))</f>
        <v>0</v>
      </c>
      <c r="AF110">
        <f>IF($C110-AF$1&lt;År1,0,AE109*(1-VLOOKUP($A110,[1]Hugst!$R$5:$W$9,MATCH(ROUNDUP((AF$1)/10,0)*10,[1]Hugst!$R$4:$W$4,0))))</f>
        <v>0</v>
      </c>
      <c r="AG110">
        <f>IF($C110-AG$1&lt;År1,0,AF109*(1-VLOOKUP($A110,[1]Hugst!$R$5:$W$9,MATCH(ROUNDUP((AG$1)/10,0)*10,[1]Hugst!$R$4:$W$4,0))))</f>
        <v>0</v>
      </c>
      <c r="AH110">
        <f>IF($C110-AH$1&lt;År1,0,AG109*(1-VLOOKUP($A110,[1]Hugst!$R$5:$W$9,MATCH(ROUNDUP((AH$1)/10,0)*10,[1]Hugst!$R$4:$W$4,0))))</f>
        <v>0</v>
      </c>
      <c r="AI110">
        <f>IF($C110-AI$1&lt;År1,0,AH109*(1-VLOOKUP($A110,[1]Hugst!$R$5:$W$9,MATCH(ROUNDUP((AI$1)/10,0)*10,[1]Hugst!$R$4:$W$4,0))))</f>
        <v>0</v>
      </c>
      <c r="AJ110">
        <f>IF($C110-AJ$1&lt;År1,0,AI109*(1-VLOOKUP($A110,[1]Hugst!$R$5:$W$9,MATCH(ROUNDUP((AJ$1)/10,0)*10,[1]Hugst!$R$4:$W$4,0))))</f>
        <v>0</v>
      </c>
    </row>
    <row r="111" spans="1:36" x14ac:dyDescent="0.25">
      <c r="A111" t="s">
        <v>177</v>
      </c>
      <c r="B111" t="s">
        <v>24</v>
      </c>
      <c r="C111">
        <v>2036</v>
      </c>
      <c r="D111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264.444987355786</v>
      </c>
      <c r="E111">
        <f t="shared" ca="1" si="2"/>
        <v>6.7162202680810879</v>
      </c>
      <c r="F111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820.54392367325011</v>
      </c>
      <c r="G111">
        <f ca="1">IF($C111-G$1&lt;År1,0,F110*(1-VLOOKUP($A111,[1]Hugst!$R$5:$W$9,MATCH(ROUNDUP((G$1)/10,0)*10,[1]Hugst!$R$4:$W$4,0))))</f>
        <v>820.9241657573258</v>
      </c>
      <c r="H111">
        <f ca="1">IF($C111-H$1&lt;År1,0,G110*(1-VLOOKUP($A111,[1]Hugst!$R$5:$W$9,MATCH(ROUNDUP((H$1)/10,0)*10,[1]Hugst!$R$4:$W$4,0))))</f>
        <v>821.30750176412187</v>
      </c>
      <c r="I111">
        <f ca="1">IF($C111-I$1&lt;År1,0,H110*(1-VLOOKUP($A111,[1]Hugst!$R$5:$W$9,MATCH(ROUNDUP((I$1)/10,0)*10,[1]Hugst!$R$4:$W$4,0))))</f>
        <v>821.6939490485853</v>
      </c>
      <c r="J111">
        <f ca="1">IF($C111-J$1&lt;År1,0,I110*(1-VLOOKUP($A111,[1]Hugst!$R$5:$W$9,MATCH(ROUNDUP((J$1)/10,0)*10,[1]Hugst!$R$4:$W$4,0))))</f>
        <v>822.08352505561163</v>
      </c>
      <c r="K111">
        <f ca="1">IF($C111-K$1&lt;År1,0,J110*(1-VLOOKUP($A111,[1]Hugst!$R$5:$W$9,MATCH(ROUNDUP((K$1)/10,0)*10,[1]Hugst!$R$4:$W$4,0))))</f>
        <v>822.47624732050792</v>
      </c>
      <c r="L111">
        <f ca="1">IF($C111-L$1&lt;År1,0,K110*(1-VLOOKUP($A111,[1]Hugst!$R$5:$W$9,MATCH(ROUNDUP((L$1)/10,0)*10,[1]Hugst!$R$4:$W$4,0))))</f>
        <v>623.0966003606618</v>
      </c>
      <c r="M111">
        <f ca="1">IF($C111-M$1&lt;År1,0,L110*(1-VLOOKUP($A111,[1]Hugst!$R$5:$W$9,MATCH(ROUNDUP((M$1)/10,0)*10,[1]Hugst!$R$4:$W$4,0))))</f>
        <v>623.49566811132399</v>
      </c>
      <c r="N111">
        <f ca="1">IF($C111-N$1&lt;År1,0,M110*(1-VLOOKUP($A111,[1]Hugst!$R$5:$W$9,MATCH(ROUNDUP((N$1)/10,0)*10,[1]Hugst!$R$4:$W$4,0))))</f>
        <v>624.8719921574102</v>
      </c>
      <c r="O111">
        <f ca="1">IF($C111-O$1&lt;År1,0,N110*(1-VLOOKUP($A111,[1]Hugst!$R$5:$W$9,MATCH(ROUNDUP((O$1)/10,0)*10,[1]Hugst!$R$4:$W$4,0))))</f>
        <v>626.25523240472512</v>
      </c>
      <c r="P111">
        <f ca="1">IF($C111-P$1&lt;År1,0,O110*(1-VLOOKUP($A111,[1]Hugst!$R$5:$W$9,MATCH(ROUNDUP((P$1)/10,0)*10,[1]Hugst!$R$4:$W$4,0))))</f>
        <v>626.68799838562347</v>
      </c>
      <c r="Q111">
        <f ca="1">IF($C111-Q$1&lt;År1,0,P110*(1-VLOOKUP($A111,[1]Hugst!$R$5:$W$9,MATCH(ROUNDUP((Q$1)/10,0)*10,[1]Hugst!$R$4:$W$4,0))))</f>
        <v>627.12495140803935</v>
      </c>
      <c r="R111">
        <f ca="1">IF($C111-R$1&lt;År1,0,Q110*(1-VLOOKUP($A111,[1]Hugst!$R$5:$W$9,MATCH(ROUNDUP((R$1)/10,0)*10,[1]Hugst!$R$4:$W$4,0))))</f>
        <v>627.56610201157821</v>
      </c>
      <c r="S111">
        <f ca="1">IF($C111-S$1&lt;År1,0,R110*(1-VLOOKUP($A111,[1]Hugst!$R$5:$W$9,MATCH(ROUNDUP((S$1)/10,0)*10,[1]Hugst!$R$4:$W$4,0))))</f>
        <v>628.01146077880378</v>
      </c>
      <c r="T111">
        <f ca="1">IF($C111-T$1&lt;År1,0,S110*(1-VLOOKUP($A111,[1]Hugst!$R$5:$W$9,MATCH(ROUNDUP((T$1)/10,0)*10,[1]Hugst!$R$4:$W$4,0))))</f>
        <v>628.46103833550774</v>
      </c>
      <c r="U111">
        <f ca="1">IF($C111-U$1&lt;År1,0,T110*(1-VLOOKUP($A111,[1]Hugst!$R$5:$W$9,MATCH(ROUNDUP((U$1)/10,0)*10,[1]Hugst!$R$4:$W$4,0))))</f>
        <v>628.91484535074562</v>
      </c>
      <c r="V111">
        <f ca="1">IF($C111-V$1&lt;År1,0,U110*(1-VLOOKUP($A111,[1]Hugst!$R$5:$W$9,MATCH(ROUNDUP((V$1)/10,0)*10,[1]Hugst!$R$4:$W$4,0))))</f>
        <v>629.37289253705865</v>
      </c>
      <c r="W111">
        <f>IF($C111-W$1&lt;År1,0,V110*(1-VLOOKUP($A111,[1]Hugst!$R$5:$W$9,MATCH(ROUNDUP((W$1)/10,0)*10,[1]Hugst!$R$4:$W$4,0))))</f>
        <v>0</v>
      </c>
      <c r="X111">
        <f>IF($C111-X$1&lt;År1,0,W110*(1-VLOOKUP($A111,[1]Hugst!$R$5:$W$9,MATCH(ROUNDUP((X$1)/10,0)*10,[1]Hugst!$R$4:$W$4,0))))</f>
        <v>0</v>
      </c>
      <c r="Y111">
        <f>IF($C111-Y$1&lt;År1,0,X110*(1-VLOOKUP($A111,[1]Hugst!$R$5:$W$9,MATCH(ROUNDUP((Y$1)/10,0)*10,[1]Hugst!$R$4:$W$4,0))))</f>
        <v>0</v>
      </c>
      <c r="Z111">
        <f>IF($C111-Z$1&lt;År1,0,Y110*(1-VLOOKUP($A111,[1]Hugst!$R$5:$W$9,MATCH(ROUNDUP((Z$1)/10,0)*10,[1]Hugst!$R$4:$W$4,0))))</f>
        <v>0</v>
      </c>
      <c r="AA111">
        <f>IF($C111-AA$1&lt;År1,0,Z110*(1-VLOOKUP($A111,[1]Hugst!$R$5:$W$9,MATCH(ROUNDUP((AA$1)/10,0)*10,[1]Hugst!$R$4:$W$4,0))))</f>
        <v>0</v>
      </c>
      <c r="AB111">
        <f>IF($C111-AB$1&lt;År1,0,AA110*(1-VLOOKUP($A111,[1]Hugst!$R$5:$W$9,MATCH(ROUNDUP((AB$1)/10,0)*10,[1]Hugst!$R$4:$W$4,0))))</f>
        <v>0</v>
      </c>
      <c r="AC111">
        <f>IF($C111-AC$1&lt;År1,0,AB110*(1-VLOOKUP($A111,[1]Hugst!$R$5:$W$9,MATCH(ROUNDUP((AC$1)/10,0)*10,[1]Hugst!$R$4:$W$4,0))))</f>
        <v>0</v>
      </c>
      <c r="AD111">
        <f>IF($C111-AD$1&lt;År1,0,AC110*(1-VLOOKUP($A111,[1]Hugst!$R$5:$W$9,MATCH(ROUNDUP((AD$1)/10,0)*10,[1]Hugst!$R$4:$W$4,0))))</f>
        <v>0</v>
      </c>
      <c r="AE111">
        <f>IF($C111-AE$1&lt;År1,0,AD110*(1-VLOOKUP($A111,[1]Hugst!$R$5:$W$9,MATCH(ROUNDUP((AE$1)/10,0)*10,[1]Hugst!$R$4:$W$4,0))))</f>
        <v>0</v>
      </c>
      <c r="AF111">
        <f>IF($C111-AF$1&lt;År1,0,AE110*(1-VLOOKUP($A111,[1]Hugst!$R$5:$W$9,MATCH(ROUNDUP((AF$1)/10,0)*10,[1]Hugst!$R$4:$W$4,0))))</f>
        <v>0</v>
      </c>
      <c r="AG111">
        <f>IF($C111-AG$1&lt;År1,0,AF110*(1-VLOOKUP($A111,[1]Hugst!$R$5:$W$9,MATCH(ROUNDUP((AG$1)/10,0)*10,[1]Hugst!$R$4:$W$4,0))))</f>
        <v>0</v>
      </c>
      <c r="AH111">
        <f>IF($C111-AH$1&lt;År1,0,AG110*(1-VLOOKUP($A111,[1]Hugst!$R$5:$W$9,MATCH(ROUNDUP((AH$1)/10,0)*10,[1]Hugst!$R$4:$W$4,0))))</f>
        <v>0</v>
      </c>
      <c r="AI111">
        <f>IF($C111-AI$1&lt;År1,0,AH110*(1-VLOOKUP($A111,[1]Hugst!$R$5:$W$9,MATCH(ROUNDUP((AI$1)/10,0)*10,[1]Hugst!$R$4:$W$4,0))))</f>
        <v>0</v>
      </c>
      <c r="AJ111">
        <f>IF($C111-AJ$1&lt;År1,0,AI110*(1-VLOOKUP($A111,[1]Hugst!$R$5:$W$9,MATCH(ROUNDUP((AJ$1)/10,0)*10,[1]Hugst!$R$4:$W$4,0))))</f>
        <v>0</v>
      </c>
    </row>
    <row r="112" spans="1:36" x14ac:dyDescent="0.25">
      <c r="A112" t="s">
        <v>177</v>
      </c>
      <c r="B112" t="s">
        <v>24</v>
      </c>
      <c r="C112">
        <v>2037</v>
      </c>
      <c r="D112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263.12276241901054</v>
      </c>
      <c r="E112">
        <f t="shared" ca="1" si="2"/>
        <v>7.6612797781181143</v>
      </c>
      <c r="F112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820.16675824651168</v>
      </c>
      <c r="G112">
        <f ca="1">IF($C112-G$1&lt;År1,0,F111*(1-VLOOKUP($A112,[1]Hugst!$R$5:$W$9,MATCH(ROUNDUP((G$1)/10,0)*10,[1]Hugst!$R$4:$W$4,0))))</f>
        <v>820.54392367325011</v>
      </c>
      <c r="H112">
        <f ca="1">IF($C112-H$1&lt;År1,0,G111*(1-VLOOKUP($A112,[1]Hugst!$R$5:$W$9,MATCH(ROUNDUP((H$1)/10,0)*10,[1]Hugst!$R$4:$W$4,0))))</f>
        <v>820.9241657573258</v>
      </c>
      <c r="I112">
        <f ca="1">IF($C112-I$1&lt;År1,0,H111*(1-VLOOKUP($A112,[1]Hugst!$R$5:$W$9,MATCH(ROUNDUP((I$1)/10,0)*10,[1]Hugst!$R$4:$W$4,0))))</f>
        <v>821.30750176412187</v>
      </c>
      <c r="J112">
        <f ca="1">IF($C112-J$1&lt;År1,0,I111*(1-VLOOKUP($A112,[1]Hugst!$R$5:$W$9,MATCH(ROUNDUP((J$1)/10,0)*10,[1]Hugst!$R$4:$W$4,0))))</f>
        <v>821.6939490485853</v>
      </c>
      <c r="K112">
        <f ca="1">IF($C112-K$1&lt;År1,0,J111*(1-VLOOKUP($A112,[1]Hugst!$R$5:$W$9,MATCH(ROUNDUP((K$1)/10,0)*10,[1]Hugst!$R$4:$W$4,0))))</f>
        <v>822.08352505561163</v>
      </c>
      <c r="L112">
        <f ca="1">IF($C112-L$1&lt;År1,0,K111*(1-VLOOKUP($A112,[1]Hugst!$R$5:$W$9,MATCH(ROUNDUP((L$1)/10,0)*10,[1]Hugst!$R$4:$W$4,0))))</f>
        <v>822.47624732050792</v>
      </c>
      <c r="M112">
        <f ca="1">IF($C112-M$1&lt;År1,0,L111*(1-VLOOKUP($A112,[1]Hugst!$R$5:$W$9,MATCH(ROUNDUP((M$1)/10,0)*10,[1]Hugst!$R$4:$W$4,0))))</f>
        <v>623.0966003606618</v>
      </c>
      <c r="N112">
        <f ca="1">IF($C112-N$1&lt;År1,0,M111*(1-VLOOKUP($A112,[1]Hugst!$R$5:$W$9,MATCH(ROUNDUP((N$1)/10,0)*10,[1]Hugst!$R$4:$W$4,0))))</f>
        <v>623.49566811132399</v>
      </c>
      <c r="O112">
        <f ca="1">IF($C112-O$1&lt;År1,0,N111*(1-VLOOKUP($A112,[1]Hugst!$R$5:$W$9,MATCH(ROUNDUP((O$1)/10,0)*10,[1]Hugst!$R$4:$W$4,0))))</f>
        <v>624.8719921574102</v>
      </c>
      <c r="P112">
        <f ca="1">IF($C112-P$1&lt;År1,0,O111*(1-VLOOKUP($A112,[1]Hugst!$R$5:$W$9,MATCH(ROUNDUP((P$1)/10,0)*10,[1]Hugst!$R$4:$W$4,0))))</f>
        <v>625.29992781292128</v>
      </c>
      <c r="Q112">
        <f ca="1">IF($C112-Q$1&lt;År1,0,P111*(1-VLOOKUP($A112,[1]Hugst!$R$5:$W$9,MATCH(ROUNDUP((Q$1)/10,0)*10,[1]Hugst!$R$4:$W$4,0))))</f>
        <v>625.73203364232336</v>
      </c>
      <c r="R112">
        <f ca="1">IF($C112-R$1&lt;År1,0,Q111*(1-VLOOKUP($A112,[1]Hugst!$R$5:$W$9,MATCH(ROUNDUP((R$1)/10,0)*10,[1]Hugst!$R$4:$W$4,0))))</f>
        <v>626.16832012623047</v>
      </c>
      <c r="S112">
        <f ca="1">IF($C112-S$1&lt;År1,0,R111*(1-VLOOKUP($A112,[1]Hugst!$R$5:$W$9,MATCH(ROUNDUP((S$1)/10,0)*10,[1]Hugst!$R$4:$W$4,0))))</f>
        <v>626.6087977881707</v>
      </c>
      <c r="T112">
        <f ca="1">IF($C112-T$1&lt;År1,0,S111*(1-VLOOKUP($A112,[1]Hugst!$R$5:$W$9,MATCH(ROUNDUP((T$1)/10,0)*10,[1]Hugst!$R$4:$W$4,0))))</f>
        <v>627.05347719456495</v>
      </c>
      <c r="U112">
        <f ca="1">IF($C112-U$1&lt;År1,0,T111*(1-VLOOKUP($A112,[1]Hugst!$R$5:$W$9,MATCH(ROUNDUP((U$1)/10,0)*10,[1]Hugst!$R$4:$W$4,0))))</f>
        <v>627.50236895499597</v>
      </c>
      <c r="V112">
        <f ca="1">IF($C112-V$1&lt;År1,0,U111*(1-VLOOKUP($A112,[1]Hugst!$R$5:$W$9,MATCH(ROUNDUP((V$1)/10,0)*10,[1]Hugst!$R$4:$W$4,0))))</f>
        <v>627.95548372224448</v>
      </c>
      <c r="W112">
        <f ca="1">IF($C112-W$1&lt;År1,0,V111*(1-VLOOKUP($A112,[1]Hugst!$R$5:$W$9,MATCH(ROUNDUP((W$1)/10,0)*10,[1]Hugst!$R$4:$W$4,0))))</f>
        <v>628.41283219251056</v>
      </c>
      <c r="X112">
        <f>IF($C112-X$1&lt;År1,0,W111*(1-VLOOKUP($A112,[1]Hugst!$R$5:$W$9,MATCH(ROUNDUP((X$1)/10,0)*10,[1]Hugst!$R$4:$W$4,0))))</f>
        <v>0</v>
      </c>
      <c r="Y112">
        <f>IF($C112-Y$1&lt;År1,0,X111*(1-VLOOKUP($A112,[1]Hugst!$R$5:$W$9,MATCH(ROUNDUP((Y$1)/10,0)*10,[1]Hugst!$R$4:$W$4,0))))</f>
        <v>0</v>
      </c>
      <c r="Z112">
        <f>IF($C112-Z$1&lt;År1,0,Y111*(1-VLOOKUP($A112,[1]Hugst!$R$5:$W$9,MATCH(ROUNDUP((Z$1)/10,0)*10,[1]Hugst!$R$4:$W$4,0))))</f>
        <v>0</v>
      </c>
      <c r="AA112">
        <f>IF($C112-AA$1&lt;År1,0,Z111*(1-VLOOKUP($A112,[1]Hugst!$R$5:$W$9,MATCH(ROUNDUP((AA$1)/10,0)*10,[1]Hugst!$R$4:$W$4,0))))</f>
        <v>0</v>
      </c>
      <c r="AB112">
        <f>IF($C112-AB$1&lt;År1,0,AA111*(1-VLOOKUP($A112,[1]Hugst!$R$5:$W$9,MATCH(ROUNDUP((AB$1)/10,0)*10,[1]Hugst!$R$4:$W$4,0))))</f>
        <v>0</v>
      </c>
      <c r="AC112">
        <f>IF($C112-AC$1&lt;År1,0,AB111*(1-VLOOKUP($A112,[1]Hugst!$R$5:$W$9,MATCH(ROUNDUP((AC$1)/10,0)*10,[1]Hugst!$R$4:$W$4,0))))</f>
        <v>0</v>
      </c>
      <c r="AD112">
        <f>IF($C112-AD$1&lt;År1,0,AC111*(1-VLOOKUP($A112,[1]Hugst!$R$5:$W$9,MATCH(ROUNDUP((AD$1)/10,0)*10,[1]Hugst!$R$4:$W$4,0))))</f>
        <v>0</v>
      </c>
      <c r="AE112">
        <f>IF($C112-AE$1&lt;År1,0,AD111*(1-VLOOKUP($A112,[1]Hugst!$R$5:$W$9,MATCH(ROUNDUP((AE$1)/10,0)*10,[1]Hugst!$R$4:$W$4,0))))</f>
        <v>0</v>
      </c>
      <c r="AF112">
        <f>IF($C112-AF$1&lt;År1,0,AE111*(1-VLOOKUP($A112,[1]Hugst!$R$5:$W$9,MATCH(ROUNDUP((AF$1)/10,0)*10,[1]Hugst!$R$4:$W$4,0))))</f>
        <v>0</v>
      </c>
      <c r="AG112">
        <f>IF($C112-AG$1&lt;År1,0,AF111*(1-VLOOKUP($A112,[1]Hugst!$R$5:$W$9,MATCH(ROUNDUP((AG$1)/10,0)*10,[1]Hugst!$R$4:$W$4,0))))</f>
        <v>0</v>
      </c>
      <c r="AH112">
        <f>IF($C112-AH$1&lt;År1,0,AG111*(1-VLOOKUP($A112,[1]Hugst!$R$5:$W$9,MATCH(ROUNDUP((AH$1)/10,0)*10,[1]Hugst!$R$4:$W$4,0))))</f>
        <v>0</v>
      </c>
      <c r="AI112">
        <f>IF($C112-AI$1&lt;År1,0,AH111*(1-VLOOKUP($A112,[1]Hugst!$R$5:$W$9,MATCH(ROUNDUP((AI$1)/10,0)*10,[1]Hugst!$R$4:$W$4,0))))</f>
        <v>0</v>
      </c>
      <c r="AJ112">
        <f>IF($C112-AJ$1&lt;År1,0,AI111*(1-VLOOKUP($A112,[1]Hugst!$R$5:$W$9,MATCH(ROUNDUP((AJ$1)/10,0)*10,[1]Hugst!$R$4:$W$4,0))))</f>
        <v>0</v>
      </c>
    </row>
    <row r="113" spans="1:38" x14ac:dyDescent="0.25">
      <c r="A113" t="s">
        <v>177</v>
      </c>
      <c r="B113" t="s">
        <v>24</v>
      </c>
      <c r="C113">
        <v>2038</v>
      </c>
      <c r="D113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261.80714860692024</v>
      </c>
      <c r="E113">
        <f t="shared" ca="1" si="2"/>
        <v>8.6027876444622962</v>
      </c>
      <c r="F113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819.79265230076555</v>
      </c>
      <c r="G113">
        <f ca="1">IF($C113-G$1&lt;År1,0,F112*(1-VLOOKUP($A113,[1]Hugst!$R$5:$W$9,MATCH(ROUNDUP((G$1)/10,0)*10,[1]Hugst!$R$4:$W$4,0))))</f>
        <v>820.16675824651168</v>
      </c>
      <c r="H113">
        <f ca="1">IF($C113-H$1&lt;År1,0,G112*(1-VLOOKUP($A113,[1]Hugst!$R$5:$W$9,MATCH(ROUNDUP((H$1)/10,0)*10,[1]Hugst!$R$4:$W$4,0))))</f>
        <v>820.54392367325011</v>
      </c>
      <c r="I113">
        <f ca="1">IF($C113-I$1&lt;År1,0,H112*(1-VLOOKUP($A113,[1]Hugst!$R$5:$W$9,MATCH(ROUNDUP((I$1)/10,0)*10,[1]Hugst!$R$4:$W$4,0))))</f>
        <v>820.9241657573258</v>
      </c>
      <c r="J113">
        <f ca="1">IF($C113-J$1&lt;År1,0,I112*(1-VLOOKUP($A113,[1]Hugst!$R$5:$W$9,MATCH(ROUNDUP((J$1)/10,0)*10,[1]Hugst!$R$4:$W$4,0))))</f>
        <v>821.30750176412187</v>
      </c>
      <c r="K113">
        <f ca="1">IF($C113-K$1&lt;År1,0,J112*(1-VLOOKUP($A113,[1]Hugst!$R$5:$W$9,MATCH(ROUNDUP((K$1)/10,0)*10,[1]Hugst!$R$4:$W$4,0))))</f>
        <v>821.6939490485853</v>
      </c>
      <c r="L113">
        <f ca="1">IF($C113-L$1&lt;År1,0,K112*(1-VLOOKUP($A113,[1]Hugst!$R$5:$W$9,MATCH(ROUNDUP((L$1)/10,0)*10,[1]Hugst!$R$4:$W$4,0))))</f>
        <v>822.08352505561163</v>
      </c>
      <c r="M113">
        <f ca="1">IF($C113-M$1&lt;År1,0,L112*(1-VLOOKUP($A113,[1]Hugst!$R$5:$W$9,MATCH(ROUNDUP((M$1)/10,0)*10,[1]Hugst!$R$4:$W$4,0))))</f>
        <v>822.47624732050792</v>
      </c>
      <c r="N113">
        <f ca="1">IF($C113-N$1&lt;År1,0,M112*(1-VLOOKUP($A113,[1]Hugst!$R$5:$W$9,MATCH(ROUNDUP((N$1)/10,0)*10,[1]Hugst!$R$4:$W$4,0))))</f>
        <v>623.0966003606618</v>
      </c>
      <c r="O113">
        <f ca="1">IF($C113-O$1&lt;År1,0,N112*(1-VLOOKUP($A113,[1]Hugst!$R$5:$W$9,MATCH(ROUNDUP((O$1)/10,0)*10,[1]Hugst!$R$4:$W$4,0))))</f>
        <v>623.49566811132399</v>
      </c>
      <c r="P113">
        <f ca="1">IF($C113-P$1&lt;År1,0,O112*(1-VLOOKUP($A113,[1]Hugst!$R$5:$W$9,MATCH(ROUNDUP((P$1)/10,0)*10,[1]Hugst!$R$4:$W$4,0))))</f>
        <v>623.91879759310223</v>
      </c>
      <c r="Q113">
        <f ca="1">IF($C113-Q$1&lt;År1,0,P112*(1-VLOOKUP($A113,[1]Hugst!$R$5:$W$9,MATCH(ROUNDUP((Q$1)/10,0)*10,[1]Hugst!$R$4:$W$4,0))))</f>
        <v>624.34608046541007</v>
      </c>
      <c r="R113">
        <f ca="1">IF($C113-R$1&lt;År1,0,Q112*(1-VLOOKUP($A113,[1]Hugst!$R$5:$W$9,MATCH(ROUNDUP((R$1)/10,0)*10,[1]Hugst!$R$4:$W$4,0))))</f>
        <v>624.77752715032659</v>
      </c>
      <c r="S113">
        <f ca="1">IF($C113-S$1&lt;År1,0,R112*(1-VLOOKUP($A113,[1]Hugst!$R$5:$W$9,MATCH(ROUNDUP((S$1)/10,0)*10,[1]Hugst!$R$4:$W$4,0))))</f>
        <v>625.21314811247862</v>
      </c>
      <c r="T113">
        <f ca="1">IF($C113-T$1&lt;År1,0,S112*(1-VLOOKUP($A113,[1]Hugst!$R$5:$W$9,MATCH(ROUNDUP((T$1)/10,0)*10,[1]Hugst!$R$4:$W$4,0))))</f>
        <v>625.65295385934132</v>
      </c>
      <c r="U113">
        <f ca="1">IF($C113-U$1&lt;År1,0,T112*(1-VLOOKUP($A113,[1]Hugst!$R$5:$W$9,MATCH(ROUNDUP((U$1)/10,0)*10,[1]Hugst!$R$4:$W$4,0))))</f>
        <v>626.09695494121729</v>
      </c>
      <c r="V113">
        <f ca="1">IF($C113-V$1&lt;År1,0,U112*(1-VLOOKUP($A113,[1]Hugst!$R$5:$W$9,MATCH(ROUNDUP((V$1)/10,0)*10,[1]Hugst!$R$4:$W$4,0))))</f>
        <v>626.54516195150529</v>
      </c>
      <c r="W113">
        <f ca="1">IF($C113-W$1&lt;År1,0,V112*(1-VLOOKUP($A113,[1]Hugst!$R$5:$W$9,MATCH(ROUNDUP((W$1)/10,0)*10,[1]Hugst!$R$4:$W$4,0))))</f>
        <v>626.99758552673597</v>
      </c>
      <c r="X113">
        <f ca="1">IF($C113-X$1&lt;År1,0,W112*(1-VLOOKUP($A113,[1]Hugst!$R$5:$W$9,MATCH(ROUNDUP((X$1)/10,0)*10,[1]Hugst!$R$4:$W$4,0))))</f>
        <v>627.45423634679321</v>
      </c>
      <c r="Y113">
        <f>IF($C113-Y$1&lt;År1,0,X112*(1-VLOOKUP($A113,[1]Hugst!$R$5:$W$9,MATCH(ROUNDUP((Y$1)/10,0)*10,[1]Hugst!$R$4:$W$4,0))))</f>
        <v>0</v>
      </c>
      <c r="Z113">
        <f>IF($C113-Z$1&lt;År1,0,Y112*(1-VLOOKUP($A113,[1]Hugst!$R$5:$W$9,MATCH(ROUNDUP((Z$1)/10,0)*10,[1]Hugst!$R$4:$W$4,0))))</f>
        <v>0</v>
      </c>
      <c r="AA113">
        <f>IF($C113-AA$1&lt;År1,0,Z112*(1-VLOOKUP($A113,[1]Hugst!$R$5:$W$9,MATCH(ROUNDUP((AA$1)/10,0)*10,[1]Hugst!$R$4:$W$4,0))))</f>
        <v>0</v>
      </c>
      <c r="AB113">
        <f>IF($C113-AB$1&lt;År1,0,AA112*(1-VLOOKUP($A113,[1]Hugst!$R$5:$W$9,MATCH(ROUNDUP((AB$1)/10,0)*10,[1]Hugst!$R$4:$W$4,0))))</f>
        <v>0</v>
      </c>
      <c r="AC113">
        <f>IF($C113-AC$1&lt;År1,0,AB112*(1-VLOOKUP($A113,[1]Hugst!$R$5:$W$9,MATCH(ROUNDUP((AC$1)/10,0)*10,[1]Hugst!$R$4:$W$4,0))))</f>
        <v>0</v>
      </c>
      <c r="AD113">
        <f>IF($C113-AD$1&lt;År1,0,AC112*(1-VLOOKUP($A113,[1]Hugst!$R$5:$W$9,MATCH(ROUNDUP((AD$1)/10,0)*10,[1]Hugst!$R$4:$W$4,0))))</f>
        <v>0</v>
      </c>
      <c r="AE113">
        <f>IF($C113-AE$1&lt;År1,0,AD112*(1-VLOOKUP($A113,[1]Hugst!$R$5:$W$9,MATCH(ROUNDUP((AE$1)/10,0)*10,[1]Hugst!$R$4:$W$4,0))))</f>
        <v>0</v>
      </c>
      <c r="AF113">
        <f>IF($C113-AF$1&lt;År1,0,AE112*(1-VLOOKUP($A113,[1]Hugst!$R$5:$W$9,MATCH(ROUNDUP((AF$1)/10,0)*10,[1]Hugst!$R$4:$W$4,0))))</f>
        <v>0</v>
      </c>
      <c r="AG113">
        <f>IF($C113-AG$1&lt;År1,0,AF112*(1-VLOOKUP($A113,[1]Hugst!$R$5:$W$9,MATCH(ROUNDUP((AG$1)/10,0)*10,[1]Hugst!$R$4:$W$4,0))))</f>
        <v>0</v>
      </c>
      <c r="AH113">
        <f>IF($C113-AH$1&lt;År1,0,AG112*(1-VLOOKUP($A113,[1]Hugst!$R$5:$W$9,MATCH(ROUNDUP((AH$1)/10,0)*10,[1]Hugst!$R$4:$W$4,0))))</f>
        <v>0</v>
      </c>
      <c r="AI113">
        <f>IF($C113-AI$1&lt;År1,0,AH112*(1-VLOOKUP($A113,[1]Hugst!$R$5:$W$9,MATCH(ROUNDUP((AI$1)/10,0)*10,[1]Hugst!$R$4:$W$4,0))))</f>
        <v>0</v>
      </c>
      <c r="AJ113">
        <f>IF($C113-AJ$1&lt;År1,0,AI112*(1-VLOOKUP($A113,[1]Hugst!$R$5:$W$9,MATCH(ROUNDUP((AJ$1)/10,0)*10,[1]Hugst!$R$4:$W$4,0))))</f>
        <v>0</v>
      </c>
    </row>
    <row r="114" spans="1:38" x14ac:dyDescent="0.25">
      <c r="A114" t="s">
        <v>177</v>
      </c>
      <c r="B114" t="s">
        <v>24</v>
      </c>
      <c r="C114">
        <v>2039</v>
      </c>
      <c r="D114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260.49811286387649</v>
      </c>
      <c r="E114">
        <f t="shared" ca="1" si="2"/>
        <v>9.540759835001154</v>
      </c>
      <c r="F114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819.42158874826066</v>
      </c>
      <c r="G114">
        <f ca="1">IF($C114-G$1&lt;År1,0,F113*(1-VLOOKUP($A114,[1]Hugst!$R$5:$W$9,MATCH(ROUNDUP((G$1)/10,0)*10,[1]Hugst!$R$4:$W$4,0))))</f>
        <v>819.79265230076555</v>
      </c>
      <c r="H114">
        <f ca="1">IF($C114-H$1&lt;År1,0,G113*(1-VLOOKUP($A114,[1]Hugst!$R$5:$W$9,MATCH(ROUNDUP((H$1)/10,0)*10,[1]Hugst!$R$4:$W$4,0))))</f>
        <v>820.16675824651168</v>
      </c>
      <c r="I114">
        <f ca="1">IF($C114-I$1&lt;År1,0,H113*(1-VLOOKUP($A114,[1]Hugst!$R$5:$W$9,MATCH(ROUNDUP((I$1)/10,0)*10,[1]Hugst!$R$4:$W$4,0))))</f>
        <v>820.54392367325011</v>
      </c>
      <c r="J114">
        <f ca="1">IF($C114-J$1&lt;År1,0,I113*(1-VLOOKUP($A114,[1]Hugst!$R$5:$W$9,MATCH(ROUNDUP((J$1)/10,0)*10,[1]Hugst!$R$4:$W$4,0))))</f>
        <v>820.9241657573258</v>
      </c>
      <c r="K114">
        <f ca="1">IF($C114-K$1&lt;År1,0,J113*(1-VLOOKUP($A114,[1]Hugst!$R$5:$W$9,MATCH(ROUNDUP((K$1)/10,0)*10,[1]Hugst!$R$4:$W$4,0))))</f>
        <v>821.30750176412187</v>
      </c>
      <c r="L114">
        <f ca="1">IF($C114-L$1&lt;År1,0,K113*(1-VLOOKUP($A114,[1]Hugst!$R$5:$W$9,MATCH(ROUNDUP((L$1)/10,0)*10,[1]Hugst!$R$4:$W$4,0))))</f>
        <v>821.6939490485853</v>
      </c>
      <c r="M114">
        <f ca="1">IF($C114-M$1&lt;År1,0,L113*(1-VLOOKUP($A114,[1]Hugst!$R$5:$W$9,MATCH(ROUNDUP((M$1)/10,0)*10,[1]Hugst!$R$4:$W$4,0))))</f>
        <v>822.08352505561163</v>
      </c>
      <c r="N114">
        <f ca="1">IF($C114-N$1&lt;År1,0,M113*(1-VLOOKUP($A114,[1]Hugst!$R$5:$W$9,MATCH(ROUNDUP((N$1)/10,0)*10,[1]Hugst!$R$4:$W$4,0))))</f>
        <v>822.47624732050792</v>
      </c>
      <c r="O114">
        <f ca="1">IF($C114-O$1&lt;År1,0,N113*(1-VLOOKUP($A114,[1]Hugst!$R$5:$W$9,MATCH(ROUNDUP((O$1)/10,0)*10,[1]Hugst!$R$4:$W$4,0))))</f>
        <v>623.0966003606618</v>
      </c>
      <c r="P114">
        <f ca="1">IF($C114-P$1&lt;År1,0,O113*(1-VLOOKUP($A114,[1]Hugst!$R$5:$W$9,MATCH(ROUNDUP((P$1)/10,0)*10,[1]Hugst!$R$4:$W$4,0))))</f>
        <v>622.54457302437447</v>
      </c>
      <c r="Q114">
        <f ca="1">IF($C114-Q$1&lt;År1,0,P113*(1-VLOOKUP($A114,[1]Hugst!$R$5:$W$9,MATCH(ROUNDUP((Q$1)/10,0)*10,[1]Hugst!$R$4:$W$4,0))))</f>
        <v>622.96705705440081</v>
      </c>
      <c r="R114">
        <f ca="1">IF($C114-R$1&lt;År1,0,Q113*(1-VLOOKUP($A114,[1]Hugst!$R$5:$W$9,MATCH(ROUNDUP((R$1)/10,0)*10,[1]Hugst!$R$4:$W$4,0))))</f>
        <v>623.39368813927638</v>
      </c>
      <c r="S114">
        <f ca="1">IF($C114-S$1&lt;År1,0,R113*(1-VLOOKUP($A114,[1]Hugst!$R$5:$W$9,MATCH(ROUNDUP((S$1)/10,0)*10,[1]Hugst!$R$4:$W$4,0))))</f>
        <v>623.82447668518205</v>
      </c>
      <c r="T114">
        <f ca="1">IF($C114-T$1&lt;År1,0,S113*(1-VLOOKUP($A114,[1]Hugst!$R$5:$W$9,MATCH(ROUNDUP((T$1)/10,0)*10,[1]Hugst!$R$4:$W$4,0))))</f>
        <v>624.25943314078165</v>
      </c>
      <c r="U114">
        <f ca="1">IF($C114-U$1&lt;År1,0,T113*(1-VLOOKUP($A114,[1]Hugst!$R$5:$W$9,MATCH(ROUNDUP((U$1)/10,0)*10,[1]Hugst!$R$4:$W$4,0))))</f>
        <v>624.69856799752199</v>
      </c>
      <c r="V114">
        <f ca="1">IF($C114-V$1&lt;År1,0,U113*(1-VLOOKUP($A114,[1]Hugst!$R$5:$W$9,MATCH(ROUNDUP((V$1)/10,0)*10,[1]Hugst!$R$4:$W$4,0))))</f>
        <v>625.14189178961203</v>
      </c>
      <c r="W114">
        <f ca="1">IF($C114-W$1&lt;År1,0,V113*(1-VLOOKUP($A114,[1]Hugst!$R$5:$W$9,MATCH(ROUNDUP((W$1)/10,0)*10,[1]Hugst!$R$4:$W$4,0))))</f>
        <v>625.5894150942911</v>
      </c>
      <c r="X114">
        <f ca="1">IF($C114-X$1&lt;År1,0,W113*(1-VLOOKUP($A114,[1]Hugst!$R$5:$W$9,MATCH(ROUNDUP((X$1)/10,0)*10,[1]Hugst!$R$4:$W$4,0))))</f>
        <v>626.04114853186468</v>
      </c>
      <c r="Y114">
        <f ca="1">IF($C114-Y$1&lt;År1,0,X113*(1-VLOOKUP($A114,[1]Hugst!$R$5:$W$9,MATCH(ROUNDUP((Y$1)/10,0)*10,[1]Hugst!$R$4:$W$4,0))))</f>
        <v>626.49710276592521</v>
      </c>
      <c r="Z114">
        <f>IF($C114-Z$1&lt;År1,0,Y113*(1-VLOOKUP($A114,[1]Hugst!$R$5:$W$9,MATCH(ROUNDUP((Z$1)/10,0)*10,[1]Hugst!$R$4:$W$4,0))))</f>
        <v>0</v>
      </c>
      <c r="AA114">
        <f>IF($C114-AA$1&lt;År1,0,Z113*(1-VLOOKUP($A114,[1]Hugst!$R$5:$W$9,MATCH(ROUNDUP((AA$1)/10,0)*10,[1]Hugst!$R$4:$W$4,0))))</f>
        <v>0</v>
      </c>
      <c r="AB114">
        <f>IF($C114-AB$1&lt;År1,0,AA113*(1-VLOOKUP($A114,[1]Hugst!$R$5:$W$9,MATCH(ROUNDUP((AB$1)/10,0)*10,[1]Hugst!$R$4:$W$4,0))))</f>
        <v>0</v>
      </c>
      <c r="AC114">
        <f>IF($C114-AC$1&lt;År1,0,AB113*(1-VLOOKUP($A114,[1]Hugst!$R$5:$W$9,MATCH(ROUNDUP((AC$1)/10,0)*10,[1]Hugst!$R$4:$W$4,0))))</f>
        <v>0</v>
      </c>
      <c r="AD114">
        <f>IF($C114-AD$1&lt;År1,0,AC113*(1-VLOOKUP($A114,[1]Hugst!$R$5:$W$9,MATCH(ROUNDUP((AD$1)/10,0)*10,[1]Hugst!$R$4:$W$4,0))))</f>
        <v>0</v>
      </c>
      <c r="AE114">
        <f>IF($C114-AE$1&lt;År1,0,AD113*(1-VLOOKUP($A114,[1]Hugst!$R$5:$W$9,MATCH(ROUNDUP((AE$1)/10,0)*10,[1]Hugst!$R$4:$W$4,0))))</f>
        <v>0</v>
      </c>
      <c r="AF114">
        <f>IF($C114-AF$1&lt;År1,0,AE113*(1-VLOOKUP($A114,[1]Hugst!$R$5:$W$9,MATCH(ROUNDUP((AF$1)/10,0)*10,[1]Hugst!$R$4:$W$4,0))))</f>
        <v>0</v>
      </c>
      <c r="AG114">
        <f>IF($C114-AG$1&lt;År1,0,AF113*(1-VLOOKUP($A114,[1]Hugst!$R$5:$W$9,MATCH(ROUNDUP((AG$1)/10,0)*10,[1]Hugst!$R$4:$W$4,0))))</f>
        <v>0</v>
      </c>
      <c r="AH114">
        <f>IF($C114-AH$1&lt;År1,0,AG113*(1-VLOOKUP($A114,[1]Hugst!$R$5:$W$9,MATCH(ROUNDUP((AH$1)/10,0)*10,[1]Hugst!$R$4:$W$4,0))))</f>
        <v>0</v>
      </c>
      <c r="AI114">
        <f>IF($C114-AI$1&lt;År1,0,AH113*(1-VLOOKUP($A114,[1]Hugst!$R$5:$W$9,MATCH(ROUNDUP((AI$1)/10,0)*10,[1]Hugst!$R$4:$W$4,0))))</f>
        <v>0</v>
      </c>
      <c r="AJ114">
        <f>IF($C114-AJ$1&lt;År1,0,AI113*(1-VLOOKUP($A114,[1]Hugst!$R$5:$W$9,MATCH(ROUNDUP((AJ$1)/10,0)*10,[1]Hugst!$R$4:$W$4,0))))</f>
        <v>0</v>
      </c>
    </row>
    <row r="115" spans="1:38" x14ac:dyDescent="0.25">
      <c r="A115" t="s">
        <v>177</v>
      </c>
      <c r="B115" t="s">
        <v>24</v>
      </c>
      <c r="C115">
        <v>2040</v>
      </c>
      <c r="D115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259.19562229955955</v>
      </c>
      <c r="E115">
        <f t="shared" ca="1" si="2"/>
        <v>10.609424910118832</v>
      </c>
      <c r="F115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819.1877632590614</v>
      </c>
      <c r="G115">
        <f ca="1">IF($C115-G$1&lt;År1,0,F114*(1-VLOOKUP($A115,[1]Hugst!$R$5:$W$9,MATCH(ROUNDUP((G$1)/10,0)*10,[1]Hugst!$R$4:$W$4,0))))</f>
        <v>819.42158874826066</v>
      </c>
      <c r="H115">
        <f ca="1">IF($C115-H$1&lt;År1,0,G114*(1-VLOOKUP($A115,[1]Hugst!$R$5:$W$9,MATCH(ROUNDUP((H$1)/10,0)*10,[1]Hugst!$R$4:$W$4,0))))</f>
        <v>819.79265230076555</v>
      </c>
      <c r="I115">
        <f ca="1">IF($C115-I$1&lt;År1,0,H114*(1-VLOOKUP($A115,[1]Hugst!$R$5:$W$9,MATCH(ROUNDUP((I$1)/10,0)*10,[1]Hugst!$R$4:$W$4,0))))</f>
        <v>820.16675824651168</v>
      </c>
      <c r="J115">
        <f ca="1">IF($C115-J$1&lt;År1,0,I114*(1-VLOOKUP($A115,[1]Hugst!$R$5:$W$9,MATCH(ROUNDUP((J$1)/10,0)*10,[1]Hugst!$R$4:$W$4,0))))</f>
        <v>820.54392367325011</v>
      </c>
      <c r="K115">
        <f ca="1">IF($C115-K$1&lt;År1,0,J114*(1-VLOOKUP($A115,[1]Hugst!$R$5:$W$9,MATCH(ROUNDUP((K$1)/10,0)*10,[1]Hugst!$R$4:$W$4,0))))</f>
        <v>820.9241657573258</v>
      </c>
      <c r="L115">
        <f ca="1">IF($C115-L$1&lt;År1,0,K114*(1-VLOOKUP($A115,[1]Hugst!$R$5:$W$9,MATCH(ROUNDUP((L$1)/10,0)*10,[1]Hugst!$R$4:$W$4,0))))</f>
        <v>821.30750176412187</v>
      </c>
      <c r="M115">
        <f ca="1">IF($C115-M$1&lt;År1,0,L114*(1-VLOOKUP($A115,[1]Hugst!$R$5:$W$9,MATCH(ROUNDUP((M$1)/10,0)*10,[1]Hugst!$R$4:$W$4,0))))</f>
        <v>821.6939490485853</v>
      </c>
      <c r="N115">
        <f ca="1">IF($C115-N$1&lt;År1,0,M114*(1-VLOOKUP($A115,[1]Hugst!$R$5:$W$9,MATCH(ROUNDUP((N$1)/10,0)*10,[1]Hugst!$R$4:$W$4,0))))</f>
        <v>822.08352505561163</v>
      </c>
      <c r="O115">
        <f ca="1">IF($C115-O$1&lt;År1,0,N114*(1-VLOOKUP($A115,[1]Hugst!$R$5:$W$9,MATCH(ROUNDUP((O$1)/10,0)*10,[1]Hugst!$R$4:$W$4,0))))</f>
        <v>822.47624732050792</v>
      </c>
      <c r="P115">
        <f ca="1">IF($C115-P$1&lt;År1,0,O114*(1-VLOOKUP($A115,[1]Hugst!$R$5:$W$9,MATCH(ROUNDUP((P$1)/10,0)*10,[1]Hugst!$R$4:$W$4,0))))</f>
        <v>622.1461140211286</v>
      </c>
      <c r="Q115">
        <f ca="1">IF($C115-Q$1&lt;År1,0,P114*(1-VLOOKUP($A115,[1]Hugst!$R$5:$W$9,MATCH(ROUNDUP((Q$1)/10,0)*10,[1]Hugst!$R$4:$W$4,0))))</f>
        <v>621.59492876043896</v>
      </c>
      <c r="R115">
        <f ca="1">IF($C115-R$1&lt;År1,0,Q114*(1-VLOOKUP($A115,[1]Hugst!$R$5:$W$9,MATCH(ROUNDUP((R$1)/10,0)*10,[1]Hugst!$R$4:$W$4,0))))</f>
        <v>622.01676832330088</v>
      </c>
      <c r="S115">
        <f ca="1">IF($C115-S$1&lt;År1,0,R114*(1-VLOOKUP($A115,[1]Hugst!$R$5:$W$9,MATCH(ROUNDUP((S$1)/10,0)*10,[1]Hugst!$R$4:$W$4,0))))</f>
        <v>622.44274861499616</v>
      </c>
      <c r="T115">
        <f ca="1">IF($C115-T$1&lt;År1,0,S114*(1-VLOOKUP($A115,[1]Hugst!$R$5:$W$9,MATCH(ROUNDUP((T$1)/10,0)*10,[1]Hugst!$R$4:$W$4,0))))</f>
        <v>622.87288002583171</v>
      </c>
      <c r="U115">
        <f ca="1">IF($C115-U$1&lt;År1,0,T114*(1-VLOOKUP($A115,[1]Hugst!$R$5:$W$9,MATCH(ROUNDUP((U$1)/10,0)*10,[1]Hugst!$R$4:$W$4,0))))</f>
        <v>623.30717298853301</v>
      </c>
      <c r="V115">
        <f ca="1">IF($C115-V$1&lt;År1,0,U114*(1-VLOOKUP($A115,[1]Hugst!$R$5:$W$9,MATCH(ROUNDUP((V$1)/10,0)*10,[1]Hugst!$R$4:$W$4,0))))</f>
        <v>623.74563797854273</v>
      </c>
      <c r="W115">
        <f ca="1">IF($C115-W$1&lt;År1,0,V114*(1-VLOOKUP($A115,[1]Hugst!$R$5:$W$9,MATCH(ROUNDUP((W$1)/10,0)*10,[1]Hugst!$R$4:$W$4,0))))</f>
        <v>624.18828551400077</v>
      </c>
      <c r="X115">
        <f ca="1">IF($C115-X$1&lt;År1,0,W114*(1-VLOOKUP($A115,[1]Hugst!$R$5:$W$9,MATCH(ROUNDUP((X$1)/10,0)*10,[1]Hugst!$R$4:$W$4,0))))</f>
        <v>624.63512615601167</v>
      </c>
      <c r="Y115">
        <f ca="1">IF($C115-Y$1&lt;År1,0,X114*(1-VLOOKUP($A115,[1]Hugst!$R$5:$W$9,MATCH(ROUNDUP((Y$1)/10,0)*10,[1]Hugst!$R$4:$W$4,0))))</f>
        <v>625.08617050868042</v>
      </c>
      <c r="Z115">
        <f ca="1">IF($C115-Z$1&lt;År1,0,Y114*(1-VLOOKUP($A115,[1]Hugst!$R$5:$W$9,MATCH(ROUNDUP((Z$1)/10,0)*10,[1]Hugst!$R$4:$W$4,0))))</f>
        <v>625.40869678230638</v>
      </c>
      <c r="AA115">
        <f>IF($C115-AA$1&lt;År1,0,Z114*(1-VLOOKUP($A115,[1]Hugst!$R$5:$W$9,MATCH(ROUNDUP((AA$1)/10,0)*10,[1]Hugst!$R$4:$W$4,0))))</f>
        <v>0</v>
      </c>
      <c r="AB115">
        <f>IF($C115-AB$1&lt;År1,0,AA114*(1-VLOOKUP($A115,[1]Hugst!$R$5:$W$9,MATCH(ROUNDUP((AB$1)/10,0)*10,[1]Hugst!$R$4:$W$4,0))))</f>
        <v>0</v>
      </c>
      <c r="AC115">
        <f>IF($C115-AC$1&lt;År1,0,AB114*(1-VLOOKUP($A115,[1]Hugst!$R$5:$W$9,MATCH(ROUNDUP((AC$1)/10,0)*10,[1]Hugst!$R$4:$W$4,0))))</f>
        <v>0</v>
      </c>
      <c r="AD115">
        <f>IF($C115-AD$1&lt;År1,0,AC114*(1-VLOOKUP($A115,[1]Hugst!$R$5:$W$9,MATCH(ROUNDUP((AD$1)/10,0)*10,[1]Hugst!$R$4:$W$4,0))))</f>
        <v>0</v>
      </c>
      <c r="AE115">
        <f>IF($C115-AE$1&lt;År1,0,AD114*(1-VLOOKUP($A115,[1]Hugst!$R$5:$W$9,MATCH(ROUNDUP((AE$1)/10,0)*10,[1]Hugst!$R$4:$W$4,0))))</f>
        <v>0</v>
      </c>
      <c r="AF115">
        <f>IF($C115-AF$1&lt;År1,0,AE114*(1-VLOOKUP($A115,[1]Hugst!$R$5:$W$9,MATCH(ROUNDUP((AF$1)/10,0)*10,[1]Hugst!$R$4:$W$4,0))))</f>
        <v>0</v>
      </c>
      <c r="AG115">
        <f>IF($C115-AG$1&lt;År1,0,AF114*(1-VLOOKUP($A115,[1]Hugst!$R$5:$W$9,MATCH(ROUNDUP((AG$1)/10,0)*10,[1]Hugst!$R$4:$W$4,0))))</f>
        <v>0</v>
      </c>
      <c r="AH115">
        <f>IF($C115-AH$1&lt;År1,0,AG114*(1-VLOOKUP($A115,[1]Hugst!$R$5:$W$9,MATCH(ROUNDUP((AH$1)/10,0)*10,[1]Hugst!$R$4:$W$4,0))))</f>
        <v>0</v>
      </c>
      <c r="AI115">
        <f>IF($C115-AI$1&lt;År1,0,AH114*(1-VLOOKUP($A115,[1]Hugst!$R$5:$W$9,MATCH(ROUNDUP((AI$1)/10,0)*10,[1]Hugst!$R$4:$W$4,0))))</f>
        <v>0</v>
      </c>
      <c r="AJ115">
        <f>IF($C115-AJ$1&lt;År1,0,AI114*(1-VLOOKUP($A115,[1]Hugst!$R$5:$W$9,MATCH(ROUNDUP((AJ$1)/10,0)*10,[1]Hugst!$R$4:$W$4,0))))</f>
        <v>0</v>
      </c>
    </row>
    <row r="116" spans="1:38" x14ac:dyDescent="0.25">
      <c r="A116" t="s">
        <v>177</v>
      </c>
      <c r="B116" t="s">
        <v>24</v>
      </c>
      <c r="C116">
        <v>2041</v>
      </c>
      <c r="D116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257.89964418806539</v>
      </c>
      <c r="E116">
        <f t="shared" ca="1" si="2"/>
        <v>11.980068741873765</v>
      </c>
      <c r="F116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819.26242897932218</v>
      </c>
      <c r="G116">
        <f ca="1">IF($C116-G$1&lt;År1,0,F115*(1-VLOOKUP($A116,[1]Hugst!$R$5:$W$9,MATCH(ROUNDUP((G$1)/10,0)*10,[1]Hugst!$R$4:$W$4,0))))</f>
        <v>819.1877632590614</v>
      </c>
      <c r="H116">
        <f ca="1">IF($C116-H$1&lt;År1,0,G115*(1-VLOOKUP($A116,[1]Hugst!$R$5:$W$9,MATCH(ROUNDUP((H$1)/10,0)*10,[1]Hugst!$R$4:$W$4,0))))</f>
        <v>819.42158874826066</v>
      </c>
      <c r="I116">
        <f ca="1">IF($C116-I$1&lt;År1,0,H115*(1-VLOOKUP($A116,[1]Hugst!$R$5:$W$9,MATCH(ROUNDUP((I$1)/10,0)*10,[1]Hugst!$R$4:$W$4,0))))</f>
        <v>819.79265230076555</v>
      </c>
      <c r="J116">
        <f ca="1">IF($C116-J$1&lt;År1,0,I115*(1-VLOOKUP($A116,[1]Hugst!$R$5:$W$9,MATCH(ROUNDUP((J$1)/10,0)*10,[1]Hugst!$R$4:$W$4,0))))</f>
        <v>820.16675824651168</v>
      </c>
      <c r="K116">
        <f ca="1">IF($C116-K$1&lt;År1,0,J115*(1-VLOOKUP($A116,[1]Hugst!$R$5:$W$9,MATCH(ROUNDUP((K$1)/10,0)*10,[1]Hugst!$R$4:$W$4,0))))</f>
        <v>820.54392367325011</v>
      </c>
      <c r="L116">
        <f ca="1">IF($C116-L$1&lt;År1,0,K115*(1-VLOOKUP($A116,[1]Hugst!$R$5:$W$9,MATCH(ROUNDUP((L$1)/10,0)*10,[1]Hugst!$R$4:$W$4,0))))</f>
        <v>820.9241657573258</v>
      </c>
      <c r="M116">
        <f ca="1">IF($C116-M$1&lt;År1,0,L115*(1-VLOOKUP($A116,[1]Hugst!$R$5:$W$9,MATCH(ROUNDUP((M$1)/10,0)*10,[1]Hugst!$R$4:$W$4,0))))</f>
        <v>821.30750176412187</v>
      </c>
      <c r="N116">
        <f ca="1">IF($C116-N$1&lt;År1,0,M115*(1-VLOOKUP($A116,[1]Hugst!$R$5:$W$9,MATCH(ROUNDUP((N$1)/10,0)*10,[1]Hugst!$R$4:$W$4,0))))</f>
        <v>821.6939490485853</v>
      </c>
      <c r="O116">
        <f ca="1">IF($C116-O$1&lt;År1,0,N115*(1-VLOOKUP($A116,[1]Hugst!$R$5:$W$9,MATCH(ROUNDUP((O$1)/10,0)*10,[1]Hugst!$R$4:$W$4,0))))</f>
        <v>822.08352505561163</v>
      </c>
      <c r="P116">
        <f ca="1">IF($C116-P$1&lt;År1,0,O115*(1-VLOOKUP($A116,[1]Hugst!$R$5:$W$9,MATCH(ROUNDUP((P$1)/10,0)*10,[1]Hugst!$R$4:$W$4,0))))</f>
        <v>821.22162253645968</v>
      </c>
      <c r="Q116">
        <f ca="1">IF($C116-Q$1&lt;År1,0,P115*(1-VLOOKUP($A116,[1]Hugst!$R$5:$W$9,MATCH(ROUNDUP((Q$1)/10,0)*10,[1]Hugst!$R$4:$W$4,0))))</f>
        <v>621.19707757601157</v>
      </c>
      <c r="R116">
        <f ca="1">IF($C116-R$1&lt;År1,0,Q115*(1-VLOOKUP($A116,[1]Hugst!$R$5:$W$9,MATCH(ROUNDUP((R$1)/10,0)*10,[1]Hugst!$R$4:$W$4,0))))</f>
        <v>620.64673310639762</v>
      </c>
      <c r="S116">
        <f ca="1">IF($C116-S$1&lt;År1,0,R115*(1-VLOOKUP($A116,[1]Hugst!$R$5:$W$9,MATCH(ROUNDUP((S$1)/10,0)*10,[1]Hugst!$R$4:$W$4,0))))</f>
        <v>621.06792918518056</v>
      </c>
      <c r="T116">
        <f ca="1">IF($C116-T$1&lt;År1,0,S115*(1-VLOOKUP($A116,[1]Hugst!$R$5:$W$9,MATCH(ROUNDUP((T$1)/10,0)*10,[1]Hugst!$R$4:$W$4,0))))</f>
        <v>621.49325967643085</v>
      </c>
      <c r="U116">
        <f ca="1">IF($C116-U$1&lt;År1,0,T115*(1-VLOOKUP($A116,[1]Hugst!$R$5:$W$9,MATCH(ROUNDUP((U$1)/10,0)*10,[1]Hugst!$R$4:$W$4,0))))</f>
        <v>621.92273495460586</v>
      </c>
      <c r="V116">
        <f ca="1">IF($C116-V$1&lt;År1,0,U115*(1-VLOOKUP($A116,[1]Hugst!$R$5:$W$9,MATCH(ROUNDUP((V$1)/10,0)*10,[1]Hugst!$R$4:$W$4,0))))</f>
        <v>622.35636543651663</v>
      </c>
      <c r="W116">
        <f ca="1">IF($C116-W$1&lt;År1,0,V115*(1-VLOOKUP($A116,[1]Hugst!$R$5:$W$9,MATCH(ROUNDUP((W$1)/10,0)*10,[1]Hugst!$R$4:$W$4,0))))</f>
        <v>622.79416158162633</v>
      </c>
      <c r="X116">
        <f ca="1">IF($C116-X$1&lt;År1,0,W115*(1-VLOOKUP($A116,[1]Hugst!$R$5:$W$9,MATCH(ROUNDUP((X$1)/10,0)*10,[1]Hugst!$R$4:$W$4,0))))</f>
        <v>623.23613389203024</v>
      </c>
      <c r="Y116">
        <f ca="1">IF($C116-Y$1&lt;År1,0,X115*(1-VLOOKUP($A116,[1]Hugst!$R$5:$W$9,MATCH(ROUNDUP((Y$1)/10,0)*10,[1]Hugst!$R$4:$W$4,0))))</f>
        <v>623.6822929127228</v>
      </c>
      <c r="Z116">
        <f ca="1">IF($C116-Z$1&lt;År1,0,Y115*(1-VLOOKUP($A116,[1]Hugst!$R$5:$W$9,MATCH(ROUNDUP((Z$1)/10,0)*10,[1]Hugst!$R$4:$W$4,0))))</f>
        <v>624.00021572093226</v>
      </c>
      <c r="AA116">
        <f ca="1">IF($C116-AA$1&lt;År1,0,Z115*(1-VLOOKUP($A116,[1]Hugst!$R$5:$W$9,MATCH(ROUNDUP((AA$1)/10,0)*10,[1]Hugst!$R$4:$W$4,0))))</f>
        <v>624.32218167348958</v>
      </c>
      <c r="AB116">
        <f>IF($C116-AB$1&lt;År1,0,AA115*(1-VLOOKUP($A116,[1]Hugst!$R$5:$W$9,MATCH(ROUNDUP((AB$1)/10,0)*10,[1]Hugst!$R$4:$W$4,0))))</f>
        <v>0</v>
      </c>
      <c r="AC116">
        <f>IF($C116-AC$1&lt;År1,0,AB115*(1-VLOOKUP($A116,[1]Hugst!$R$5:$W$9,MATCH(ROUNDUP((AC$1)/10,0)*10,[1]Hugst!$R$4:$W$4,0))))</f>
        <v>0</v>
      </c>
      <c r="AD116">
        <f>IF($C116-AD$1&lt;År1,0,AC115*(1-VLOOKUP($A116,[1]Hugst!$R$5:$W$9,MATCH(ROUNDUP((AD$1)/10,0)*10,[1]Hugst!$R$4:$W$4,0))))</f>
        <v>0</v>
      </c>
      <c r="AE116">
        <f>IF($C116-AE$1&lt;År1,0,AD115*(1-VLOOKUP($A116,[1]Hugst!$R$5:$W$9,MATCH(ROUNDUP((AE$1)/10,0)*10,[1]Hugst!$R$4:$W$4,0))))</f>
        <v>0</v>
      </c>
      <c r="AF116">
        <f>IF($C116-AF$1&lt;År1,0,AE115*(1-VLOOKUP($A116,[1]Hugst!$R$5:$W$9,MATCH(ROUNDUP((AF$1)/10,0)*10,[1]Hugst!$R$4:$W$4,0))))</f>
        <v>0</v>
      </c>
      <c r="AG116">
        <f>IF($C116-AG$1&lt;År1,0,AF115*(1-VLOOKUP($A116,[1]Hugst!$R$5:$W$9,MATCH(ROUNDUP((AG$1)/10,0)*10,[1]Hugst!$R$4:$W$4,0))))</f>
        <v>0</v>
      </c>
      <c r="AH116">
        <f>IF($C116-AH$1&lt;År1,0,AG115*(1-VLOOKUP($A116,[1]Hugst!$R$5:$W$9,MATCH(ROUNDUP((AH$1)/10,0)*10,[1]Hugst!$R$4:$W$4,0))))</f>
        <v>0</v>
      </c>
      <c r="AI116">
        <f>IF($C116-AI$1&lt;År1,0,AH115*(1-VLOOKUP($A116,[1]Hugst!$R$5:$W$9,MATCH(ROUNDUP((AI$1)/10,0)*10,[1]Hugst!$R$4:$W$4,0))))</f>
        <v>0</v>
      </c>
      <c r="AJ116">
        <f>IF($C116-AJ$1&lt;År1,0,AI115*(1-VLOOKUP($A116,[1]Hugst!$R$5:$W$9,MATCH(ROUNDUP((AJ$1)/10,0)*10,[1]Hugst!$R$4:$W$4,0))))</f>
        <v>0</v>
      </c>
    </row>
    <row r="117" spans="1:38" x14ac:dyDescent="0.25">
      <c r="A117" t="s">
        <v>177</v>
      </c>
      <c r="B117" t="s">
        <v>24</v>
      </c>
      <c r="C117">
        <v>2042</v>
      </c>
      <c r="D117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256.61014596712266</v>
      </c>
      <c r="E117">
        <f t="shared" ca="1" si="2"/>
        <v>13.347495586889636</v>
      </c>
      <c r="F117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819.34035760339532</v>
      </c>
      <c r="G117">
        <f ca="1">IF($C117-G$1&lt;År1,0,F116*(1-VLOOKUP($A117,[1]Hugst!$R$5:$W$9,MATCH(ROUNDUP((G$1)/10,0)*10,[1]Hugst!$R$4:$W$4,0))))</f>
        <v>819.26242897932218</v>
      </c>
      <c r="H117">
        <f ca="1">IF($C117-H$1&lt;År1,0,G116*(1-VLOOKUP($A117,[1]Hugst!$R$5:$W$9,MATCH(ROUNDUP((H$1)/10,0)*10,[1]Hugst!$R$4:$W$4,0))))</f>
        <v>819.1877632590614</v>
      </c>
      <c r="I117">
        <f ca="1">IF($C117-I$1&lt;År1,0,H116*(1-VLOOKUP($A117,[1]Hugst!$R$5:$W$9,MATCH(ROUNDUP((I$1)/10,0)*10,[1]Hugst!$R$4:$W$4,0))))</f>
        <v>819.42158874826066</v>
      </c>
      <c r="J117">
        <f ca="1">IF($C117-J$1&lt;År1,0,I116*(1-VLOOKUP($A117,[1]Hugst!$R$5:$W$9,MATCH(ROUNDUP((J$1)/10,0)*10,[1]Hugst!$R$4:$W$4,0))))</f>
        <v>819.79265230076555</v>
      </c>
      <c r="K117">
        <f ca="1">IF($C117-K$1&lt;År1,0,J116*(1-VLOOKUP($A117,[1]Hugst!$R$5:$W$9,MATCH(ROUNDUP((K$1)/10,0)*10,[1]Hugst!$R$4:$W$4,0))))</f>
        <v>820.16675824651168</v>
      </c>
      <c r="L117">
        <f ca="1">IF($C117-L$1&lt;År1,0,K116*(1-VLOOKUP($A117,[1]Hugst!$R$5:$W$9,MATCH(ROUNDUP((L$1)/10,0)*10,[1]Hugst!$R$4:$W$4,0))))</f>
        <v>820.54392367325011</v>
      </c>
      <c r="M117">
        <f ca="1">IF($C117-M$1&lt;År1,0,L116*(1-VLOOKUP($A117,[1]Hugst!$R$5:$W$9,MATCH(ROUNDUP((M$1)/10,0)*10,[1]Hugst!$R$4:$W$4,0))))</f>
        <v>820.9241657573258</v>
      </c>
      <c r="N117">
        <f ca="1">IF($C117-N$1&lt;År1,0,M116*(1-VLOOKUP($A117,[1]Hugst!$R$5:$W$9,MATCH(ROUNDUP((N$1)/10,0)*10,[1]Hugst!$R$4:$W$4,0))))</f>
        <v>821.30750176412187</v>
      </c>
      <c r="O117">
        <f ca="1">IF($C117-O$1&lt;År1,0,N116*(1-VLOOKUP($A117,[1]Hugst!$R$5:$W$9,MATCH(ROUNDUP((O$1)/10,0)*10,[1]Hugst!$R$4:$W$4,0))))</f>
        <v>821.6939490485853</v>
      </c>
      <c r="P117">
        <f ca="1">IF($C117-P$1&lt;År1,0,O116*(1-VLOOKUP($A117,[1]Hugst!$R$5:$W$9,MATCH(ROUNDUP((P$1)/10,0)*10,[1]Hugst!$R$4:$W$4,0))))</f>
        <v>820.82949933942507</v>
      </c>
      <c r="Q117">
        <f ca="1">IF($C117-Q$1&lt;År1,0,P116*(1-VLOOKUP($A117,[1]Hugst!$R$5:$W$9,MATCH(ROUNDUP((Q$1)/10,0)*10,[1]Hugst!$R$4:$W$4,0))))</f>
        <v>819.96891158682774</v>
      </c>
      <c r="R117">
        <f ca="1">IF($C117-R$1&lt;År1,0,Q116*(1-VLOOKUP($A117,[1]Hugst!$R$5:$W$9,MATCH(ROUNDUP((R$1)/10,0)*10,[1]Hugst!$R$4:$W$4,0))))</f>
        <v>620.24948881360751</v>
      </c>
      <c r="S117">
        <f ca="1">IF($C117-S$1&lt;År1,0,R116*(1-VLOOKUP($A117,[1]Hugst!$R$5:$W$9,MATCH(ROUNDUP((S$1)/10,0)*10,[1]Hugst!$R$4:$W$4,0))))</f>
        <v>619.69998385250653</v>
      </c>
      <c r="T117">
        <f ca="1">IF($C117-T$1&lt;År1,0,S116*(1-VLOOKUP($A117,[1]Hugst!$R$5:$W$9,MATCH(ROUNDUP((T$1)/10,0)*10,[1]Hugst!$R$4:$W$4,0))))</f>
        <v>620.12053742879641</v>
      </c>
      <c r="U117">
        <f ca="1">IF($C117-U$1&lt;År1,0,T116*(1-VLOOKUP($A117,[1]Hugst!$R$5:$W$9,MATCH(ROUNDUP((U$1)/10,0)*10,[1]Hugst!$R$4:$W$4,0))))</f>
        <v>620.5452191108227</v>
      </c>
      <c r="V117">
        <f ca="1">IF($C117-V$1&lt;År1,0,U116*(1-VLOOKUP($A117,[1]Hugst!$R$5:$W$9,MATCH(ROUNDUP((V$1)/10,0)*10,[1]Hugst!$R$4:$W$4,0))))</f>
        <v>620.97403925721744</v>
      </c>
      <c r="W117">
        <f ca="1">IF($C117-W$1&lt;År1,0,V116*(1-VLOOKUP($A117,[1]Hugst!$R$5:$W$9,MATCH(ROUNDUP((W$1)/10,0)*10,[1]Hugst!$R$4:$W$4,0))))</f>
        <v>621.40700826890156</v>
      </c>
      <c r="X117">
        <f ca="1">IF($C117-X$1&lt;År1,0,W116*(1-VLOOKUP($A117,[1]Hugst!$R$5:$W$9,MATCH(ROUNDUP((X$1)/10,0)*10,[1]Hugst!$R$4:$W$4,0))))</f>
        <v>621.8441365893832</v>
      </c>
      <c r="Y117">
        <f ca="1">IF($C117-Y$1&lt;År1,0,X116*(1-VLOOKUP($A117,[1]Hugst!$R$5:$W$9,MATCH(ROUNDUP((Y$1)/10,0)*10,[1]Hugst!$R$4:$W$4,0))))</f>
        <v>622.28543470473733</v>
      </c>
      <c r="Z117">
        <f ca="1">IF($C117-Z$1&lt;År1,0,Y116*(1-VLOOKUP($A117,[1]Hugst!$R$5:$W$9,MATCH(ROUNDUP((Z$1)/10,0)*10,[1]Hugst!$R$4:$W$4,0))))</f>
        <v>622.59877706486589</v>
      </c>
      <c r="AA117">
        <f ca="1">IF($C117-AA$1&lt;År1,0,Z116*(1-VLOOKUP($A117,[1]Hugst!$R$5:$W$9,MATCH(ROUNDUP((AA$1)/10,0)*10,[1]Hugst!$R$4:$W$4,0))))</f>
        <v>622.91614754955265</v>
      </c>
      <c r="AB117">
        <f ca="1">IF($C117-AB$1&lt;År1,0,AA116*(1-VLOOKUP($A117,[1]Hugst!$R$5:$W$9,MATCH(ROUNDUP((AB$1)/10,0)*10,[1]Hugst!$R$4:$W$4,0))))</f>
        <v>623.23755415448056</v>
      </c>
      <c r="AC117">
        <f>IF($C117-AC$1&lt;År1,0,AB116*(1-VLOOKUP($A117,[1]Hugst!$R$5:$W$9,MATCH(ROUNDUP((AC$1)/10,0)*10,[1]Hugst!$R$4:$W$4,0))))</f>
        <v>0</v>
      </c>
      <c r="AD117">
        <f>IF($C117-AD$1&lt;År1,0,AC116*(1-VLOOKUP($A117,[1]Hugst!$R$5:$W$9,MATCH(ROUNDUP((AD$1)/10,0)*10,[1]Hugst!$R$4:$W$4,0))))</f>
        <v>0</v>
      </c>
      <c r="AE117">
        <f>IF($C117-AE$1&lt;År1,0,AD116*(1-VLOOKUP($A117,[1]Hugst!$R$5:$W$9,MATCH(ROUNDUP((AE$1)/10,0)*10,[1]Hugst!$R$4:$W$4,0))))</f>
        <v>0</v>
      </c>
      <c r="AF117">
        <f>IF($C117-AF$1&lt;År1,0,AE116*(1-VLOOKUP($A117,[1]Hugst!$R$5:$W$9,MATCH(ROUNDUP((AF$1)/10,0)*10,[1]Hugst!$R$4:$W$4,0))))</f>
        <v>0</v>
      </c>
      <c r="AG117">
        <f>IF($C117-AG$1&lt;År1,0,AF116*(1-VLOOKUP($A117,[1]Hugst!$R$5:$W$9,MATCH(ROUNDUP((AG$1)/10,0)*10,[1]Hugst!$R$4:$W$4,0))))</f>
        <v>0</v>
      </c>
      <c r="AH117">
        <f>IF($C117-AH$1&lt;År1,0,AG116*(1-VLOOKUP($A117,[1]Hugst!$R$5:$W$9,MATCH(ROUNDUP((AH$1)/10,0)*10,[1]Hugst!$R$4:$W$4,0))))</f>
        <v>0</v>
      </c>
      <c r="AI117">
        <f>IF($C117-AI$1&lt;År1,0,AH116*(1-VLOOKUP($A117,[1]Hugst!$R$5:$W$9,MATCH(ROUNDUP((AI$1)/10,0)*10,[1]Hugst!$R$4:$W$4,0))))</f>
        <v>0</v>
      </c>
      <c r="AJ117">
        <f>IF($C117-AJ$1&lt;År1,0,AI116*(1-VLOOKUP($A117,[1]Hugst!$R$5:$W$9,MATCH(ROUNDUP((AJ$1)/10,0)*10,[1]Hugst!$R$4:$W$4,0))))</f>
        <v>0</v>
      </c>
    </row>
    <row r="118" spans="1:38" x14ac:dyDescent="0.25">
      <c r="A118" t="s">
        <v>177</v>
      </c>
      <c r="B118" t="s">
        <v>24</v>
      </c>
      <c r="C118">
        <v>2043</v>
      </c>
      <c r="D11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255.32709523728954</v>
      </c>
      <c r="E118">
        <f t="shared" ca="1" si="2"/>
        <v>14.711717554702773</v>
      </c>
      <c r="F11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819.42152884137533</v>
      </c>
      <c r="G118">
        <f ca="1">IF($C118-G$1&lt;År1,0,F117*(1-VLOOKUP($A118,[1]Hugst!$R$5:$W$9,MATCH(ROUNDUP((G$1)/10,0)*10,[1]Hugst!$R$4:$W$4,0))))</f>
        <v>819.34035760339532</v>
      </c>
      <c r="H118">
        <f ca="1">IF($C118-H$1&lt;År1,0,G117*(1-VLOOKUP($A118,[1]Hugst!$R$5:$W$9,MATCH(ROUNDUP((H$1)/10,0)*10,[1]Hugst!$R$4:$W$4,0))))</f>
        <v>819.26242897932218</v>
      </c>
      <c r="I118">
        <f ca="1">IF($C118-I$1&lt;År1,0,H117*(1-VLOOKUP($A118,[1]Hugst!$R$5:$W$9,MATCH(ROUNDUP((I$1)/10,0)*10,[1]Hugst!$R$4:$W$4,0))))</f>
        <v>819.1877632590614</v>
      </c>
      <c r="J118">
        <f ca="1">IF($C118-J$1&lt;År1,0,I117*(1-VLOOKUP($A118,[1]Hugst!$R$5:$W$9,MATCH(ROUNDUP((J$1)/10,0)*10,[1]Hugst!$R$4:$W$4,0))))</f>
        <v>819.42158874826066</v>
      </c>
      <c r="K118">
        <f ca="1">IF($C118-K$1&lt;År1,0,J117*(1-VLOOKUP($A118,[1]Hugst!$R$5:$W$9,MATCH(ROUNDUP((K$1)/10,0)*10,[1]Hugst!$R$4:$W$4,0))))</f>
        <v>819.79265230076555</v>
      </c>
      <c r="L118">
        <f ca="1">IF($C118-L$1&lt;År1,0,K117*(1-VLOOKUP($A118,[1]Hugst!$R$5:$W$9,MATCH(ROUNDUP((L$1)/10,0)*10,[1]Hugst!$R$4:$W$4,0))))</f>
        <v>820.16675824651168</v>
      </c>
      <c r="M118">
        <f ca="1">IF($C118-M$1&lt;År1,0,L117*(1-VLOOKUP($A118,[1]Hugst!$R$5:$W$9,MATCH(ROUNDUP((M$1)/10,0)*10,[1]Hugst!$R$4:$W$4,0))))</f>
        <v>820.54392367325011</v>
      </c>
      <c r="N118">
        <f ca="1">IF($C118-N$1&lt;År1,0,M117*(1-VLOOKUP($A118,[1]Hugst!$R$5:$W$9,MATCH(ROUNDUP((N$1)/10,0)*10,[1]Hugst!$R$4:$W$4,0))))</f>
        <v>820.9241657573258</v>
      </c>
      <c r="O118">
        <f ca="1">IF($C118-O$1&lt;År1,0,N117*(1-VLOOKUP($A118,[1]Hugst!$R$5:$W$9,MATCH(ROUNDUP((O$1)/10,0)*10,[1]Hugst!$R$4:$W$4,0))))</f>
        <v>821.30750176412187</v>
      </c>
      <c r="P118">
        <f ca="1">IF($C118-P$1&lt;År1,0,O117*(1-VLOOKUP($A118,[1]Hugst!$R$5:$W$9,MATCH(ROUNDUP((P$1)/10,0)*10,[1]Hugst!$R$4:$W$4,0))))</f>
        <v>820.44051760088405</v>
      </c>
      <c r="Q118">
        <f ca="1">IF($C118-Q$1&lt;År1,0,P117*(1-VLOOKUP($A118,[1]Hugst!$R$5:$W$9,MATCH(ROUNDUP((Q$1)/10,0)*10,[1]Hugst!$R$4:$W$4,0))))</f>
        <v>819.57738654382251</v>
      </c>
      <c r="R118">
        <f ca="1">IF($C118-R$1&lt;År1,0,Q117*(1-VLOOKUP($A118,[1]Hugst!$R$5:$W$9,MATCH(ROUNDUP((R$1)/10,0)*10,[1]Hugst!$R$4:$W$4,0))))</f>
        <v>818.71811155220371</v>
      </c>
      <c r="S118">
        <f ca="1">IF($C118-S$1&lt;År1,0,R117*(1-VLOOKUP($A118,[1]Hugst!$R$5:$W$9,MATCH(ROUNDUP((S$1)/10,0)*10,[1]Hugst!$R$4:$W$4,0))))</f>
        <v>619.30334552558679</v>
      </c>
      <c r="T118">
        <f ca="1">IF($C118-T$1&lt;År1,0,S117*(1-VLOOKUP($A118,[1]Hugst!$R$5:$W$9,MATCH(ROUNDUP((T$1)/10,0)*10,[1]Hugst!$R$4:$W$4,0))))</f>
        <v>618.7546787923925</v>
      </c>
      <c r="U118">
        <f ca="1">IF($C118-U$1&lt;År1,0,T117*(1-VLOOKUP($A118,[1]Hugst!$R$5:$W$9,MATCH(ROUNDUP((U$1)/10,0)*10,[1]Hugst!$R$4:$W$4,0))))</f>
        <v>619.17459084627785</v>
      </c>
      <c r="V118">
        <f ca="1">IF($C118-V$1&lt;År1,0,U117*(1-VLOOKUP($A118,[1]Hugst!$R$5:$W$9,MATCH(ROUNDUP((V$1)/10,0)*10,[1]Hugst!$R$4:$W$4,0))))</f>
        <v>619.5986247087892</v>
      </c>
      <c r="W118">
        <f ca="1">IF($C118-W$1&lt;År1,0,V117*(1-VLOOKUP($A118,[1]Hugst!$R$5:$W$9,MATCH(ROUNDUP((W$1)/10,0)*10,[1]Hugst!$R$4:$W$4,0))))</f>
        <v>620.02679072275726</v>
      </c>
      <c r="X118">
        <f ca="1">IF($C118-X$1&lt;År1,0,W117*(1-VLOOKUP($A118,[1]Hugst!$R$5:$W$9,MATCH(ROUNDUP((X$1)/10,0)*10,[1]Hugst!$R$4:$W$4,0))))</f>
        <v>620.45909927323714</v>
      </c>
      <c r="Y118">
        <f ca="1">IF($C118-Y$1&lt;År1,0,X117*(1-VLOOKUP($A118,[1]Hugst!$R$5:$W$9,MATCH(ROUNDUP((Y$1)/10,0)*10,[1]Hugst!$R$4:$W$4,0))))</f>
        <v>620.89556078780618</v>
      </c>
      <c r="Z118">
        <f ca="1">IF($C118-Z$1&lt;År1,0,Y117*(1-VLOOKUP($A118,[1]Hugst!$R$5:$W$9,MATCH(ROUNDUP((Z$1)/10,0)*10,[1]Hugst!$R$4:$W$4,0))))</f>
        <v>621.20434560207229</v>
      </c>
      <c r="AA118">
        <f ca="1">IF($C118-AA$1&lt;År1,0,Z117*(1-VLOOKUP($A118,[1]Hugst!$R$5:$W$9,MATCH(ROUNDUP((AA$1)/10,0)*10,[1]Hugst!$R$4:$W$4,0))))</f>
        <v>621.51714359623622</v>
      </c>
      <c r="AB118">
        <f ca="1">IF($C118-AB$1&lt;År1,0,AA117*(1-VLOOKUP($A118,[1]Hugst!$R$5:$W$9,MATCH(ROUNDUP((AB$1)/10,0)*10,[1]Hugst!$R$4:$W$4,0))))</f>
        <v>621.83396271694539</v>
      </c>
      <c r="AC118">
        <f ca="1">IF($C118-AC$1&lt;År1,0,AB117*(1-VLOOKUP($A118,[1]Hugst!$R$5:$W$9,MATCH(ROUNDUP((AC$1)/10,0)*10,[1]Hugst!$R$4:$W$4,0))))</f>
        <v>622.15481094599181</v>
      </c>
      <c r="AD118">
        <f>IF($C118-AD$1&lt;År1,0,AC117*(1-VLOOKUP($A118,[1]Hugst!$R$5:$W$9,MATCH(ROUNDUP((AD$1)/10,0)*10,[1]Hugst!$R$4:$W$4,0))))</f>
        <v>0</v>
      </c>
      <c r="AE118">
        <f>IF($C118-AE$1&lt;År1,0,AD117*(1-VLOOKUP($A118,[1]Hugst!$R$5:$W$9,MATCH(ROUNDUP((AE$1)/10,0)*10,[1]Hugst!$R$4:$W$4,0))))</f>
        <v>0</v>
      </c>
      <c r="AF118">
        <f>IF($C118-AF$1&lt;År1,0,AE117*(1-VLOOKUP($A118,[1]Hugst!$R$5:$W$9,MATCH(ROUNDUP((AF$1)/10,0)*10,[1]Hugst!$R$4:$W$4,0))))</f>
        <v>0</v>
      </c>
      <c r="AG118">
        <f>IF($C118-AG$1&lt;År1,0,AF117*(1-VLOOKUP($A118,[1]Hugst!$R$5:$W$9,MATCH(ROUNDUP((AG$1)/10,0)*10,[1]Hugst!$R$4:$W$4,0))))</f>
        <v>0</v>
      </c>
      <c r="AH118">
        <f>IF($C118-AH$1&lt;År1,0,AG117*(1-VLOOKUP($A118,[1]Hugst!$R$5:$W$9,MATCH(ROUNDUP((AH$1)/10,0)*10,[1]Hugst!$R$4:$W$4,0))))</f>
        <v>0</v>
      </c>
      <c r="AI118">
        <f>IF($C118-AI$1&lt;År1,0,AH117*(1-VLOOKUP($A118,[1]Hugst!$R$5:$W$9,MATCH(ROUNDUP((AI$1)/10,0)*10,[1]Hugst!$R$4:$W$4,0))))</f>
        <v>0</v>
      </c>
      <c r="AJ118">
        <f>IF($C118-AJ$1&lt;År1,0,AI117*(1-VLOOKUP($A118,[1]Hugst!$R$5:$W$9,MATCH(ROUNDUP((AJ$1)/10,0)*10,[1]Hugst!$R$4:$W$4,0))))</f>
        <v>0</v>
      </c>
    </row>
    <row r="119" spans="1:38" x14ac:dyDescent="0.25">
      <c r="A119" t="s">
        <v>177</v>
      </c>
      <c r="B119" t="s">
        <v>24</v>
      </c>
      <c r="C119">
        <v>2044</v>
      </c>
      <c r="D119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254.05045976109704</v>
      </c>
      <c r="E119">
        <f t="shared" ca="1" si="2"/>
        <v>16.072746698031551</v>
      </c>
      <c r="F11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819.50592250851162</v>
      </c>
      <c r="G119">
        <f ca="1">IF($C119-G$1&lt;År1,0,F118*(1-VLOOKUP($A119,[1]Hugst!$R$5:$W$9,MATCH(ROUNDUP((G$1)/10,0)*10,[1]Hugst!$R$4:$W$4,0))))</f>
        <v>819.42152884137533</v>
      </c>
      <c r="H119">
        <f ca="1">IF($C119-H$1&lt;År1,0,G118*(1-VLOOKUP($A119,[1]Hugst!$R$5:$W$9,MATCH(ROUNDUP((H$1)/10,0)*10,[1]Hugst!$R$4:$W$4,0))))</f>
        <v>819.34035760339532</v>
      </c>
      <c r="I119">
        <f ca="1">IF($C119-I$1&lt;År1,0,H118*(1-VLOOKUP($A119,[1]Hugst!$R$5:$W$9,MATCH(ROUNDUP((I$1)/10,0)*10,[1]Hugst!$R$4:$W$4,0))))</f>
        <v>819.26242897932218</v>
      </c>
      <c r="J119">
        <f ca="1">IF($C119-J$1&lt;År1,0,I118*(1-VLOOKUP($A119,[1]Hugst!$R$5:$W$9,MATCH(ROUNDUP((J$1)/10,0)*10,[1]Hugst!$R$4:$W$4,0))))</f>
        <v>819.1877632590614</v>
      </c>
      <c r="K119">
        <f ca="1">IF($C119-K$1&lt;År1,0,J118*(1-VLOOKUP($A119,[1]Hugst!$R$5:$W$9,MATCH(ROUNDUP((K$1)/10,0)*10,[1]Hugst!$R$4:$W$4,0))))</f>
        <v>819.42158874826066</v>
      </c>
      <c r="L119">
        <f ca="1">IF($C119-L$1&lt;År1,0,K118*(1-VLOOKUP($A119,[1]Hugst!$R$5:$W$9,MATCH(ROUNDUP((L$1)/10,0)*10,[1]Hugst!$R$4:$W$4,0))))</f>
        <v>819.79265230076555</v>
      </c>
      <c r="M119">
        <f ca="1">IF($C119-M$1&lt;År1,0,L118*(1-VLOOKUP($A119,[1]Hugst!$R$5:$W$9,MATCH(ROUNDUP((M$1)/10,0)*10,[1]Hugst!$R$4:$W$4,0))))</f>
        <v>820.16675824651168</v>
      </c>
      <c r="N119">
        <f ca="1">IF($C119-N$1&lt;År1,0,M118*(1-VLOOKUP($A119,[1]Hugst!$R$5:$W$9,MATCH(ROUNDUP((N$1)/10,0)*10,[1]Hugst!$R$4:$W$4,0))))</f>
        <v>820.54392367325011</v>
      </c>
      <c r="O119">
        <f ca="1">IF($C119-O$1&lt;År1,0,N118*(1-VLOOKUP($A119,[1]Hugst!$R$5:$W$9,MATCH(ROUNDUP((O$1)/10,0)*10,[1]Hugst!$R$4:$W$4,0))))</f>
        <v>820.9241657573258</v>
      </c>
      <c r="P119">
        <f ca="1">IF($C119-P$1&lt;År1,0,O118*(1-VLOOKUP($A119,[1]Hugst!$R$5:$W$9,MATCH(ROUNDUP((P$1)/10,0)*10,[1]Hugst!$R$4:$W$4,0))))</f>
        <v>820.05465981227826</v>
      </c>
      <c r="Q119">
        <f ca="1">IF($C119-Q$1&lt;År1,0,P118*(1-VLOOKUP($A119,[1]Hugst!$R$5:$W$9,MATCH(ROUNDUP((Q$1)/10,0)*10,[1]Hugst!$R$4:$W$4,0))))</f>
        <v>819.18899816725559</v>
      </c>
      <c r="R119">
        <f ca="1">IF($C119-R$1&lt;År1,0,Q118*(1-VLOOKUP($A119,[1]Hugst!$R$5:$W$9,MATCH(ROUNDUP((R$1)/10,0)*10,[1]Hugst!$R$4:$W$4,0))))</f>
        <v>818.32718375078957</v>
      </c>
      <c r="S119">
        <f ca="1">IF($C119-S$1&lt;År1,0,R118*(1-VLOOKUP($A119,[1]Hugst!$R$5:$W$9,MATCH(ROUNDUP((S$1)/10,0)*10,[1]Hugst!$R$4:$W$4,0))))</f>
        <v>817.4692195176325</v>
      </c>
      <c r="T119">
        <f ca="1">IF($C119-T$1&lt;År1,0,S118*(1-VLOOKUP($A119,[1]Hugst!$R$5:$W$9,MATCH(ROUNDUP((T$1)/10,0)*10,[1]Hugst!$R$4:$W$4,0))))</f>
        <v>618.35864550698841</v>
      </c>
      <c r="U119">
        <f ca="1">IF($C119-U$1&lt;År1,0,T118*(1-VLOOKUP($A119,[1]Hugst!$R$5:$W$9,MATCH(ROUNDUP((U$1)/10,0)*10,[1]Hugst!$R$4:$W$4,0))))</f>
        <v>617.81081572304811</v>
      </c>
      <c r="V119">
        <f ca="1">IF($C119-V$1&lt;År1,0,U118*(1-VLOOKUP($A119,[1]Hugst!$R$5:$W$9,MATCH(ROUNDUP((V$1)/10,0)*10,[1]Hugst!$R$4:$W$4,0))))</f>
        <v>618.2300872331225</v>
      </c>
      <c r="W119">
        <f ca="1">IF($C119-W$1&lt;År1,0,V118*(1-VLOOKUP($A119,[1]Hugst!$R$5:$W$9,MATCH(ROUNDUP((W$1)/10,0)*10,[1]Hugst!$R$4:$W$4,0))))</f>
        <v>618.65347426431811</v>
      </c>
      <c r="X119">
        <f ca="1">IF($C119-X$1&lt;År1,0,W118*(1-VLOOKUP($A119,[1]Hugst!$R$5:$W$9,MATCH(ROUNDUP((X$1)/10,0)*10,[1]Hugst!$R$4:$W$4,0))))</f>
        <v>619.08098714368862</v>
      </c>
      <c r="Y119">
        <f ca="1">IF($C119-Y$1&lt;År1,0,X118*(1-VLOOKUP($A119,[1]Hugst!$R$5:$W$9,MATCH(ROUNDUP((Y$1)/10,0)*10,[1]Hugst!$R$4:$W$4,0))))</f>
        <v>619.51263624044748</v>
      </c>
      <c r="Z119">
        <f ca="1">IF($C119-Z$1&lt;År1,0,Y118*(1-VLOOKUP($A119,[1]Hugst!$R$5:$W$9,MATCH(ROUNDUP((Z$1)/10,0)*10,[1]Hugst!$R$4:$W$4,0))))</f>
        <v>619.81688629660698</v>
      </c>
      <c r="AA119">
        <f ca="1">IF($C119-AA$1&lt;År1,0,Z118*(1-VLOOKUP($A119,[1]Hugst!$R$5:$W$9,MATCH(ROUNDUP((AA$1)/10,0)*10,[1]Hugst!$R$4:$W$4,0))))</f>
        <v>620.12513466267887</v>
      </c>
      <c r="AB119">
        <f ca="1">IF($C119-AB$1&lt;År1,0,AA118*(1-VLOOKUP($A119,[1]Hugst!$R$5:$W$9,MATCH(ROUNDUP((AB$1)/10,0)*10,[1]Hugst!$R$4:$W$4,0))))</f>
        <v>620.43738923659862</v>
      </c>
      <c r="AC119">
        <f ca="1">IF($C119-AC$1&lt;År1,0,AB118*(1-VLOOKUP($A119,[1]Hugst!$R$5:$W$9,MATCH(ROUNDUP((AC$1)/10,0)*10,[1]Hugst!$R$4:$W$4,0))))</f>
        <v>620.75365795120831</v>
      </c>
      <c r="AD119">
        <f ca="1">IF($C119-AD$1&lt;År1,0,AC118*(1-VLOOKUP($A119,[1]Hugst!$R$5:$W$9,MATCH(ROUNDUP((AD$1)/10,0)*10,[1]Hugst!$R$4:$W$4,0))))</f>
        <v>621.07394877443312</v>
      </c>
      <c r="AE119">
        <f>IF($C119-AE$1&lt;År1,0,AD118*(1-VLOOKUP($A119,[1]Hugst!$R$5:$W$9,MATCH(ROUNDUP((AE$1)/10,0)*10,[1]Hugst!$R$4:$W$4,0))))</f>
        <v>0</v>
      </c>
      <c r="AF119">
        <f>IF($C119-AF$1&lt;År1,0,AE118*(1-VLOOKUP($A119,[1]Hugst!$R$5:$W$9,MATCH(ROUNDUP((AF$1)/10,0)*10,[1]Hugst!$R$4:$W$4,0))))</f>
        <v>0</v>
      </c>
      <c r="AG119">
        <f>IF($C119-AG$1&lt;År1,0,AF118*(1-VLOOKUP($A119,[1]Hugst!$R$5:$W$9,MATCH(ROUNDUP((AG$1)/10,0)*10,[1]Hugst!$R$4:$W$4,0))))</f>
        <v>0</v>
      </c>
      <c r="AH119">
        <f>IF($C119-AH$1&lt;År1,0,AG118*(1-VLOOKUP($A119,[1]Hugst!$R$5:$W$9,MATCH(ROUNDUP((AH$1)/10,0)*10,[1]Hugst!$R$4:$W$4,0))))</f>
        <v>0</v>
      </c>
      <c r="AI119">
        <f>IF($C119-AI$1&lt;År1,0,AH118*(1-VLOOKUP($A119,[1]Hugst!$R$5:$W$9,MATCH(ROUNDUP((AI$1)/10,0)*10,[1]Hugst!$R$4:$W$4,0))))</f>
        <v>0</v>
      </c>
      <c r="AJ119">
        <f>IF($C119-AJ$1&lt;År1,0,AI118*(1-VLOOKUP($A119,[1]Hugst!$R$5:$W$9,MATCH(ROUNDUP((AJ$1)/10,0)*10,[1]Hugst!$R$4:$W$4,0))))</f>
        <v>0</v>
      </c>
    </row>
    <row r="120" spans="1:38" x14ac:dyDescent="0.25">
      <c r="A120" t="s">
        <v>177</v>
      </c>
      <c r="B120" t="s">
        <v>24</v>
      </c>
      <c r="C120">
        <v>2045</v>
      </c>
      <c r="D120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252.78020746229504</v>
      </c>
      <c r="E120">
        <f t="shared" ca="1" si="2"/>
        <v>17.430595013025595</v>
      </c>
      <c r="F120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819.59351852470365</v>
      </c>
      <c r="G120">
        <f ca="1">IF($C120-G$1&lt;År1,0,F119*(1-VLOOKUP($A120,[1]Hugst!$R$5:$W$9,MATCH(ROUNDUP((G$1)/10,0)*10,[1]Hugst!$R$4:$W$4,0))))</f>
        <v>819.50592250851162</v>
      </c>
      <c r="H120">
        <f ca="1">IF($C120-H$1&lt;År1,0,G119*(1-VLOOKUP($A120,[1]Hugst!$R$5:$W$9,MATCH(ROUNDUP((H$1)/10,0)*10,[1]Hugst!$R$4:$W$4,0))))</f>
        <v>819.42152884137533</v>
      </c>
      <c r="I120">
        <f ca="1">IF($C120-I$1&lt;År1,0,H119*(1-VLOOKUP($A120,[1]Hugst!$R$5:$W$9,MATCH(ROUNDUP((I$1)/10,0)*10,[1]Hugst!$R$4:$W$4,0))))</f>
        <v>819.34035760339532</v>
      </c>
      <c r="J120">
        <f ca="1">IF($C120-J$1&lt;År1,0,I119*(1-VLOOKUP($A120,[1]Hugst!$R$5:$W$9,MATCH(ROUNDUP((J$1)/10,0)*10,[1]Hugst!$R$4:$W$4,0))))</f>
        <v>819.26242897932218</v>
      </c>
      <c r="K120">
        <f ca="1">IF($C120-K$1&lt;År1,0,J119*(1-VLOOKUP($A120,[1]Hugst!$R$5:$W$9,MATCH(ROUNDUP((K$1)/10,0)*10,[1]Hugst!$R$4:$W$4,0))))</f>
        <v>819.1877632590614</v>
      </c>
      <c r="L120">
        <f ca="1">IF($C120-L$1&lt;År1,0,K119*(1-VLOOKUP($A120,[1]Hugst!$R$5:$W$9,MATCH(ROUNDUP((L$1)/10,0)*10,[1]Hugst!$R$4:$W$4,0))))</f>
        <v>819.42158874826066</v>
      </c>
      <c r="M120">
        <f ca="1">IF($C120-M$1&lt;År1,0,L119*(1-VLOOKUP($A120,[1]Hugst!$R$5:$W$9,MATCH(ROUNDUP((M$1)/10,0)*10,[1]Hugst!$R$4:$W$4,0))))</f>
        <v>819.79265230076555</v>
      </c>
      <c r="N120">
        <f ca="1">IF($C120-N$1&lt;År1,0,M119*(1-VLOOKUP($A120,[1]Hugst!$R$5:$W$9,MATCH(ROUNDUP((N$1)/10,0)*10,[1]Hugst!$R$4:$W$4,0))))</f>
        <v>820.16675824651168</v>
      </c>
      <c r="O120">
        <f ca="1">IF($C120-O$1&lt;År1,0,N119*(1-VLOOKUP($A120,[1]Hugst!$R$5:$W$9,MATCH(ROUNDUP((O$1)/10,0)*10,[1]Hugst!$R$4:$W$4,0))))</f>
        <v>820.54392367325011</v>
      </c>
      <c r="P120">
        <f ca="1">IF($C120-P$1&lt;År1,0,O119*(1-VLOOKUP($A120,[1]Hugst!$R$5:$W$9,MATCH(ROUNDUP((P$1)/10,0)*10,[1]Hugst!$R$4:$W$4,0))))</f>
        <v>819.67190855532306</v>
      </c>
      <c r="Q120">
        <f ca="1">IF($C120-Q$1&lt;År1,0,P119*(1-VLOOKUP($A120,[1]Hugst!$R$5:$W$9,MATCH(ROUNDUP((Q$1)/10,0)*10,[1]Hugst!$R$4:$W$4,0))))</f>
        <v>818.8037289752765</v>
      </c>
      <c r="R120">
        <f ca="1">IF($C120-R$1&lt;År1,0,Q119*(1-VLOOKUP($A120,[1]Hugst!$R$5:$W$9,MATCH(ROUNDUP((R$1)/10,0)*10,[1]Hugst!$R$4:$W$4,0))))</f>
        <v>817.93938783106819</v>
      </c>
      <c r="S120">
        <f ca="1">IF($C120-S$1&lt;År1,0,R119*(1-VLOOKUP($A120,[1]Hugst!$R$5:$W$9,MATCH(ROUNDUP((S$1)/10,0)*10,[1]Hugst!$R$4:$W$4,0))))</f>
        <v>817.07888804676293</v>
      </c>
      <c r="T120">
        <f ca="1">IF($C120-T$1&lt;År1,0,S119*(1-VLOOKUP($A120,[1]Hugst!$R$5:$W$9,MATCH(ROUNDUP((T$1)/10,0)*10,[1]Hugst!$R$4:$W$4,0))))</f>
        <v>816.22223257260555</v>
      </c>
      <c r="U120">
        <f ca="1">IF($C120-U$1&lt;År1,0,T119*(1-VLOOKUP($A120,[1]Hugst!$R$5:$W$9,MATCH(ROUNDUP((U$1)/10,0)*10,[1]Hugst!$R$4:$W$4,0))))</f>
        <v>617.41538655621503</v>
      </c>
      <c r="V120">
        <f ca="1">IF($C120-V$1&lt;År1,0,U119*(1-VLOOKUP($A120,[1]Hugst!$R$5:$W$9,MATCH(ROUNDUP((V$1)/10,0)*10,[1]Hugst!$R$4:$W$4,0))))</f>
        <v>616.86839244482644</v>
      </c>
      <c r="W120">
        <f ca="1">IF($C120-W$1&lt;År1,0,V119*(1-VLOOKUP($A120,[1]Hugst!$R$5:$W$9,MATCH(ROUNDUP((W$1)/10,0)*10,[1]Hugst!$R$4:$W$4,0))))</f>
        <v>617.28702438819062</v>
      </c>
      <c r="X120">
        <f ca="1">IF($C120-X$1&lt;År1,0,W119*(1-VLOOKUP($A120,[1]Hugst!$R$5:$W$9,MATCH(ROUNDUP((X$1)/10,0)*10,[1]Hugst!$R$4:$W$4,0))))</f>
        <v>617.7097655747624</v>
      </c>
      <c r="Y120">
        <f ca="1">IF($C120-Y$1&lt;År1,0,X119*(1-VLOOKUP($A120,[1]Hugst!$R$5:$W$9,MATCH(ROUNDUP((Y$1)/10,0)*10,[1]Hugst!$R$4:$W$4,0))))</f>
        <v>618.13662631584225</v>
      </c>
      <c r="Z120">
        <f ca="1">IF($C120-Z$1&lt;År1,0,Y119*(1-VLOOKUP($A120,[1]Hugst!$R$5:$W$9,MATCH(ROUNDUP((Z$1)/10,0)*10,[1]Hugst!$R$4:$W$4,0))))</f>
        <v>618.43636428765683</v>
      </c>
      <c r="AA120">
        <f ca="1">IF($C120-AA$1&lt;År1,0,Z119*(1-VLOOKUP($A120,[1]Hugst!$R$5:$W$9,MATCH(ROUNDUP((AA$1)/10,0)*10,[1]Hugst!$R$4:$W$4,0))))</f>
        <v>618.74008577380357</v>
      </c>
      <c r="AB120">
        <f ca="1">IF($C120-AB$1&lt;År1,0,AA119*(1-VLOOKUP($A120,[1]Hugst!$R$5:$W$9,MATCH(ROUNDUP((AB$1)/10,0)*10,[1]Hugst!$R$4:$W$4,0))))</f>
        <v>619.04779862364626</v>
      </c>
      <c r="AC120">
        <f ca="1">IF($C120-AC$1&lt;År1,0,AB119*(1-VLOOKUP($A120,[1]Hugst!$R$5:$W$9,MATCH(ROUNDUP((AC$1)/10,0)*10,[1]Hugst!$R$4:$W$4,0))))</f>
        <v>619.35951072139937</v>
      </c>
      <c r="AD120">
        <f ca="1">IF($C120-AD$1&lt;År1,0,AC119*(1-VLOOKUP($A120,[1]Hugst!$R$5:$W$9,MATCH(ROUNDUP((AD$1)/10,0)*10,[1]Hugst!$R$4:$W$4,0))))</f>
        <v>619.67522998612355</v>
      </c>
      <c r="AE120">
        <f ca="1">IF($C120-AE$1&lt;År1,0,AD119*(1-VLOOKUP($A120,[1]Hugst!$R$5:$W$9,MATCH(ROUNDUP((AE$1)/10,0)*10,[1]Hugst!$R$4:$W$4,0))))</f>
        <v>619.99496437190123</v>
      </c>
      <c r="AF120">
        <f>IF($C120-AF$1&lt;År1,0,AE119*(1-VLOOKUP($A120,[1]Hugst!$R$5:$W$9,MATCH(ROUNDUP((AF$1)/10,0)*10,[1]Hugst!$R$4:$W$4,0))))</f>
        <v>0</v>
      </c>
      <c r="AG120">
        <f>IF($C120-AG$1&lt;År1,0,AF119*(1-VLOOKUP($A120,[1]Hugst!$R$5:$W$9,MATCH(ROUNDUP((AG$1)/10,0)*10,[1]Hugst!$R$4:$W$4,0))))</f>
        <v>0</v>
      </c>
      <c r="AH120">
        <f>IF($C120-AH$1&lt;År1,0,AG119*(1-VLOOKUP($A120,[1]Hugst!$R$5:$W$9,MATCH(ROUNDUP((AH$1)/10,0)*10,[1]Hugst!$R$4:$W$4,0))))</f>
        <v>0</v>
      </c>
      <c r="AI120">
        <f>IF($C120-AI$1&lt;År1,0,AH119*(1-VLOOKUP($A120,[1]Hugst!$R$5:$W$9,MATCH(ROUNDUP((AI$1)/10,0)*10,[1]Hugst!$R$4:$W$4,0))))</f>
        <v>0</v>
      </c>
      <c r="AJ120">
        <f>IF($C120-AJ$1&lt;År1,0,AI119*(1-VLOOKUP($A120,[1]Hugst!$R$5:$W$9,MATCH(ROUNDUP((AJ$1)/10,0)*10,[1]Hugst!$R$4:$W$4,0))))</f>
        <v>0</v>
      </c>
    </row>
    <row r="121" spans="1:38" x14ac:dyDescent="0.25">
      <c r="A121" t="s">
        <v>177</v>
      </c>
      <c r="B121" t="s">
        <v>24</v>
      </c>
      <c r="C121">
        <v>2046</v>
      </c>
      <c r="D121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251.51630642498912</v>
      </c>
      <c r="E121">
        <f t="shared" ca="1" si="2"/>
        <v>18.785274439553177</v>
      </c>
      <c r="F121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819.68429691392532</v>
      </c>
      <c r="G121">
        <f ca="1">IF($C121-G$1&lt;År1,0,F120*(1-VLOOKUP($A121,[1]Hugst!$R$5:$W$9,MATCH(ROUNDUP((G$1)/10,0)*10,[1]Hugst!$R$4:$W$4,0))))</f>
        <v>819.59351852470365</v>
      </c>
      <c r="H121">
        <f ca="1">IF($C121-H$1&lt;År1,0,G120*(1-VLOOKUP($A121,[1]Hugst!$R$5:$W$9,MATCH(ROUNDUP((H$1)/10,0)*10,[1]Hugst!$R$4:$W$4,0))))</f>
        <v>819.50592250851162</v>
      </c>
      <c r="I121">
        <f ca="1">IF($C121-I$1&lt;År1,0,H120*(1-VLOOKUP($A121,[1]Hugst!$R$5:$W$9,MATCH(ROUNDUP((I$1)/10,0)*10,[1]Hugst!$R$4:$W$4,0))))</f>
        <v>819.42152884137533</v>
      </c>
      <c r="J121">
        <f ca="1">IF($C121-J$1&lt;År1,0,I120*(1-VLOOKUP($A121,[1]Hugst!$R$5:$W$9,MATCH(ROUNDUP((J$1)/10,0)*10,[1]Hugst!$R$4:$W$4,0))))</f>
        <v>819.34035760339532</v>
      </c>
      <c r="K121">
        <f ca="1">IF($C121-K$1&lt;År1,0,J120*(1-VLOOKUP($A121,[1]Hugst!$R$5:$W$9,MATCH(ROUNDUP((K$1)/10,0)*10,[1]Hugst!$R$4:$W$4,0))))</f>
        <v>819.26242897932218</v>
      </c>
      <c r="L121">
        <f ca="1">IF($C121-L$1&lt;År1,0,K120*(1-VLOOKUP($A121,[1]Hugst!$R$5:$W$9,MATCH(ROUNDUP((L$1)/10,0)*10,[1]Hugst!$R$4:$W$4,0))))</f>
        <v>819.1877632590614</v>
      </c>
      <c r="M121">
        <f ca="1">IF($C121-M$1&lt;År1,0,L120*(1-VLOOKUP($A121,[1]Hugst!$R$5:$W$9,MATCH(ROUNDUP((M$1)/10,0)*10,[1]Hugst!$R$4:$W$4,0))))</f>
        <v>819.42158874826066</v>
      </c>
      <c r="N121">
        <f ca="1">IF($C121-N$1&lt;År1,0,M120*(1-VLOOKUP($A121,[1]Hugst!$R$5:$W$9,MATCH(ROUNDUP((N$1)/10,0)*10,[1]Hugst!$R$4:$W$4,0))))</f>
        <v>819.79265230076555</v>
      </c>
      <c r="O121">
        <f ca="1">IF($C121-O$1&lt;År1,0,N120*(1-VLOOKUP($A121,[1]Hugst!$R$5:$W$9,MATCH(ROUNDUP((O$1)/10,0)*10,[1]Hugst!$R$4:$W$4,0))))</f>
        <v>820.16675824651168</v>
      </c>
      <c r="P121">
        <f ca="1">IF($C121-P$1&lt;År1,0,O120*(1-VLOOKUP($A121,[1]Hugst!$R$5:$W$9,MATCH(ROUNDUP((P$1)/10,0)*10,[1]Hugst!$R$4:$W$4,0))))</f>
        <v>819.29224650154515</v>
      </c>
      <c r="Q121">
        <f ca="1">IF($C121-Q$1&lt;År1,0,P120*(1-VLOOKUP($A121,[1]Hugst!$R$5:$W$9,MATCH(ROUNDUP((Q$1)/10,0)*10,[1]Hugst!$R$4:$W$4,0))))</f>
        <v>818.4215615761708</v>
      </c>
      <c r="R121">
        <f ca="1">IF($C121-R$1&lt;År1,0,Q120*(1-VLOOKUP($A121,[1]Hugst!$R$5:$W$9,MATCH(ROUNDUP((R$1)/10,0)*10,[1]Hugst!$R$4:$W$4,0))))</f>
        <v>817.5547063378566</v>
      </c>
      <c r="S121">
        <f ca="1">IF($C121-S$1&lt;År1,0,R120*(1-VLOOKUP($A121,[1]Hugst!$R$5:$W$9,MATCH(ROUNDUP((S$1)/10,0)*10,[1]Hugst!$R$4:$W$4,0))))</f>
        <v>816.69168368013936</v>
      </c>
      <c r="T121">
        <f ca="1">IF($C121-T$1&lt;År1,0,S120*(1-VLOOKUP($A121,[1]Hugst!$R$5:$W$9,MATCH(ROUNDUP((T$1)/10,0)*10,[1]Hugst!$R$4:$W$4,0))))</f>
        <v>815.83249652262373</v>
      </c>
      <c r="U121">
        <f ca="1">IF($C121-U$1&lt;År1,0,T120*(1-VLOOKUP($A121,[1]Hugst!$R$5:$W$9,MATCH(ROUNDUP((U$1)/10,0)*10,[1]Hugst!$R$4:$W$4,0))))</f>
        <v>814.97714781105412</v>
      </c>
      <c r="V121">
        <f ca="1">IF($C121-V$1&lt;År1,0,U120*(1-VLOOKUP($A121,[1]Hugst!$R$5:$W$9,MATCH(ROUNDUP((V$1)/10,0)*10,[1]Hugst!$R$4:$W$4,0))))</f>
        <v>616.47356647502761</v>
      </c>
      <c r="W121">
        <f ca="1">IF($C121-W$1&lt;År1,0,V120*(1-VLOOKUP($A121,[1]Hugst!$R$5:$W$9,MATCH(ROUNDUP((W$1)/10,0)*10,[1]Hugst!$R$4:$W$4,0))))</f>
        <v>615.92740676143603</v>
      </c>
      <c r="X121">
        <f ca="1">IF($C121-X$1&lt;År1,0,W120*(1-VLOOKUP($A121,[1]Hugst!$R$5:$W$9,MATCH(ROUNDUP((X$1)/10,0)*10,[1]Hugst!$R$4:$W$4,0))))</f>
        <v>616.34540011370018</v>
      </c>
      <c r="Y121">
        <f ca="1">IF($C121-Y$1&lt;År1,0,X120*(1-VLOOKUP($A121,[1]Hugst!$R$5:$W$9,MATCH(ROUNDUP((Y$1)/10,0)*10,[1]Hugst!$R$4:$W$4,0))))</f>
        <v>616.76749644083475</v>
      </c>
      <c r="Z121">
        <f ca="1">IF($C121-Z$1&lt;År1,0,Y120*(1-VLOOKUP($A121,[1]Hugst!$R$5:$W$9,MATCH(ROUNDUP((Z$1)/10,0)*10,[1]Hugst!$R$4:$W$4,0))))</f>
        <v>617.06274488876807</v>
      </c>
      <c r="AA121">
        <f ca="1">IF($C121-AA$1&lt;År1,0,Z120*(1-VLOOKUP($A121,[1]Hugst!$R$5:$W$9,MATCH(ROUNDUP((AA$1)/10,0)*10,[1]Hugst!$R$4:$W$4,0))))</f>
        <v>617.36196212936045</v>
      </c>
      <c r="AB121">
        <f ca="1">IF($C121-AB$1&lt;År1,0,AA120*(1-VLOOKUP($A121,[1]Hugst!$R$5:$W$9,MATCH(ROUNDUP((AB$1)/10,0)*10,[1]Hugst!$R$4:$W$4,0))))</f>
        <v>617.6651559637728</v>
      </c>
      <c r="AC121">
        <f ca="1">IF($C121-AC$1&lt;År1,0,AB120*(1-VLOOKUP($A121,[1]Hugst!$R$5:$W$9,MATCH(ROUNDUP((AC$1)/10,0)*10,[1]Hugst!$R$4:$W$4,0))))</f>
        <v>617.97233422773229</v>
      </c>
      <c r="AD121">
        <f ca="1">IF($C121-AD$1&lt;År1,0,AC120*(1-VLOOKUP($A121,[1]Hugst!$R$5:$W$9,MATCH(ROUNDUP((AD$1)/10,0)*10,[1]Hugst!$R$4:$W$4,0))))</f>
        <v>618.28350479175629</v>
      </c>
      <c r="AE121">
        <f ca="1">IF($C121-AE$1&lt;År1,0,AD120*(1-VLOOKUP($A121,[1]Hugst!$R$5:$W$9,MATCH(ROUNDUP((AE$1)/10,0)*10,[1]Hugst!$R$4:$W$4,0))))</f>
        <v>618.59867556114762</v>
      </c>
      <c r="AF121">
        <f ca="1">IF($C121-AF$1&lt;År1,0,AE120*(1-VLOOKUP($A121,[1]Hugst!$R$5:$W$9,MATCH(ROUNDUP((AF$1)/10,0)*10,[1]Hugst!$R$4:$W$4,0))))</f>
        <v>618.91785447617031</v>
      </c>
      <c r="AG121">
        <f>IF($C121-AG$1&lt;År1,0,AF120*(1-VLOOKUP($A121,[1]Hugst!$R$5:$W$9,MATCH(ROUNDUP((AG$1)/10,0)*10,[1]Hugst!$R$4:$W$4,0))))</f>
        <v>0</v>
      </c>
      <c r="AH121">
        <f>IF($C121-AH$1&lt;År1,0,AG120*(1-VLOOKUP($A121,[1]Hugst!$R$5:$W$9,MATCH(ROUNDUP((AH$1)/10,0)*10,[1]Hugst!$R$4:$W$4,0))))</f>
        <v>0</v>
      </c>
      <c r="AI121">
        <f>IF($C121-AI$1&lt;År1,0,AH120*(1-VLOOKUP($A121,[1]Hugst!$R$5:$W$9,MATCH(ROUNDUP((AI$1)/10,0)*10,[1]Hugst!$R$4:$W$4,0))))</f>
        <v>0</v>
      </c>
      <c r="AJ121">
        <f>IF($C121-AJ$1&lt;År1,0,AI120*(1-VLOOKUP($A121,[1]Hugst!$R$5:$W$9,MATCH(ROUNDUP((AJ$1)/10,0)*10,[1]Hugst!$R$4:$W$4,0))))</f>
        <v>0</v>
      </c>
    </row>
    <row r="122" spans="1:38" x14ac:dyDescent="0.25">
      <c r="A122" t="s">
        <v>177</v>
      </c>
      <c r="B122" t="s">
        <v>24</v>
      </c>
      <c r="C122">
        <v>2047</v>
      </c>
      <c r="D122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250.25872489284848</v>
      </c>
      <c r="E122">
        <f t="shared" ca="1" si="2"/>
        <v>20.136796861555922</v>
      </c>
      <c r="F122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819.77823780378742</v>
      </c>
      <c r="G122">
        <f ca="1">IF($C122-G$1&lt;År1,0,F121*(1-VLOOKUP($A122,[1]Hugst!$R$5:$W$9,MATCH(ROUNDUP((G$1)/10,0)*10,[1]Hugst!$R$4:$W$4,0))))</f>
        <v>819.68429691392532</v>
      </c>
      <c r="H122">
        <f ca="1">IF($C122-H$1&lt;År1,0,G121*(1-VLOOKUP($A122,[1]Hugst!$R$5:$W$9,MATCH(ROUNDUP((H$1)/10,0)*10,[1]Hugst!$R$4:$W$4,0))))</f>
        <v>819.59351852470365</v>
      </c>
      <c r="I122">
        <f ca="1">IF($C122-I$1&lt;År1,0,H121*(1-VLOOKUP($A122,[1]Hugst!$R$5:$W$9,MATCH(ROUNDUP((I$1)/10,0)*10,[1]Hugst!$R$4:$W$4,0))))</f>
        <v>819.50592250851162</v>
      </c>
      <c r="J122">
        <f ca="1">IF($C122-J$1&lt;År1,0,I121*(1-VLOOKUP($A122,[1]Hugst!$R$5:$W$9,MATCH(ROUNDUP((J$1)/10,0)*10,[1]Hugst!$R$4:$W$4,0))))</f>
        <v>819.42152884137533</v>
      </c>
      <c r="K122">
        <f ca="1">IF($C122-K$1&lt;År1,0,J121*(1-VLOOKUP($A122,[1]Hugst!$R$5:$W$9,MATCH(ROUNDUP((K$1)/10,0)*10,[1]Hugst!$R$4:$W$4,0))))</f>
        <v>819.34035760339532</v>
      </c>
      <c r="L122">
        <f ca="1">IF($C122-L$1&lt;År1,0,K121*(1-VLOOKUP($A122,[1]Hugst!$R$5:$W$9,MATCH(ROUNDUP((L$1)/10,0)*10,[1]Hugst!$R$4:$W$4,0))))</f>
        <v>819.26242897932218</v>
      </c>
      <c r="M122">
        <f ca="1">IF($C122-M$1&lt;År1,0,L121*(1-VLOOKUP($A122,[1]Hugst!$R$5:$W$9,MATCH(ROUNDUP((M$1)/10,0)*10,[1]Hugst!$R$4:$W$4,0))))</f>
        <v>819.1877632590614</v>
      </c>
      <c r="N122">
        <f ca="1">IF($C122-N$1&lt;År1,0,M121*(1-VLOOKUP($A122,[1]Hugst!$R$5:$W$9,MATCH(ROUNDUP((N$1)/10,0)*10,[1]Hugst!$R$4:$W$4,0))))</f>
        <v>819.42158874826066</v>
      </c>
      <c r="O122">
        <f ca="1">IF($C122-O$1&lt;År1,0,N121*(1-VLOOKUP($A122,[1]Hugst!$R$5:$W$9,MATCH(ROUNDUP((O$1)/10,0)*10,[1]Hugst!$R$4:$W$4,0))))</f>
        <v>819.79265230076555</v>
      </c>
      <c r="P122">
        <f ca="1">IF($C122-P$1&lt;År1,0,O121*(1-VLOOKUP($A122,[1]Hugst!$R$5:$W$9,MATCH(ROUNDUP((P$1)/10,0)*10,[1]Hugst!$R$4:$W$4,0))))</f>
        <v>818.91565641189834</v>
      </c>
      <c r="Q122">
        <f ca="1">IF($C122-Q$1&lt;År1,0,P121*(1-VLOOKUP($A122,[1]Hugst!$R$5:$W$9,MATCH(ROUNDUP((Q$1)/10,0)*10,[1]Hugst!$R$4:$W$4,0))))</f>
        <v>818.04247866789865</v>
      </c>
      <c r="R122">
        <f ca="1">IF($C122-R$1&lt;År1,0,Q121*(1-VLOOKUP($A122,[1]Hugst!$R$5:$W$9,MATCH(ROUNDUP((R$1)/10,0)*10,[1]Hugst!$R$4:$W$4,0))))</f>
        <v>817.17312190596988</v>
      </c>
      <c r="S122">
        <f ca="1">IF($C122-S$1&lt;År1,0,R121*(1-VLOOKUP($A122,[1]Hugst!$R$5:$W$9,MATCH(ROUNDUP((S$1)/10,0)*10,[1]Hugst!$R$4:$W$4,0))))</f>
        <v>816.30758898920556</v>
      </c>
      <c r="T122">
        <f ca="1">IF($C122-T$1&lt;År1,0,S121*(1-VLOOKUP($A122,[1]Hugst!$R$5:$W$9,MATCH(ROUNDUP((T$1)/10,0)*10,[1]Hugst!$R$4:$W$4,0))))</f>
        <v>815.44588280672895</v>
      </c>
      <c r="U122">
        <f ca="1">IF($C122-U$1&lt;År1,0,T121*(1-VLOOKUP($A122,[1]Hugst!$R$5:$W$9,MATCH(ROUNDUP((U$1)/10,0)*10,[1]Hugst!$R$4:$W$4,0))))</f>
        <v>814.58800627369089</v>
      </c>
      <c r="V122">
        <f ca="1">IF($C122-V$1&lt;År1,0,U121*(1-VLOOKUP($A122,[1]Hugst!$R$5:$W$9,MATCH(ROUNDUP((V$1)/10,0)*10,[1]Hugst!$R$4:$W$4,0))))</f>
        <v>813.73396233134235</v>
      </c>
      <c r="W122">
        <f ca="1">IF($C122-W$1&lt;År1,0,V121*(1-VLOOKUP($A122,[1]Hugst!$R$5:$W$9,MATCH(ROUNDUP((W$1)/10,0)*10,[1]Hugst!$R$4:$W$4,0))))</f>
        <v>615.53318306854021</v>
      </c>
      <c r="X122">
        <f ca="1">IF($C122-X$1&lt;År1,0,W121*(1-VLOOKUP($A122,[1]Hugst!$R$5:$W$9,MATCH(ROUNDUP((X$1)/10,0)*10,[1]Hugst!$R$4:$W$4,0))))</f>
        <v>614.98785647993554</v>
      </c>
      <c r="Y122">
        <f ca="1">IF($C122-Y$1&lt;År1,0,X121*(1-VLOOKUP($A122,[1]Hugst!$R$5:$W$9,MATCH(ROUNDUP((Y$1)/10,0)*10,[1]Hugst!$R$4:$W$4,0))))</f>
        <v>615.40521221522158</v>
      </c>
      <c r="Z122">
        <f ca="1">IF($C122-Z$1&lt;År1,0,Y121*(1-VLOOKUP($A122,[1]Hugst!$R$5:$W$9,MATCH(ROUNDUP((Z$1)/10,0)*10,[1]Hugst!$R$4:$W$4,0))))</f>
        <v>615.69599358684854</v>
      </c>
      <c r="AA122">
        <f ca="1">IF($C122-AA$1&lt;År1,0,Z121*(1-VLOOKUP($A122,[1]Hugst!$R$5:$W$9,MATCH(ROUNDUP((AA$1)/10,0)*10,[1]Hugst!$R$4:$W$4,0))))</f>
        <v>615.99072910315624</v>
      </c>
      <c r="AB122">
        <f ca="1">IF($C122-AB$1&lt;År1,0,AA121*(1-VLOOKUP($A122,[1]Hugst!$R$5:$W$9,MATCH(ROUNDUP((AB$1)/10,0)*10,[1]Hugst!$R$4:$W$4,0))))</f>
        <v>616.28942651718648</v>
      </c>
      <c r="AC122">
        <f ca="1">IF($C122-AC$1&lt;År1,0,AB121*(1-VLOOKUP($A122,[1]Hugst!$R$5:$W$9,MATCH(ROUNDUP((AC$1)/10,0)*10,[1]Hugst!$R$4:$W$4,0))))</f>
        <v>616.59209361654757</v>
      </c>
      <c r="AD122">
        <f ca="1">IF($C122-AD$1&lt;År1,0,AC121*(1-VLOOKUP($A122,[1]Hugst!$R$5:$W$9,MATCH(ROUNDUP((AD$1)/10,0)*10,[1]Hugst!$R$4:$W$4,0))))</f>
        <v>616.89873822335358</v>
      </c>
      <c r="AE122">
        <f ca="1">IF($C122-AE$1&lt;År1,0,AD121*(1-VLOOKUP($A122,[1]Hugst!$R$5:$W$9,MATCH(ROUNDUP((AE$1)/10,0)*10,[1]Hugst!$R$4:$W$4,0))))</f>
        <v>617.20936819444853</v>
      </c>
      <c r="AF122">
        <f ca="1">IF($C122-AF$1&lt;År1,0,AE121*(1-VLOOKUP($A122,[1]Hugst!$R$5:$W$9,MATCH(ROUNDUP((AF$1)/10,0)*10,[1]Hugst!$R$4:$W$4,0))))</f>
        <v>617.52399142140155</v>
      </c>
      <c r="AG122">
        <f ca="1">IF($C122-AG$1&lt;År1,0,AF121*(1-VLOOKUP($A122,[1]Hugst!$R$5:$W$9,MATCH(ROUNDUP((AG$1)/10,0)*10,[1]Hugst!$R$4:$W$4,0))))</f>
        <v>617.84261583068201</v>
      </c>
      <c r="AH122">
        <f>IF($C122-AH$1&lt;År1,0,AG121*(1-VLOOKUP($A122,[1]Hugst!$R$5:$W$9,MATCH(ROUNDUP((AH$1)/10,0)*10,[1]Hugst!$R$4:$W$4,0))))</f>
        <v>0</v>
      </c>
      <c r="AI122">
        <f>IF($C122-AI$1&lt;År1,0,AH121*(1-VLOOKUP($A122,[1]Hugst!$R$5:$W$9,MATCH(ROUNDUP((AI$1)/10,0)*10,[1]Hugst!$R$4:$W$4,0))))</f>
        <v>0</v>
      </c>
      <c r="AJ122">
        <f>IF($C122-AJ$1&lt;År1,0,AI121*(1-VLOOKUP($A122,[1]Hugst!$R$5:$W$9,MATCH(ROUNDUP((AJ$1)/10,0)*10,[1]Hugst!$R$4:$W$4,0))))</f>
        <v>0</v>
      </c>
    </row>
    <row r="123" spans="1:38" x14ac:dyDescent="0.25">
      <c r="A123" t="s">
        <v>177</v>
      </c>
      <c r="B123" t="s">
        <v>24</v>
      </c>
      <c r="C123">
        <v>2048</v>
      </c>
      <c r="D123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249.00743126839006</v>
      </c>
      <c r="E123">
        <f t="shared" ca="1" si="2"/>
        <v>21.485174107179773</v>
      </c>
      <c r="F123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819.87532142495286</v>
      </c>
      <c r="G123">
        <f ca="1">IF($C123-G$1&lt;År1,0,F122*(1-VLOOKUP($A123,[1]Hugst!$R$5:$W$9,MATCH(ROUNDUP((G$1)/10,0)*10,[1]Hugst!$R$4:$W$4,0))))</f>
        <v>819.77823780378742</v>
      </c>
      <c r="H123">
        <f ca="1">IF($C123-H$1&lt;År1,0,G122*(1-VLOOKUP($A123,[1]Hugst!$R$5:$W$9,MATCH(ROUNDUP((H$1)/10,0)*10,[1]Hugst!$R$4:$W$4,0))))</f>
        <v>819.68429691392532</v>
      </c>
      <c r="I123">
        <f ca="1">IF($C123-I$1&lt;År1,0,H122*(1-VLOOKUP($A123,[1]Hugst!$R$5:$W$9,MATCH(ROUNDUP((I$1)/10,0)*10,[1]Hugst!$R$4:$W$4,0))))</f>
        <v>819.59351852470365</v>
      </c>
      <c r="J123">
        <f ca="1">IF($C123-J$1&lt;År1,0,I122*(1-VLOOKUP($A123,[1]Hugst!$R$5:$W$9,MATCH(ROUNDUP((J$1)/10,0)*10,[1]Hugst!$R$4:$W$4,0))))</f>
        <v>819.50592250851162</v>
      </c>
      <c r="K123">
        <f ca="1">IF($C123-K$1&lt;År1,0,J122*(1-VLOOKUP($A123,[1]Hugst!$R$5:$W$9,MATCH(ROUNDUP((K$1)/10,0)*10,[1]Hugst!$R$4:$W$4,0))))</f>
        <v>819.42152884137533</v>
      </c>
      <c r="L123">
        <f ca="1">IF($C123-L$1&lt;År1,0,K122*(1-VLOOKUP($A123,[1]Hugst!$R$5:$W$9,MATCH(ROUNDUP((L$1)/10,0)*10,[1]Hugst!$R$4:$W$4,0))))</f>
        <v>819.34035760339532</v>
      </c>
      <c r="M123">
        <f ca="1">IF($C123-M$1&lt;År1,0,L122*(1-VLOOKUP($A123,[1]Hugst!$R$5:$W$9,MATCH(ROUNDUP((M$1)/10,0)*10,[1]Hugst!$R$4:$W$4,0))))</f>
        <v>819.26242897932218</v>
      </c>
      <c r="N123">
        <f ca="1">IF($C123-N$1&lt;År1,0,M122*(1-VLOOKUP($A123,[1]Hugst!$R$5:$W$9,MATCH(ROUNDUP((N$1)/10,0)*10,[1]Hugst!$R$4:$W$4,0))))</f>
        <v>819.1877632590614</v>
      </c>
      <c r="O123">
        <f ca="1">IF($C123-O$1&lt;År1,0,N122*(1-VLOOKUP($A123,[1]Hugst!$R$5:$W$9,MATCH(ROUNDUP((O$1)/10,0)*10,[1]Hugst!$R$4:$W$4,0))))</f>
        <v>819.42158874826066</v>
      </c>
      <c r="P123">
        <f ca="1">IF($C123-P$1&lt;År1,0,O122*(1-VLOOKUP($A123,[1]Hugst!$R$5:$W$9,MATCH(ROUNDUP((P$1)/10,0)*10,[1]Hugst!$R$4:$W$4,0))))</f>
        <v>818.54212113623896</v>
      </c>
      <c r="Q123">
        <f ca="1">IF($C123-Q$1&lt;År1,0,P122*(1-VLOOKUP($A123,[1]Hugst!$R$5:$W$9,MATCH(ROUNDUP((Q$1)/10,0)*10,[1]Hugst!$R$4:$W$4,0))))</f>
        <v>817.66646303771063</v>
      </c>
      <c r="R123">
        <f ca="1">IF($C123-R$1&lt;År1,0,Q122*(1-VLOOKUP($A123,[1]Hugst!$R$5:$W$9,MATCH(ROUNDUP((R$1)/10,0)*10,[1]Hugst!$R$4:$W$4,0))))</f>
        <v>816.79461725976114</v>
      </c>
      <c r="S123">
        <f ca="1">IF($C123-S$1&lt;År1,0,R122*(1-VLOOKUP($A123,[1]Hugst!$R$5:$W$9,MATCH(ROUNDUP((S$1)/10,0)*10,[1]Hugst!$R$4:$W$4,0))))</f>
        <v>815.92658663526583</v>
      </c>
      <c r="T123">
        <f ca="1">IF($C123-T$1&lt;År1,0,S122*(1-VLOOKUP($A123,[1]Hugst!$R$5:$W$9,MATCH(ROUNDUP((T$1)/10,0)*10,[1]Hugst!$R$4:$W$4,0))))</f>
        <v>815.06237402295085</v>
      </c>
      <c r="U123">
        <f ca="1">IF($C123-U$1&lt;År1,0,T122*(1-VLOOKUP($A123,[1]Hugst!$R$5:$W$9,MATCH(ROUNDUP((U$1)/10,0)*10,[1]Hugst!$R$4:$W$4,0))))</f>
        <v>814.20198230753226</v>
      </c>
      <c r="V123">
        <f ca="1">IF($C123-V$1&lt;År1,0,U122*(1-VLOOKUP($A123,[1]Hugst!$R$5:$W$9,MATCH(ROUNDUP((V$1)/10,0)*10,[1]Hugst!$R$4:$W$4,0))))</f>
        <v>813.34541439971406</v>
      </c>
      <c r="W123">
        <f ca="1">IF($C123-W$1&lt;År1,0,V122*(1-VLOOKUP($A123,[1]Hugst!$R$5:$W$9,MATCH(ROUNDUP((W$1)/10,0)*10,[1]Hugst!$R$4:$W$4,0))))</f>
        <v>812.49267323626066</v>
      </c>
      <c r="X123">
        <f ca="1">IF($C123-X$1&lt;År1,0,W122*(1-VLOOKUP($A123,[1]Hugst!$R$5:$W$9,MATCH(ROUNDUP((X$1)/10,0)*10,[1]Hugst!$R$4:$W$4,0))))</f>
        <v>614.5942341452153</v>
      </c>
      <c r="Y123">
        <f ca="1">IF($C123-Y$1&lt;År1,0,X122*(1-VLOOKUP($A123,[1]Hugst!$R$5:$W$9,MATCH(ROUNDUP((Y$1)/10,0)*10,[1]Hugst!$R$4:$W$4,0))))</f>
        <v>614.04973941072888</v>
      </c>
      <c r="Z123">
        <f ca="1">IF($C123-Z$1&lt;År1,0,Y122*(1-VLOOKUP($A123,[1]Hugst!$R$5:$W$9,MATCH(ROUNDUP((Z$1)/10,0)*10,[1]Hugst!$R$4:$W$4,0))))</f>
        <v>614.33607604145777</v>
      </c>
      <c r="AA123">
        <f ca="1">IF($C123-AA$1&lt;År1,0,Z122*(1-VLOOKUP($A123,[1]Hugst!$R$5:$W$9,MATCH(ROUNDUP((AA$1)/10,0)*10,[1]Hugst!$R$4:$W$4,0))))</f>
        <v>614.62635224205781</v>
      </c>
      <c r="AB123">
        <f ca="1">IF($C123-AB$1&lt;År1,0,AA122*(1-VLOOKUP($A123,[1]Hugst!$R$5:$W$9,MATCH(ROUNDUP((AB$1)/10,0)*10,[1]Hugst!$R$4:$W$4,0))))</f>
        <v>614.92057571784983</v>
      </c>
      <c r="AC123">
        <f ca="1">IF($C123-AC$1&lt;År1,0,AB122*(1-VLOOKUP($A123,[1]Hugst!$R$5:$W$9,MATCH(ROUNDUP((AC$1)/10,0)*10,[1]Hugst!$R$4:$W$4,0))))</f>
        <v>615.21875420840661</v>
      </c>
      <c r="AD123">
        <f ca="1">IF($C123-AD$1&lt;År1,0,AC122*(1-VLOOKUP($A123,[1]Hugst!$R$5:$W$9,MATCH(ROUNDUP((AD$1)/10,0)*10,[1]Hugst!$R$4:$W$4,0))))</f>
        <v>615.52089548780691</v>
      </c>
      <c r="AE123">
        <f ca="1">IF($C123-AE$1&lt;År1,0,AD122*(1-VLOOKUP($A123,[1]Hugst!$R$5:$W$9,MATCH(ROUNDUP((AE$1)/10,0)*10,[1]Hugst!$R$4:$W$4,0))))</f>
        <v>615.82700736457571</v>
      </c>
      <c r="AF123">
        <f ca="1">IF($C123-AF$1&lt;År1,0,AE122*(1-VLOOKUP($A123,[1]Hugst!$R$5:$W$9,MATCH(ROUNDUP((AF$1)/10,0)*10,[1]Hugst!$R$4:$W$4,0))))</f>
        <v>616.13709768190733</v>
      </c>
      <c r="AG123">
        <f ca="1">IF($C123-AG$1&lt;År1,0,AF122*(1-VLOOKUP($A123,[1]Hugst!$R$5:$W$9,MATCH(ROUNDUP((AG$1)/10,0)*10,[1]Hugst!$R$4:$W$4,0))))</f>
        <v>616.45117431766096</v>
      </c>
      <c r="AH123">
        <f ca="1">IF($C123-AH$1&lt;År1,0,AG122*(1-VLOOKUP($A123,[1]Hugst!$R$5:$W$9,MATCH(ROUNDUP((AH$1)/10,0)*10,[1]Hugst!$R$4:$W$4,0))))</f>
        <v>616.76924518453541</v>
      </c>
      <c r="AI123">
        <f>IF($C123-AI$1&lt;År1,0,AH122*(1-VLOOKUP($A123,[1]Hugst!$R$5:$W$9,MATCH(ROUNDUP((AI$1)/10,0)*10,[1]Hugst!$R$4:$W$4,0))))</f>
        <v>0</v>
      </c>
      <c r="AJ123">
        <f>IF($C123-AJ$1&lt;År1,0,AI122*(1-VLOOKUP($A123,[1]Hugst!$R$5:$W$9,MATCH(ROUNDUP((AJ$1)/10,0)*10,[1]Hugst!$R$4:$W$4,0))))</f>
        <v>0</v>
      </c>
    </row>
    <row r="124" spans="1:38" x14ac:dyDescent="0.25">
      <c r="A124" t="s">
        <v>177</v>
      </c>
      <c r="B124" t="s">
        <v>24</v>
      </c>
      <c r="C124">
        <v>2049</v>
      </c>
      <c r="D124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247.76239411205734</v>
      </c>
      <c r="E124">
        <f t="shared" ca="1" si="2"/>
        <v>22.830417949215189</v>
      </c>
      <c r="F124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819.97552811065555</v>
      </c>
      <c r="G124">
        <f ca="1">IF($C124-G$1&lt;År1,0,F123*(1-VLOOKUP($A124,[1]Hugst!$R$5:$W$9,MATCH(ROUNDUP((G$1)/10,0)*10,[1]Hugst!$R$4:$W$4,0))))</f>
        <v>819.87532142495286</v>
      </c>
      <c r="H124">
        <f ca="1">IF($C124-H$1&lt;År1,0,G123*(1-VLOOKUP($A124,[1]Hugst!$R$5:$W$9,MATCH(ROUNDUP((H$1)/10,0)*10,[1]Hugst!$R$4:$W$4,0))))</f>
        <v>819.77823780378742</v>
      </c>
      <c r="I124">
        <f ca="1">IF($C124-I$1&lt;År1,0,H123*(1-VLOOKUP($A124,[1]Hugst!$R$5:$W$9,MATCH(ROUNDUP((I$1)/10,0)*10,[1]Hugst!$R$4:$W$4,0))))</f>
        <v>819.68429691392532</v>
      </c>
      <c r="J124">
        <f ca="1">IF($C124-J$1&lt;År1,0,I123*(1-VLOOKUP($A124,[1]Hugst!$R$5:$W$9,MATCH(ROUNDUP((J$1)/10,0)*10,[1]Hugst!$R$4:$W$4,0))))</f>
        <v>819.59351852470365</v>
      </c>
      <c r="K124">
        <f ca="1">IF($C124-K$1&lt;År1,0,J123*(1-VLOOKUP($A124,[1]Hugst!$R$5:$W$9,MATCH(ROUNDUP((K$1)/10,0)*10,[1]Hugst!$R$4:$W$4,0))))</f>
        <v>819.50592250851162</v>
      </c>
      <c r="L124">
        <f ca="1">IF($C124-L$1&lt;År1,0,K123*(1-VLOOKUP($A124,[1]Hugst!$R$5:$W$9,MATCH(ROUNDUP((L$1)/10,0)*10,[1]Hugst!$R$4:$W$4,0))))</f>
        <v>819.42152884137533</v>
      </c>
      <c r="M124">
        <f ca="1">IF($C124-M$1&lt;År1,0,L123*(1-VLOOKUP($A124,[1]Hugst!$R$5:$W$9,MATCH(ROUNDUP((M$1)/10,0)*10,[1]Hugst!$R$4:$W$4,0))))</f>
        <v>819.34035760339532</v>
      </c>
      <c r="N124">
        <f ca="1">IF($C124-N$1&lt;År1,0,M123*(1-VLOOKUP($A124,[1]Hugst!$R$5:$W$9,MATCH(ROUNDUP((N$1)/10,0)*10,[1]Hugst!$R$4:$W$4,0))))</f>
        <v>819.26242897932218</v>
      </c>
      <c r="O124">
        <f ca="1">IF($C124-O$1&lt;År1,0,N123*(1-VLOOKUP($A124,[1]Hugst!$R$5:$W$9,MATCH(ROUNDUP((O$1)/10,0)*10,[1]Hugst!$R$4:$W$4,0))))</f>
        <v>819.1877632590614</v>
      </c>
      <c r="P124">
        <f ca="1">IF($C124-P$1&lt;År1,0,O123*(1-VLOOKUP($A124,[1]Hugst!$R$5:$W$9,MATCH(ROUNDUP((P$1)/10,0)*10,[1]Hugst!$R$4:$W$4,0))))</f>
        <v>818.17162361288194</v>
      </c>
      <c r="Q124">
        <f ca="1">IF($C124-Q$1&lt;År1,0,P123*(1-VLOOKUP($A124,[1]Hugst!$R$5:$W$9,MATCH(ROUNDUP((Q$1)/10,0)*10,[1]Hugst!$R$4:$W$4,0))))</f>
        <v>817.29349756162435</v>
      </c>
      <c r="R124">
        <f ca="1">IF($C124-R$1&lt;År1,0,Q123*(1-VLOOKUP($A124,[1]Hugst!$R$5:$W$9,MATCH(ROUNDUP((R$1)/10,0)*10,[1]Hugst!$R$4:$W$4,0))))</f>
        <v>816.41917521273785</v>
      </c>
      <c r="S124">
        <f ca="1">IF($C124-S$1&lt;År1,0,R123*(1-VLOOKUP($A124,[1]Hugst!$R$5:$W$9,MATCH(ROUNDUP((S$1)/10,0)*10,[1]Hugst!$R$4:$W$4,0))))</f>
        <v>815.54865936902593</v>
      </c>
      <c r="T124">
        <f ca="1">IF($C124-T$1&lt;År1,0,S123*(1-VLOOKUP($A124,[1]Hugst!$R$5:$W$9,MATCH(ROUNDUP((T$1)/10,0)*10,[1]Hugst!$R$4:$W$4,0))))</f>
        <v>814.68195285904255</v>
      </c>
      <c r="U124">
        <f ca="1">IF($C124-U$1&lt;År1,0,T123*(1-VLOOKUP($A124,[1]Hugst!$R$5:$W$9,MATCH(ROUNDUP((U$1)/10,0)*10,[1]Hugst!$R$4:$W$4,0))))</f>
        <v>813.81905853715307</v>
      </c>
      <c r="V124">
        <f ca="1">IF($C124-V$1&lt;År1,0,U123*(1-VLOOKUP($A124,[1]Hugst!$R$5:$W$9,MATCH(ROUNDUP((V$1)/10,0)*10,[1]Hugst!$R$4:$W$4,0))))</f>
        <v>812.95997928367331</v>
      </c>
      <c r="W124">
        <f ca="1">IF($C124-W$1&lt;År1,0,V123*(1-VLOOKUP($A124,[1]Hugst!$R$5:$W$9,MATCH(ROUNDUP((W$1)/10,0)*10,[1]Hugst!$R$4:$W$4,0))))</f>
        <v>812.10471800486698</v>
      </c>
      <c r="X124">
        <f ca="1">IF($C124-X$1&lt;År1,0,W123*(1-VLOOKUP($A124,[1]Hugst!$R$5:$W$9,MATCH(ROUNDUP((X$1)/10,0)*10,[1]Hugst!$R$4:$W$4,0))))</f>
        <v>811.25327763301891</v>
      </c>
      <c r="Y124">
        <f ca="1">IF($C124-Y$1&lt;År1,0,X123*(1-VLOOKUP($A124,[1]Hugst!$R$5:$W$9,MATCH(ROUNDUP((Y$1)/10,0)*10,[1]Hugst!$R$4:$W$4,0))))</f>
        <v>613.65671751685818</v>
      </c>
      <c r="Z124">
        <f ca="1">IF($C124-Z$1&lt;År1,0,Y123*(1-VLOOKUP($A124,[1]Hugst!$R$5:$W$9,MATCH(ROUNDUP((Z$1)/10,0)*10,[1]Hugst!$R$4:$W$4,0))))</f>
        <v>612.98295808378646</v>
      </c>
      <c r="AA124">
        <f ca="1">IF($C124-AA$1&lt;År1,0,Z123*(1-VLOOKUP($A124,[1]Hugst!$R$5:$W$9,MATCH(ROUNDUP((AA$1)/10,0)*10,[1]Hugst!$R$4:$W$4,0))))</f>
        <v>613.26879726528398</v>
      </c>
      <c r="AB124">
        <f ca="1">IF($C124-AB$1&lt;År1,0,AA123*(1-VLOOKUP($A124,[1]Hugst!$R$5:$W$9,MATCH(ROUNDUP((AB$1)/10,0)*10,[1]Hugst!$R$4:$W$4,0))))</f>
        <v>613.55856917248468</v>
      </c>
      <c r="AC124">
        <f ca="1">IF($C124-AC$1&lt;År1,0,AB123*(1-VLOOKUP($A124,[1]Hugst!$R$5:$W$9,MATCH(ROUNDUP((AC$1)/10,0)*10,[1]Hugst!$R$4:$W$4,0))))</f>
        <v>613.85228149732302</v>
      </c>
      <c r="AD124">
        <f ca="1">IF($C124-AD$1&lt;År1,0,AC123*(1-VLOOKUP($A124,[1]Hugst!$R$5:$W$9,MATCH(ROUNDUP((AD$1)/10,0)*10,[1]Hugst!$R$4:$W$4,0))))</f>
        <v>614.1499419659259</v>
      </c>
      <c r="AE124">
        <f ca="1">IF($C124-AE$1&lt;År1,0,AD123*(1-VLOOKUP($A124,[1]Hugst!$R$5:$W$9,MATCH(ROUNDUP((AE$1)/10,0)*10,[1]Hugst!$R$4:$W$4,0))))</f>
        <v>614.45155833886622</v>
      </c>
      <c r="AF124">
        <f ca="1">IF($C124-AF$1&lt;År1,0,AE123*(1-VLOOKUP($A124,[1]Hugst!$R$5:$W$9,MATCH(ROUNDUP((AF$1)/10,0)*10,[1]Hugst!$R$4:$W$4,0))))</f>
        <v>614.75713841110337</v>
      </c>
      <c r="AG124">
        <f ca="1">IF($C124-AG$1&lt;År1,0,AF123*(1-VLOOKUP($A124,[1]Hugst!$R$5:$W$9,MATCH(ROUNDUP((AG$1)/10,0)*10,[1]Hugst!$R$4:$W$4,0))))</f>
        <v>615.06669001220564</v>
      </c>
      <c r="AH124">
        <f ca="1">IF($C124-AH$1&lt;År1,0,AG123*(1-VLOOKUP($A124,[1]Hugst!$R$5:$W$9,MATCH(ROUNDUP((AH$1)/10,0)*10,[1]Hugst!$R$4:$W$4,0))))</f>
        <v>615.38022100634635</v>
      </c>
      <c r="AI124">
        <f ca="1">IF($C124-AI$1&lt;År1,0,AH123*(1-VLOOKUP($A124,[1]Hugst!$R$5:$W$9,MATCH(ROUNDUP((AI$1)/10,0)*10,[1]Hugst!$R$4:$W$4,0))))</f>
        <v>615.69773929247754</v>
      </c>
      <c r="AJ124">
        <f>IF($C124-AJ$1&lt;År1,0,AI123*(1-VLOOKUP($A124,[1]Hugst!$R$5:$W$9,MATCH(ROUNDUP((AJ$1)/10,0)*10,[1]Hugst!$R$4:$W$4,0))))</f>
        <v>0</v>
      </c>
    </row>
    <row r="125" spans="1:38" x14ac:dyDescent="0.25">
      <c r="A125" t="s">
        <v>177</v>
      </c>
      <c r="B125" t="s">
        <v>24</v>
      </c>
      <c r="C125">
        <v>2050</v>
      </c>
      <c r="D125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246.52358214149262</v>
      </c>
      <c r="E125">
        <f ca="1">IF(C125=2020,SUM(G125:AJ125),SUM(F124:AJ124)-SUM(G125:AJ125))</f>
        <v>23.651169564465818</v>
      </c>
      <c r="F125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819.55746775534146</v>
      </c>
      <c r="G125">
        <f ca="1">IF($C125-G$1&lt;År1,0,F124*(1-VLOOKUP($A125,[1]Hugst!$R$5:$W$9,MATCH(ROUNDUP((G$1)/10,0)*10,[1]Hugst!$R$4:$W$4,0))))</f>
        <v>819.97552811065555</v>
      </c>
      <c r="H125">
        <f ca="1">IF($C125-H$1&lt;År1,0,G124*(1-VLOOKUP($A125,[1]Hugst!$R$5:$W$9,MATCH(ROUNDUP((H$1)/10,0)*10,[1]Hugst!$R$4:$W$4,0))))</f>
        <v>819.87532142495286</v>
      </c>
      <c r="I125">
        <f ca="1">IF($C125-I$1&lt;År1,0,H124*(1-VLOOKUP($A125,[1]Hugst!$R$5:$W$9,MATCH(ROUNDUP((I$1)/10,0)*10,[1]Hugst!$R$4:$W$4,0))))</f>
        <v>819.77823780378742</v>
      </c>
      <c r="J125">
        <f ca="1">IF($C125-J$1&lt;År1,0,I124*(1-VLOOKUP($A125,[1]Hugst!$R$5:$W$9,MATCH(ROUNDUP((J$1)/10,0)*10,[1]Hugst!$R$4:$W$4,0))))</f>
        <v>819.68429691392532</v>
      </c>
      <c r="K125">
        <f ca="1">IF($C125-K$1&lt;År1,0,J124*(1-VLOOKUP($A125,[1]Hugst!$R$5:$W$9,MATCH(ROUNDUP((K$1)/10,0)*10,[1]Hugst!$R$4:$W$4,0))))</f>
        <v>819.59351852470365</v>
      </c>
      <c r="L125">
        <f ca="1">IF($C125-L$1&lt;År1,0,K124*(1-VLOOKUP($A125,[1]Hugst!$R$5:$W$9,MATCH(ROUNDUP((L$1)/10,0)*10,[1]Hugst!$R$4:$W$4,0))))</f>
        <v>819.50592250851162</v>
      </c>
      <c r="M125">
        <f ca="1">IF($C125-M$1&lt;År1,0,L124*(1-VLOOKUP($A125,[1]Hugst!$R$5:$W$9,MATCH(ROUNDUP((M$1)/10,0)*10,[1]Hugst!$R$4:$W$4,0))))</f>
        <v>819.42152884137533</v>
      </c>
      <c r="N125">
        <f ca="1">IF($C125-N$1&lt;År1,0,M124*(1-VLOOKUP($A125,[1]Hugst!$R$5:$W$9,MATCH(ROUNDUP((N$1)/10,0)*10,[1]Hugst!$R$4:$W$4,0))))</f>
        <v>819.34035760339532</v>
      </c>
      <c r="O125">
        <f ca="1">IF($C125-O$1&lt;År1,0,N124*(1-VLOOKUP($A125,[1]Hugst!$R$5:$W$9,MATCH(ROUNDUP((O$1)/10,0)*10,[1]Hugst!$R$4:$W$4,0))))</f>
        <v>819.26242897932218</v>
      </c>
      <c r="P125">
        <f ca="1">IF($C125-P$1&lt;År1,0,O124*(1-VLOOKUP($A125,[1]Hugst!$R$5:$W$9,MATCH(ROUNDUP((P$1)/10,0)*10,[1]Hugst!$R$4:$W$4,0))))</f>
        <v>817.93815480663227</v>
      </c>
      <c r="Q125">
        <f ca="1">IF($C125-Q$1&lt;År1,0,P124*(1-VLOOKUP($A125,[1]Hugst!$R$5:$W$9,MATCH(ROUNDUP((Q$1)/10,0)*10,[1]Hugst!$R$4:$W$4,0))))</f>
        <v>816.92356520398096</v>
      </c>
      <c r="R125">
        <f ca="1">IF($C125-R$1&lt;År1,0,Q124*(1-VLOOKUP($A125,[1]Hugst!$R$5:$W$9,MATCH(ROUNDUP((R$1)/10,0)*10,[1]Hugst!$R$4:$W$4,0))))</f>
        <v>816.04677866703878</v>
      </c>
      <c r="S125">
        <f ca="1">IF($C125-S$1&lt;År1,0,R124*(1-VLOOKUP($A125,[1]Hugst!$R$5:$W$9,MATCH(ROUNDUP((S$1)/10,0)*10,[1]Hugst!$R$4:$W$4,0))))</f>
        <v>815.17379003020994</v>
      </c>
      <c r="T125">
        <f ca="1">IF($C125-T$1&lt;År1,0,S124*(1-VLOOKUP($A125,[1]Hugst!$R$5:$W$9,MATCH(ROUNDUP((T$1)/10,0)*10,[1]Hugst!$R$4:$W$4,0))))</f>
        <v>814.30460209202226</v>
      </c>
      <c r="U125">
        <f ca="1">IF($C125-U$1&lt;År1,0,T124*(1-VLOOKUP($A125,[1]Hugst!$R$5:$W$9,MATCH(ROUNDUP((U$1)/10,0)*10,[1]Hugst!$R$4:$W$4,0))))</f>
        <v>813.4392176767152</v>
      </c>
      <c r="V125">
        <f ca="1">IF($C125-V$1&lt;År1,0,U124*(1-VLOOKUP($A125,[1]Hugst!$R$5:$W$9,MATCH(ROUNDUP((V$1)/10,0)*10,[1]Hugst!$R$4:$W$4,0))))</f>
        <v>812.57763963429977</v>
      </c>
      <c r="W125">
        <f ca="1">IF($C125-W$1&lt;År1,0,V124*(1-VLOOKUP($A125,[1]Hugst!$R$5:$W$9,MATCH(ROUNDUP((W$1)/10,0)*10,[1]Hugst!$R$4:$W$4,0))))</f>
        <v>811.71987084069815</v>
      </c>
      <c r="X125">
        <f ca="1">IF($C125-X$1&lt;År1,0,W124*(1-VLOOKUP($A125,[1]Hugst!$R$5:$W$9,MATCH(ROUNDUP((X$1)/10,0)*10,[1]Hugst!$R$4:$W$4,0))))</f>
        <v>810.86591419774084</v>
      </c>
      <c r="Y125">
        <f ca="1">IF($C125-Y$1&lt;År1,0,X124*(1-VLOOKUP($A125,[1]Hugst!$R$5:$W$9,MATCH(ROUNDUP((Y$1)/10,0)*10,[1]Hugst!$R$4:$W$4,0))))</f>
        <v>810.01577263323975</v>
      </c>
      <c r="Z125">
        <f ca="1">IF($C125-Z$1&lt;År1,0,Y124*(1-VLOOKUP($A125,[1]Hugst!$R$5:$W$9,MATCH(ROUNDUP((Z$1)/10,0)*10,[1]Hugst!$R$4:$W$4,0))))</f>
        <v>612.59061898218908</v>
      </c>
      <c r="AA125">
        <f ca="1">IF($C125-AA$1&lt;År1,0,Z124*(1-VLOOKUP($A125,[1]Hugst!$R$5:$W$9,MATCH(ROUNDUP((AA$1)/10,0)*10,[1]Hugst!$R$4:$W$4,0))))</f>
        <v>611.9180300633866</v>
      </c>
      <c r="AB125">
        <f ca="1">IF($C125-AB$1&lt;År1,0,AA124*(1-VLOOKUP($A125,[1]Hugst!$R$5:$W$9,MATCH(ROUNDUP((AB$1)/10,0)*10,[1]Hugst!$R$4:$W$4,0))))</f>
        <v>612.20337265986541</v>
      </c>
      <c r="AC125">
        <f ca="1">IF($C125-AC$1&lt;År1,0,AB124*(1-VLOOKUP($A125,[1]Hugst!$R$5:$W$9,MATCH(ROUNDUP((AC$1)/10,0)*10,[1]Hugst!$R$4:$W$4,0))))</f>
        <v>612.49264114976972</v>
      </c>
      <c r="AD125">
        <f ca="1">IF($C125-AD$1&lt;År1,0,AC124*(1-VLOOKUP($A125,[1]Hugst!$R$5:$W$9,MATCH(ROUNDUP((AD$1)/10,0)*10,[1]Hugst!$R$4:$W$4,0))))</f>
        <v>612.78584321167091</v>
      </c>
      <c r="AE125">
        <f ca="1">IF($C125-AE$1&lt;År1,0,AD124*(1-VLOOKUP($A125,[1]Hugst!$R$5:$W$9,MATCH(ROUNDUP((AE$1)/10,0)*10,[1]Hugst!$R$4:$W$4,0))))</f>
        <v>613.08298655827321</v>
      </c>
      <c r="AF125">
        <f ca="1">IF($C125-AF$1&lt;År1,0,AE124*(1-VLOOKUP($A125,[1]Hugst!$R$5:$W$9,MATCH(ROUNDUP((AF$1)/10,0)*10,[1]Hugst!$R$4:$W$4,0))))</f>
        <v>613.38407893666727</v>
      </c>
      <c r="AG125">
        <f ca="1">IF($C125-AG$1&lt;År1,0,AF124*(1-VLOOKUP($A125,[1]Hugst!$R$5:$W$9,MATCH(ROUNDUP((AG$1)/10,0)*10,[1]Hugst!$R$4:$W$4,0))))</f>
        <v>613.68912812827045</v>
      </c>
      <c r="AH125">
        <f ca="1">IF($C125-AH$1&lt;År1,0,AG124*(1-VLOOKUP($A125,[1]Hugst!$R$5:$W$9,MATCH(ROUNDUP((AH$1)/10,0)*10,[1]Hugst!$R$4:$W$4,0))))</f>
        <v>613.99814194904877</v>
      </c>
      <c r="AI125">
        <f ca="1">IF($C125-AI$1&lt;År1,0,AH124*(1-VLOOKUP($A125,[1]Hugst!$R$5:$W$9,MATCH(ROUNDUP((AI$1)/10,0)*10,[1]Hugst!$R$4:$W$4,0))))</f>
        <v>614.31112824951322</v>
      </c>
      <c r="AJ125">
        <f ca="1">IF($C125-AJ$1&lt;År1,0,AI124*(1-VLOOKUP($A125,[1]Hugst!$R$5:$W$9,MATCH(ROUNDUP((AJ$1)/10,0)*10,[1]Hugst!$R$4:$W$4,0))))</f>
        <v>615.1498726600563</v>
      </c>
      <c r="AL125">
        <f ca="1">SUM(F125:AJ125)</f>
        <v>23080.605756797253</v>
      </c>
    </row>
    <row r="126" spans="1:38" x14ac:dyDescent="0.25">
      <c r="A126" t="s">
        <v>178</v>
      </c>
      <c r="B126" t="s">
        <v>23</v>
      </c>
      <c r="C126">
        <v>2020</v>
      </c>
      <c r="D126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108.76613040576632</v>
      </c>
      <c r="E126">
        <f t="shared" ref="E126:E187" si="3">IF(C126=2020,SUM(G126:AJ126),SUM(F125:AJ125)-SUM(G126:AJ126))</f>
        <v>0</v>
      </c>
      <c r="F126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364.53368246961463</v>
      </c>
      <c r="G126">
        <f>IF($C126-G$1&lt;År1,0,F125*(1-VLOOKUP($A126,[1]Hugst!$R$5:$W$9,MATCH(ROUNDUP((G$1)/10,0)*10,[1]Hugst!$R$4:$W$4,0))))</f>
        <v>0</v>
      </c>
      <c r="H126">
        <f>IF($C126-H$1&lt;År1,0,G125*(1-VLOOKUP($A126,[1]Hugst!$R$5:$W$9,MATCH(ROUNDUP((H$1)/10,0)*10,[1]Hugst!$R$4:$W$4,0))))</f>
        <v>0</v>
      </c>
      <c r="I126">
        <f>IF($C126-I$1&lt;År1,0,H125*(1-VLOOKUP($A126,[1]Hugst!$R$5:$W$9,MATCH(ROUNDUP((I$1)/10,0)*10,[1]Hugst!$R$4:$W$4,0))))</f>
        <v>0</v>
      </c>
      <c r="J126">
        <f>IF($C126-J$1&lt;År1,0,I125*(1-VLOOKUP($A126,[1]Hugst!$R$5:$W$9,MATCH(ROUNDUP((J$1)/10,0)*10,[1]Hugst!$R$4:$W$4,0))))</f>
        <v>0</v>
      </c>
      <c r="K126">
        <f>IF($C126-K$1&lt;År1,0,J125*(1-VLOOKUP($A126,[1]Hugst!$R$5:$W$9,MATCH(ROUNDUP((K$1)/10,0)*10,[1]Hugst!$R$4:$W$4,0))))</f>
        <v>0</v>
      </c>
      <c r="L126">
        <f>IF($C126-L$1&lt;År1,0,K125*(1-VLOOKUP($A126,[1]Hugst!$R$5:$W$9,MATCH(ROUNDUP((L$1)/10,0)*10,[1]Hugst!$R$4:$W$4,0))))</f>
        <v>0</v>
      </c>
      <c r="M126">
        <f>IF($C126-M$1&lt;År1,0,L125*(1-VLOOKUP($A126,[1]Hugst!$R$5:$W$9,MATCH(ROUNDUP((M$1)/10,0)*10,[1]Hugst!$R$4:$W$4,0))))</f>
        <v>0</v>
      </c>
      <c r="N126">
        <f>IF($C126-N$1&lt;År1,0,M125*(1-VLOOKUP($A126,[1]Hugst!$R$5:$W$9,MATCH(ROUNDUP((N$1)/10,0)*10,[1]Hugst!$R$4:$W$4,0))))</f>
        <v>0</v>
      </c>
      <c r="O126">
        <f>IF($C126-O$1&lt;År1,0,N125*(1-VLOOKUP($A126,[1]Hugst!$R$5:$W$9,MATCH(ROUNDUP((O$1)/10,0)*10,[1]Hugst!$R$4:$W$4,0))))</f>
        <v>0</v>
      </c>
      <c r="P126">
        <f>IF($C126-P$1&lt;År1,0,O125*(1-VLOOKUP($A126,[1]Hugst!$R$5:$W$9,MATCH(ROUNDUP((P$1)/10,0)*10,[1]Hugst!$R$4:$W$4,0))))</f>
        <v>0</v>
      </c>
      <c r="Q126">
        <f>IF($C126-Q$1&lt;År1,0,P125*(1-VLOOKUP($A126,[1]Hugst!$R$5:$W$9,MATCH(ROUNDUP((Q$1)/10,0)*10,[1]Hugst!$R$4:$W$4,0))))</f>
        <v>0</v>
      </c>
      <c r="R126">
        <f>IF($C126-R$1&lt;År1,0,Q125*(1-VLOOKUP($A126,[1]Hugst!$R$5:$W$9,MATCH(ROUNDUP((R$1)/10,0)*10,[1]Hugst!$R$4:$W$4,0))))</f>
        <v>0</v>
      </c>
      <c r="S126">
        <f>IF($C126-S$1&lt;År1,0,R125*(1-VLOOKUP($A126,[1]Hugst!$R$5:$W$9,MATCH(ROUNDUP((S$1)/10,0)*10,[1]Hugst!$R$4:$W$4,0))))</f>
        <v>0</v>
      </c>
      <c r="T126">
        <f>IF($C126-T$1&lt;År1,0,S125*(1-VLOOKUP($A126,[1]Hugst!$R$5:$W$9,MATCH(ROUNDUP((T$1)/10,0)*10,[1]Hugst!$R$4:$W$4,0))))</f>
        <v>0</v>
      </c>
      <c r="U126">
        <f>IF($C126-U$1&lt;År1,0,T125*(1-VLOOKUP($A126,[1]Hugst!$R$5:$W$9,MATCH(ROUNDUP((U$1)/10,0)*10,[1]Hugst!$R$4:$W$4,0))))</f>
        <v>0</v>
      </c>
      <c r="V126">
        <f>IF($C126-V$1&lt;År1,0,U125*(1-VLOOKUP($A126,[1]Hugst!$R$5:$W$9,MATCH(ROUNDUP((V$1)/10,0)*10,[1]Hugst!$R$4:$W$4,0))))</f>
        <v>0</v>
      </c>
      <c r="W126">
        <f>IF($C126-W$1&lt;År1,0,V125*(1-VLOOKUP($A126,[1]Hugst!$R$5:$W$9,MATCH(ROUNDUP((W$1)/10,0)*10,[1]Hugst!$R$4:$W$4,0))))</f>
        <v>0</v>
      </c>
      <c r="X126">
        <f>IF($C126-X$1&lt;År1,0,W125*(1-VLOOKUP($A126,[1]Hugst!$R$5:$W$9,MATCH(ROUNDUP((X$1)/10,0)*10,[1]Hugst!$R$4:$W$4,0))))</f>
        <v>0</v>
      </c>
      <c r="Y126">
        <f>IF($C126-Y$1&lt;År1,0,X125*(1-VLOOKUP($A126,[1]Hugst!$R$5:$W$9,MATCH(ROUNDUP((Y$1)/10,0)*10,[1]Hugst!$R$4:$W$4,0))))</f>
        <v>0</v>
      </c>
      <c r="Z126">
        <f>IF($C126-Z$1&lt;År1,0,Y125*(1-VLOOKUP($A126,[1]Hugst!$R$5:$W$9,MATCH(ROUNDUP((Z$1)/10,0)*10,[1]Hugst!$R$4:$W$4,0))))</f>
        <v>0</v>
      </c>
      <c r="AA126">
        <f>IF($C126-AA$1&lt;År1,0,Z125*(1-VLOOKUP($A126,[1]Hugst!$R$5:$W$9,MATCH(ROUNDUP((AA$1)/10,0)*10,[1]Hugst!$R$4:$W$4,0))))</f>
        <v>0</v>
      </c>
      <c r="AB126">
        <f>IF($C126-AB$1&lt;År1,0,AA125*(1-VLOOKUP($A126,[1]Hugst!$R$5:$W$9,MATCH(ROUNDUP((AB$1)/10,0)*10,[1]Hugst!$R$4:$W$4,0))))</f>
        <v>0</v>
      </c>
      <c r="AC126">
        <f>IF($C126-AC$1&lt;År1,0,AB125*(1-VLOOKUP($A126,[1]Hugst!$R$5:$W$9,MATCH(ROUNDUP((AC$1)/10,0)*10,[1]Hugst!$R$4:$W$4,0))))</f>
        <v>0</v>
      </c>
      <c r="AD126">
        <f>IF($C126-AD$1&lt;År1,0,AC125*(1-VLOOKUP($A126,[1]Hugst!$R$5:$W$9,MATCH(ROUNDUP((AD$1)/10,0)*10,[1]Hugst!$R$4:$W$4,0))))</f>
        <v>0</v>
      </c>
      <c r="AE126">
        <f>IF($C126-AE$1&lt;År1,0,AD125*(1-VLOOKUP($A126,[1]Hugst!$R$5:$W$9,MATCH(ROUNDUP((AE$1)/10,0)*10,[1]Hugst!$R$4:$W$4,0))))</f>
        <v>0</v>
      </c>
      <c r="AF126">
        <f>IF($C126-AF$1&lt;År1,0,AE125*(1-VLOOKUP($A126,[1]Hugst!$R$5:$W$9,MATCH(ROUNDUP((AF$1)/10,0)*10,[1]Hugst!$R$4:$W$4,0))))</f>
        <v>0</v>
      </c>
      <c r="AG126">
        <f>IF($C126-AG$1&lt;År1,0,AF125*(1-VLOOKUP($A126,[1]Hugst!$R$5:$W$9,MATCH(ROUNDUP((AG$1)/10,0)*10,[1]Hugst!$R$4:$W$4,0))))</f>
        <v>0</v>
      </c>
      <c r="AH126">
        <f>IF($C126-AH$1&lt;År1,0,AG125*(1-VLOOKUP($A126,[1]Hugst!$R$5:$W$9,MATCH(ROUNDUP((AH$1)/10,0)*10,[1]Hugst!$R$4:$W$4,0))))</f>
        <v>0</v>
      </c>
      <c r="AI126">
        <f>IF($C126-AI$1&lt;År1,0,AH125*(1-VLOOKUP($A126,[1]Hugst!$R$5:$W$9,MATCH(ROUNDUP((AI$1)/10,0)*10,[1]Hugst!$R$4:$W$4,0))))</f>
        <v>0</v>
      </c>
      <c r="AJ126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t="s">
        <v>178</v>
      </c>
      <c r="B127" t="s">
        <v>23</v>
      </c>
      <c r="C127">
        <v>2021</v>
      </c>
      <c r="D127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108.22229975373483</v>
      </c>
      <c r="E127">
        <f t="shared" ca="1" si="3"/>
        <v>0</v>
      </c>
      <c r="F127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363.98985181758314</v>
      </c>
      <c r="G127">
        <f ca="1">IF($C127-G$1&lt;År1,0,F126*(1-VLOOKUP($A127,[1]Hugst!$R$5:$W$9,MATCH(ROUNDUP((G$1)/10,0)*10,[1]Hugst!$R$4:$W$4,0))))</f>
        <v>364.53368246961463</v>
      </c>
      <c r="H127">
        <f>IF($C127-H$1&lt;År1,0,G126*(1-VLOOKUP($A127,[1]Hugst!$R$5:$W$9,MATCH(ROUNDUP((H$1)/10,0)*10,[1]Hugst!$R$4:$W$4,0))))</f>
        <v>0</v>
      </c>
      <c r="I127">
        <f>IF($C127-I$1&lt;År1,0,H126*(1-VLOOKUP($A127,[1]Hugst!$R$5:$W$9,MATCH(ROUNDUP((I$1)/10,0)*10,[1]Hugst!$R$4:$W$4,0))))</f>
        <v>0</v>
      </c>
      <c r="J127">
        <f>IF($C127-J$1&lt;År1,0,I126*(1-VLOOKUP($A127,[1]Hugst!$R$5:$W$9,MATCH(ROUNDUP((J$1)/10,0)*10,[1]Hugst!$R$4:$W$4,0))))</f>
        <v>0</v>
      </c>
      <c r="K127">
        <f>IF($C127-K$1&lt;År1,0,J126*(1-VLOOKUP($A127,[1]Hugst!$R$5:$W$9,MATCH(ROUNDUP((K$1)/10,0)*10,[1]Hugst!$R$4:$W$4,0))))</f>
        <v>0</v>
      </c>
      <c r="L127">
        <f>IF($C127-L$1&lt;År1,0,K126*(1-VLOOKUP($A127,[1]Hugst!$R$5:$W$9,MATCH(ROUNDUP((L$1)/10,0)*10,[1]Hugst!$R$4:$W$4,0))))</f>
        <v>0</v>
      </c>
      <c r="M127">
        <f>IF($C127-M$1&lt;År1,0,L126*(1-VLOOKUP($A127,[1]Hugst!$R$5:$W$9,MATCH(ROUNDUP((M$1)/10,0)*10,[1]Hugst!$R$4:$W$4,0))))</f>
        <v>0</v>
      </c>
      <c r="N127">
        <f>IF($C127-N$1&lt;År1,0,M126*(1-VLOOKUP($A127,[1]Hugst!$R$5:$W$9,MATCH(ROUNDUP((N$1)/10,0)*10,[1]Hugst!$R$4:$W$4,0))))</f>
        <v>0</v>
      </c>
      <c r="O127">
        <f>IF($C127-O$1&lt;År1,0,N126*(1-VLOOKUP($A127,[1]Hugst!$R$5:$W$9,MATCH(ROUNDUP((O$1)/10,0)*10,[1]Hugst!$R$4:$W$4,0))))</f>
        <v>0</v>
      </c>
      <c r="P127">
        <f>IF($C127-P$1&lt;År1,0,O126*(1-VLOOKUP($A127,[1]Hugst!$R$5:$W$9,MATCH(ROUNDUP((P$1)/10,0)*10,[1]Hugst!$R$4:$W$4,0))))</f>
        <v>0</v>
      </c>
      <c r="Q127">
        <f>IF($C127-Q$1&lt;År1,0,P126*(1-VLOOKUP($A127,[1]Hugst!$R$5:$W$9,MATCH(ROUNDUP((Q$1)/10,0)*10,[1]Hugst!$R$4:$W$4,0))))</f>
        <v>0</v>
      </c>
      <c r="R127">
        <f>IF($C127-R$1&lt;År1,0,Q126*(1-VLOOKUP($A127,[1]Hugst!$R$5:$W$9,MATCH(ROUNDUP((R$1)/10,0)*10,[1]Hugst!$R$4:$W$4,0))))</f>
        <v>0</v>
      </c>
      <c r="S127">
        <f>IF($C127-S$1&lt;År1,0,R126*(1-VLOOKUP($A127,[1]Hugst!$R$5:$W$9,MATCH(ROUNDUP((S$1)/10,0)*10,[1]Hugst!$R$4:$W$4,0))))</f>
        <v>0</v>
      </c>
      <c r="T127">
        <f>IF($C127-T$1&lt;År1,0,S126*(1-VLOOKUP($A127,[1]Hugst!$R$5:$W$9,MATCH(ROUNDUP((T$1)/10,0)*10,[1]Hugst!$R$4:$W$4,0))))</f>
        <v>0</v>
      </c>
      <c r="U127">
        <f>IF($C127-U$1&lt;År1,0,T126*(1-VLOOKUP($A127,[1]Hugst!$R$5:$W$9,MATCH(ROUNDUP((U$1)/10,0)*10,[1]Hugst!$R$4:$W$4,0))))</f>
        <v>0</v>
      </c>
      <c r="V127">
        <f>IF($C127-V$1&lt;År1,0,U126*(1-VLOOKUP($A127,[1]Hugst!$R$5:$W$9,MATCH(ROUNDUP((V$1)/10,0)*10,[1]Hugst!$R$4:$W$4,0))))</f>
        <v>0</v>
      </c>
      <c r="W127">
        <f>IF($C127-W$1&lt;År1,0,V126*(1-VLOOKUP($A127,[1]Hugst!$R$5:$W$9,MATCH(ROUNDUP((W$1)/10,0)*10,[1]Hugst!$R$4:$W$4,0))))</f>
        <v>0</v>
      </c>
      <c r="X127">
        <f>IF($C127-X$1&lt;År1,0,W126*(1-VLOOKUP($A127,[1]Hugst!$R$5:$W$9,MATCH(ROUNDUP((X$1)/10,0)*10,[1]Hugst!$R$4:$W$4,0))))</f>
        <v>0</v>
      </c>
      <c r="Y127">
        <f>IF($C127-Y$1&lt;År1,0,X126*(1-VLOOKUP($A127,[1]Hugst!$R$5:$W$9,MATCH(ROUNDUP((Y$1)/10,0)*10,[1]Hugst!$R$4:$W$4,0))))</f>
        <v>0</v>
      </c>
      <c r="Z127">
        <f>IF($C127-Z$1&lt;År1,0,Y126*(1-VLOOKUP($A127,[1]Hugst!$R$5:$W$9,MATCH(ROUNDUP((Z$1)/10,0)*10,[1]Hugst!$R$4:$W$4,0))))</f>
        <v>0</v>
      </c>
      <c r="AA127">
        <f>IF($C127-AA$1&lt;År1,0,Z126*(1-VLOOKUP($A127,[1]Hugst!$R$5:$W$9,MATCH(ROUNDUP((AA$1)/10,0)*10,[1]Hugst!$R$4:$W$4,0))))</f>
        <v>0</v>
      </c>
      <c r="AB127">
        <f>IF($C127-AB$1&lt;År1,0,AA126*(1-VLOOKUP($A127,[1]Hugst!$R$5:$W$9,MATCH(ROUNDUP((AB$1)/10,0)*10,[1]Hugst!$R$4:$W$4,0))))</f>
        <v>0</v>
      </c>
      <c r="AC127">
        <f>IF($C127-AC$1&lt;År1,0,AB126*(1-VLOOKUP($A127,[1]Hugst!$R$5:$W$9,MATCH(ROUNDUP((AC$1)/10,0)*10,[1]Hugst!$R$4:$W$4,0))))</f>
        <v>0</v>
      </c>
      <c r="AD127">
        <f>IF($C127-AD$1&lt;År1,0,AC126*(1-VLOOKUP($A127,[1]Hugst!$R$5:$W$9,MATCH(ROUNDUP((AD$1)/10,0)*10,[1]Hugst!$R$4:$W$4,0))))</f>
        <v>0</v>
      </c>
      <c r="AE127">
        <f>IF($C127-AE$1&lt;År1,0,AD126*(1-VLOOKUP($A127,[1]Hugst!$R$5:$W$9,MATCH(ROUNDUP((AE$1)/10,0)*10,[1]Hugst!$R$4:$W$4,0))))</f>
        <v>0</v>
      </c>
      <c r="AF127">
        <f>IF($C127-AF$1&lt;År1,0,AE126*(1-VLOOKUP($A127,[1]Hugst!$R$5:$W$9,MATCH(ROUNDUP((AF$1)/10,0)*10,[1]Hugst!$R$4:$W$4,0))))</f>
        <v>0</v>
      </c>
      <c r="AG127">
        <f>IF($C127-AG$1&lt;År1,0,AF126*(1-VLOOKUP($A127,[1]Hugst!$R$5:$W$9,MATCH(ROUNDUP((AG$1)/10,0)*10,[1]Hugst!$R$4:$W$4,0))))</f>
        <v>0</v>
      </c>
      <c r="AH127">
        <f>IF($C127-AH$1&lt;År1,0,AG126*(1-VLOOKUP($A127,[1]Hugst!$R$5:$W$9,MATCH(ROUNDUP((AH$1)/10,0)*10,[1]Hugst!$R$4:$W$4,0))))</f>
        <v>0</v>
      </c>
      <c r="AI127">
        <f>IF($C127-AI$1&lt;År1,0,AH126*(1-VLOOKUP($A127,[1]Hugst!$R$5:$W$9,MATCH(ROUNDUP((AI$1)/10,0)*10,[1]Hugst!$R$4:$W$4,0))))</f>
        <v>0</v>
      </c>
      <c r="AJ127">
        <f>IF($C127-AJ$1&lt;År1,0,AI126*(1-VLOOKUP($A127,[1]Hugst!$R$5:$W$9,MATCH(ROUNDUP((AJ$1)/10,0)*10,[1]Hugst!$R$4:$W$4,0))))</f>
        <v>0</v>
      </c>
      <c r="AL127">
        <f ca="1">SUM(AL64:AL126)</f>
        <v>630392.57650432887</v>
      </c>
    </row>
    <row r="128" spans="1:38" x14ac:dyDescent="0.25">
      <c r="A128" t="s">
        <v>178</v>
      </c>
      <c r="B128" t="s">
        <v>23</v>
      </c>
      <c r="C128">
        <v>2022</v>
      </c>
      <c r="D12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107.68118825496936</v>
      </c>
      <c r="E128">
        <f t="shared" ca="1" si="3"/>
        <v>0</v>
      </c>
      <c r="F12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363.44874031881761</v>
      </c>
      <c r="G128">
        <f ca="1">IF($C128-G$1&lt;År1,0,F127*(1-VLOOKUP($A128,[1]Hugst!$R$5:$W$9,MATCH(ROUNDUP((G$1)/10,0)*10,[1]Hugst!$R$4:$W$4,0))))</f>
        <v>363.98985181758314</v>
      </c>
      <c r="H128">
        <f ca="1">IF($C128-H$1&lt;År1,0,G127*(1-VLOOKUP($A128,[1]Hugst!$R$5:$W$9,MATCH(ROUNDUP((H$1)/10,0)*10,[1]Hugst!$R$4:$W$4,0))))</f>
        <v>364.53368246961463</v>
      </c>
      <c r="I128">
        <f>IF($C128-I$1&lt;År1,0,H127*(1-VLOOKUP($A128,[1]Hugst!$R$5:$W$9,MATCH(ROUNDUP((I$1)/10,0)*10,[1]Hugst!$R$4:$W$4,0))))</f>
        <v>0</v>
      </c>
      <c r="J128">
        <f>IF($C128-J$1&lt;År1,0,I127*(1-VLOOKUP($A128,[1]Hugst!$R$5:$W$9,MATCH(ROUNDUP((J$1)/10,0)*10,[1]Hugst!$R$4:$W$4,0))))</f>
        <v>0</v>
      </c>
      <c r="K128">
        <f>IF($C128-K$1&lt;År1,0,J127*(1-VLOOKUP($A128,[1]Hugst!$R$5:$W$9,MATCH(ROUNDUP((K$1)/10,0)*10,[1]Hugst!$R$4:$W$4,0))))</f>
        <v>0</v>
      </c>
      <c r="L128">
        <f>IF($C128-L$1&lt;År1,0,K127*(1-VLOOKUP($A128,[1]Hugst!$R$5:$W$9,MATCH(ROUNDUP((L$1)/10,0)*10,[1]Hugst!$R$4:$W$4,0))))</f>
        <v>0</v>
      </c>
      <c r="M128">
        <f>IF($C128-M$1&lt;År1,0,L127*(1-VLOOKUP($A128,[1]Hugst!$R$5:$W$9,MATCH(ROUNDUP((M$1)/10,0)*10,[1]Hugst!$R$4:$W$4,0))))</f>
        <v>0</v>
      </c>
      <c r="N128">
        <f>IF($C128-N$1&lt;År1,0,M127*(1-VLOOKUP($A128,[1]Hugst!$R$5:$W$9,MATCH(ROUNDUP((N$1)/10,0)*10,[1]Hugst!$R$4:$W$4,0))))</f>
        <v>0</v>
      </c>
      <c r="O128">
        <f>IF($C128-O$1&lt;År1,0,N127*(1-VLOOKUP($A128,[1]Hugst!$R$5:$W$9,MATCH(ROUNDUP((O$1)/10,0)*10,[1]Hugst!$R$4:$W$4,0))))</f>
        <v>0</v>
      </c>
      <c r="P128">
        <f>IF($C128-P$1&lt;År1,0,O127*(1-VLOOKUP($A128,[1]Hugst!$R$5:$W$9,MATCH(ROUNDUP((P$1)/10,0)*10,[1]Hugst!$R$4:$W$4,0))))</f>
        <v>0</v>
      </c>
      <c r="Q128">
        <f>IF($C128-Q$1&lt;År1,0,P127*(1-VLOOKUP($A128,[1]Hugst!$R$5:$W$9,MATCH(ROUNDUP((Q$1)/10,0)*10,[1]Hugst!$R$4:$W$4,0))))</f>
        <v>0</v>
      </c>
      <c r="R128">
        <f>IF($C128-R$1&lt;År1,0,Q127*(1-VLOOKUP($A128,[1]Hugst!$R$5:$W$9,MATCH(ROUNDUP((R$1)/10,0)*10,[1]Hugst!$R$4:$W$4,0))))</f>
        <v>0</v>
      </c>
      <c r="S128">
        <f>IF($C128-S$1&lt;År1,0,R127*(1-VLOOKUP($A128,[1]Hugst!$R$5:$W$9,MATCH(ROUNDUP((S$1)/10,0)*10,[1]Hugst!$R$4:$W$4,0))))</f>
        <v>0</v>
      </c>
      <c r="T128">
        <f>IF($C128-T$1&lt;År1,0,S127*(1-VLOOKUP($A128,[1]Hugst!$R$5:$W$9,MATCH(ROUNDUP((T$1)/10,0)*10,[1]Hugst!$R$4:$W$4,0))))</f>
        <v>0</v>
      </c>
      <c r="U128">
        <f>IF($C128-U$1&lt;År1,0,T127*(1-VLOOKUP($A128,[1]Hugst!$R$5:$W$9,MATCH(ROUNDUP((U$1)/10,0)*10,[1]Hugst!$R$4:$W$4,0))))</f>
        <v>0</v>
      </c>
      <c r="V128">
        <f>IF($C128-V$1&lt;År1,0,U127*(1-VLOOKUP($A128,[1]Hugst!$R$5:$W$9,MATCH(ROUNDUP((V$1)/10,0)*10,[1]Hugst!$R$4:$W$4,0))))</f>
        <v>0</v>
      </c>
      <c r="W128">
        <f>IF($C128-W$1&lt;År1,0,V127*(1-VLOOKUP($A128,[1]Hugst!$R$5:$W$9,MATCH(ROUNDUP((W$1)/10,0)*10,[1]Hugst!$R$4:$W$4,0))))</f>
        <v>0</v>
      </c>
      <c r="X128">
        <f>IF($C128-X$1&lt;År1,0,W127*(1-VLOOKUP($A128,[1]Hugst!$R$5:$W$9,MATCH(ROUNDUP((X$1)/10,0)*10,[1]Hugst!$R$4:$W$4,0))))</f>
        <v>0</v>
      </c>
      <c r="Y128">
        <f>IF($C128-Y$1&lt;År1,0,X127*(1-VLOOKUP($A128,[1]Hugst!$R$5:$W$9,MATCH(ROUNDUP((Y$1)/10,0)*10,[1]Hugst!$R$4:$W$4,0))))</f>
        <v>0</v>
      </c>
      <c r="Z128">
        <f>IF($C128-Z$1&lt;År1,0,Y127*(1-VLOOKUP($A128,[1]Hugst!$R$5:$W$9,MATCH(ROUNDUP((Z$1)/10,0)*10,[1]Hugst!$R$4:$W$4,0))))</f>
        <v>0</v>
      </c>
      <c r="AA128">
        <f>IF($C128-AA$1&lt;År1,0,Z127*(1-VLOOKUP($A128,[1]Hugst!$R$5:$W$9,MATCH(ROUNDUP((AA$1)/10,0)*10,[1]Hugst!$R$4:$W$4,0))))</f>
        <v>0</v>
      </c>
      <c r="AB128">
        <f>IF($C128-AB$1&lt;År1,0,AA127*(1-VLOOKUP($A128,[1]Hugst!$R$5:$W$9,MATCH(ROUNDUP((AB$1)/10,0)*10,[1]Hugst!$R$4:$W$4,0))))</f>
        <v>0</v>
      </c>
      <c r="AC128">
        <f>IF($C128-AC$1&lt;År1,0,AB127*(1-VLOOKUP($A128,[1]Hugst!$R$5:$W$9,MATCH(ROUNDUP((AC$1)/10,0)*10,[1]Hugst!$R$4:$W$4,0))))</f>
        <v>0</v>
      </c>
      <c r="AD128">
        <f>IF($C128-AD$1&lt;År1,0,AC127*(1-VLOOKUP($A128,[1]Hugst!$R$5:$W$9,MATCH(ROUNDUP((AD$1)/10,0)*10,[1]Hugst!$R$4:$W$4,0))))</f>
        <v>0</v>
      </c>
      <c r="AE128">
        <f>IF($C128-AE$1&lt;År1,0,AD127*(1-VLOOKUP($A128,[1]Hugst!$R$5:$W$9,MATCH(ROUNDUP((AE$1)/10,0)*10,[1]Hugst!$R$4:$W$4,0))))</f>
        <v>0</v>
      </c>
      <c r="AF128">
        <f>IF($C128-AF$1&lt;År1,0,AE127*(1-VLOOKUP($A128,[1]Hugst!$R$5:$W$9,MATCH(ROUNDUP((AF$1)/10,0)*10,[1]Hugst!$R$4:$W$4,0))))</f>
        <v>0</v>
      </c>
      <c r="AG128">
        <f>IF($C128-AG$1&lt;År1,0,AF127*(1-VLOOKUP($A128,[1]Hugst!$R$5:$W$9,MATCH(ROUNDUP((AG$1)/10,0)*10,[1]Hugst!$R$4:$W$4,0))))</f>
        <v>0</v>
      </c>
      <c r="AH128">
        <f>IF($C128-AH$1&lt;År1,0,AG127*(1-VLOOKUP($A128,[1]Hugst!$R$5:$W$9,MATCH(ROUNDUP((AH$1)/10,0)*10,[1]Hugst!$R$4:$W$4,0))))</f>
        <v>0</v>
      </c>
      <c r="AI128">
        <f>IF($C128-AI$1&lt;År1,0,AH127*(1-VLOOKUP($A128,[1]Hugst!$R$5:$W$9,MATCH(ROUNDUP((AI$1)/10,0)*10,[1]Hugst!$R$4:$W$4,0))))</f>
        <v>0</v>
      </c>
      <c r="AJ128">
        <f>IF($C128-AJ$1&lt;År1,0,AI127*(1-VLOOKUP($A128,[1]Hugst!$R$5:$W$9,MATCH(ROUNDUP((AJ$1)/10,0)*10,[1]Hugst!$R$4:$W$4,0))))</f>
        <v>0</v>
      </c>
    </row>
    <row r="129" spans="1:36" x14ac:dyDescent="0.25">
      <c r="A129" t="s">
        <v>178</v>
      </c>
      <c r="B129" t="s">
        <v>23</v>
      </c>
      <c r="C129">
        <v>2023</v>
      </c>
      <c r="D129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107.14278231369389</v>
      </c>
      <c r="E129">
        <f t="shared" ca="1" si="3"/>
        <v>0</v>
      </c>
      <c r="F12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362.9103343775422</v>
      </c>
      <c r="G129">
        <f ca="1">IF($C129-G$1&lt;År1,0,F128*(1-VLOOKUP($A129,[1]Hugst!$R$5:$W$9,MATCH(ROUNDUP((G$1)/10,0)*10,[1]Hugst!$R$4:$W$4,0))))</f>
        <v>363.44874031881761</v>
      </c>
      <c r="H129">
        <f ca="1">IF($C129-H$1&lt;År1,0,G128*(1-VLOOKUP($A129,[1]Hugst!$R$5:$W$9,MATCH(ROUNDUP((H$1)/10,0)*10,[1]Hugst!$R$4:$W$4,0))))</f>
        <v>363.98985181758314</v>
      </c>
      <c r="I129">
        <f ca="1">IF($C129-I$1&lt;År1,0,H128*(1-VLOOKUP($A129,[1]Hugst!$R$5:$W$9,MATCH(ROUNDUP((I$1)/10,0)*10,[1]Hugst!$R$4:$W$4,0))))</f>
        <v>364.53368246961463</v>
      </c>
      <c r="J129">
        <f>IF($C129-J$1&lt;År1,0,I128*(1-VLOOKUP($A129,[1]Hugst!$R$5:$W$9,MATCH(ROUNDUP((J$1)/10,0)*10,[1]Hugst!$R$4:$W$4,0))))</f>
        <v>0</v>
      </c>
      <c r="K129">
        <f>IF($C129-K$1&lt;År1,0,J128*(1-VLOOKUP($A129,[1]Hugst!$R$5:$W$9,MATCH(ROUNDUP((K$1)/10,0)*10,[1]Hugst!$R$4:$W$4,0))))</f>
        <v>0</v>
      </c>
      <c r="L129">
        <f>IF($C129-L$1&lt;År1,0,K128*(1-VLOOKUP($A129,[1]Hugst!$R$5:$W$9,MATCH(ROUNDUP((L$1)/10,0)*10,[1]Hugst!$R$4:$W$4,0))))</f>
        <v>0</v>
      </c>
      <c r="M129">
        <f>IF($C129-M$1&lt;År1,0,L128*(1-VLOOKUP($A129,[1]Hugst!$R$5:$W$9,MATCH(ROUNDUP((M$1)/10,0)*10,[1]Hugst!$R$4:$W$4,0))))</f>
        <v>0</v>
      </c>
      <c r="N129">
        <f>IF($C129-N$1&lt;År1,0,M128*(1-VLOOKUP($A129,[1]Hugst!$R$5:$W$9,MATCH(ROUNDUP((N$1)/10,0)*10,[1]Hugst!$R$4:$W$4,0))))</f>
        <v>0</v>
      </c>
      <c r="O129">
        <f>IF($C129-O$1&lt;År1,0,N128*(1-VLOOKUP($A129,[1]Hugst!$R$5:$W$9,MATCH(ROUNDUP((O$1)/10,0)*10,[1]Hugst!$R$4:$W$4,0))))</f>
        <v>0</v>
      </c>
      <c r="P129">
        <f>IF($C129-P$1&lt;År1,0,O128*(1-VLOOKUP($A129,[1]Hugst!$R$5:$W$9,MATCH(ROUNDUP((P$1)/10,0)*10,[1]Hugst!$R$4:$W$4,0))))</f>
        <v>0</v>
      </c>
      <c r="Q129">
        <f>IF($C129-Q$1&lt;År1,0,P128*(1-VLOOKUP($A129,[1]Hugst!$R$5:$W$9,MATCH(ROUNDUP((Q$1)/10,0)*10,[1]Hugst!$R$4:$W$4,0))))</f>
        <v>0</v>
      </c>
      <c r="R129">
        <f>IF($C129-R$1&lt;År1,0,Q128*(1-VLOOKUP($A129,[1]Hugst!$R$5:$W$9,MATCH(ROUNDUP((R$1)/10,0)*10,[1]Hugst!$R$4:$W$4,0))))</f>
        <v>0</v>
      </c>
      <c r="S129">
        <f>IF($C129-S$1&lt;År1,0,R128*(1-VLOOKUP($A129,[1]Hugst!$R$5:$W$9,MATCH(ROUNDUP((S$1)/10,0)*10,[1]Hugst!$R$4:$W$4,0))))</f>
        <v>0</v>
      </c>
      <c r="T129">
        <f>IF($C129-T$1&lt;År1,0,S128*(1-VLOOKUP($A129,[1]Hugst!$R$5:$W$9,MATCH(ROUNDUP((T$1)/10,0)*10,[1]Hugst!$R$4:$W$4,0))))</f>
        <v>0</v>
      </c>
      <c r="U129">
        <f>IF($C129-U$1&lt;År1,0,T128*(1-VLOOKUP($A129,[1]Hugst!$R$5:$W$9,MATCH(ROUNDUP((U$1)/10,0)*10,[1]Hugst!$R$4:$W$4,0))))</f>
        <v>0</v>
      </c>
      <c r="V129">
        <f>IF($C129-V$1&lt;År1,0,U128*(1-VLOOKUP($A129,[1]Hugst!$R$5:$W$9,MATCH(ROUNDUP((V$1)/10,0)*10,[1]Hugst!$R$4:$W$4,0))))</f>
        <v>0</v>
      </c>
      <c r="W129">
        <f>IF($C129-W$1&lt;År1,0,V128*(1-VLOOKUP($A129,[1]Hugst!$R$5:$W$9,MATCH(ROUNDUP((W$1)/10,0)*10,[1]Hugst!$R$4:$W$4,0))))</f>
        <v>0</v>
      </c>
      <c r="X129">
        <f>IF($C129-X$1&lt;År1,0,W128*(1-VLOOKUP($A129,[1]Hugst!$R$5:$W$9,MATCH(ROUNDUP((X$1)/10,0)*10,[1]Hugst!$R$4:$W$4,0))))</f>
        <v>0</v>
      </c>
      <c r="Y129">
        <f>IF($C129-Y$1&lt;År1,0,X128*(1-VLOOKUP($A129,[1]Hugst!$R$5:$W$9,MATCH(ROUNDUP((Y$1)/10,0)*10,[1]Hugst!$R$4:$W$4,0))))</f>
        <v>0</v>
      </c>
      <c r="Z129">
        <f>IF($C129-Z$1&lt;År1,0,Y128*(1-VLOOKUP($A129,[1]Hugst!$R$5:$W$9,MATCH(ROUNDUP((Z$1)/10,0)*10,[1]Hugst!$R$4:$W$4,0))))</f>
        <v>0</v>
      </c>
      <c r="AA129">
        <f>IF($C129-AA$1&lt;År1,0,Z128*(1-VLOOKUP($A129,[1]Hugst!$R$5:$W$9,MATCH(ROUNDUP((AA$1)/10,0)*10,[1]Hugst!$R$4:$W$4,0))))</f>
        <v>0</v>
      </c>
      <c r="AB129">
        <f>IF($C129-AB$1&lt;År1,0,AA128*(1-VLOOKUP($A129,[1]Hugst!$R$5:$W$9,MATCH(ROUNDUP((AB$1)/10,0)*10,[1]Hugst!$R$4:$W$4,0))))</f>
        <v>0</v>
      </c>
      <c r="AC129">
        <f>IF($C129-AC$1&lt;År1,0,AB128*(1-VLOOKUP($A129,[1]Hugst!$R$5:$W$9,MATCH(ROUNDUP((AC$1)/10,0)*10,[1]Hugst!$R$4:$W$4,0))))</f>
        <v>0</v>
      </c>
      <c r="AD129">
        <f>IF($C129-AD$1&lt;År1,0,AC128*(1-VLOOKUP($A129,[1]Hugst!$R$5:$W$9,MATCH(ROUNDUP((AD$1)/10,0)*10,[1]Hugst!$R$4:$W$4,0))))</f>
        <v>0</v>
      </c>
      <c r="AE129">
        <f>IF($C129-AE$1&lt;År1,0,AD128*(1-VLOOKUP($A129,[1]Hugst!$R$5:$W$9,MATCH(ROUNDUP((AE$1)/10,0)*10,[1]Hugst!$R$4:$W$4,0))))</f>
        <v>0</v>
      </c>
      <c r="AF129">
        <f>IF($C129-AF$1&lt;År1,0,AE128*(1-VLOOKUP($A129,[1]Hugst!$R$5:$W$9,MATCH(ROUNDUP((AF$1)/10,0)*10,[1]Hugst!$R$4:$W$4,0))))</f>
        <v>0</v>
      </c>
      <c r="AG129">
        <f>IF($C129-AG$1&lt;År1,0,AF128*(1-VLOOKUP($A129,[1]Hugst!$R$5:$W$9,MATCH(ROUNDUP((AG$1)/10,0)*10,[1]Hugst!$R$4:$W$4,0))))</f>
        <v>0</v>
      </c>
      <c r="AH129">
        <f>IF($C129-AH$1&lt;År1,0,AG128*(1-VLOOKUP($A129,[1]Hugst!$R$5:$W$9,MATCH(ROUNDUP((AH$1)/10,0)*10,[1]Hugst!$R$4:$W$4,0))))</f>
        <v>0</v>
      </c>
      <c r="AI129">
        <f>IF($C129-AI$1&lt;År1,0,AH128*(1-VLOOKUP($A129,[1]Hugst!$R$5:$W$9,MATCH(ROUNDUP((AI$1)/10,0)*10,[1]Hugst!$R$4:$W$4,0))))</f>
        <v>0</v>
      </c>
      <c r="AJ129">
        <f>IF($C129-AJ$1&lt;År1,0,AI128*(1-VLOOKUP($A129,[1]Hugst!$R$5:$W$9,MATCH(ROUNDUP((AJ$1)/10,0)*10,[1]Hugst!$R$4:$W$4,0))))</f>
        <v>0</v>
      </c>
    </row>
    <row r="130" spans="1:36" x14ac:dyDescent="0.25">
      <c r="A130" t="s">
        <v>178</v>
      </c>
      <c r="B130" t="s">
        <v>23</v>
      </c>
      <c r="C130">
        <v>2024</v>
      </c>
      <c r="D130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106.60706840212509</v>
      </c>
      <c r="E130">
        <f t="shared" ca="1" si="3"/>
        <v>0</v>
      </c>
      <c r="F130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362.37462046597341</v>
      </c>
      <c r="G130">
        <f ca="1">IF($C130-G$1&lt;År1,0,F129*(1-VLOOKUP($A130,[1]Hugst!$R$5:$W$9,MATCH(ROUNDUP((G$1)/10,0)*10,[1]Hugst!$R$4:$W$4,0))))</f>
        <v>362.9103343775422</v>
      </c>
      <c r="H130">
        <f ca="1">IF($C130-H$1&lt;År1,0,G129*(1-VLOOKUP($A130,[1]Hugst!$R$5:$W$9,MATCH(ROUNDUP((H$1)/10,0)*10,[1]Hugst!$R$4:$W$4,0))))</f>
        <v>363.44874031881761</v>
      </c>
      <c r="I130">
        <f ca="1">IF($C130-I$1&lt;År1,0,H129*(1-VLOOKUP($A130,[1]Hugst!$R$5:$W$9,MATCH(ROUNDUP((I$1)/10,0)*10,[1]Hugst!$R$4:$W$4,0))))</f>
        <v>363.98985181758314</v>
      </c>
      <c r="J130">
        <f ca="1">IF($C130-J$1&lt;År1,0,I129*(1-VLOOKUP($A130,[1]Hugst!$R$5:$W$9,MATCH(ROUNDUP((J$1)/10,0)*10,[1]Hugst!$R$4:$W$4,0))))</f>
        <v>364.53368246961463</v>
      </c>
      <c r="K130">
        <f>IF($C130-K$1&lt;År1,0,J129*(1-VLOOKUP($A130,[1]Hugst!$R$5:$W$9,MATCH(ROUNDUP((K$1)/10,0)*10,[1]Hugst!$R$4:$W$4,0))))</f>
        <v>0</v>
      </c>
      <c r="L130">
        <f>IF($C130-L$1&lt;År1,0,K129*(1-VLOOKUP($A130,[1]Hugst!$R$5:$W$9,MATCH(ROUNDUP((L$1)/10,0)*10,[1]Hugst!$R$4:$W$4,0))))</f>
        <v>0</v>
      </c>
      <c r="M130">
        <f>IF($C130-M$1&lt;År1,0,L129*(1-VLOOKUP($A130,[1]Hugst!$R$5:$W$9,MATCH(ROUNDUP((M$1)/10,0)*10,[1]Hugst!$R$4:$W$4,0))))</f>
        <v>0</v>
      </c>
      <c r="N130">
        <f>IF($C130-N$1&lt;År1,0,M129*(1-VLOOKUP($A130,[1]Hugst!$R$5:$W$9,MATCH(ROUNDUP((N$1)/10,0)*10,[1]Hugst!$R$4:$W$4,0))))</f>
        <v>0</v>
      </c>
      <c r="O130">
        <f>IF($C130-O$1&lt;År1,0,N129*(1-VLOOKUP($A130,[1]Hugst!$R$5:$W$9,MATCH(ROUNDUP((O$1)/10,0)*10,[1]Hugst!$R$4:$W$4,0))))</f>
        <v>0</v>
      </c>
      <c r="P130">
        <f>IF($C130-P$1&lt;År1,0,O129*(1-VLOOKUP($A130,[1]Hugst!$R$5:$W$9,MATCH(ROUNDUP((P$1)/10,0)*10,[1]Hugst!$R$4:$W$4,0))))</f>
        <v>0</v>
      </c>
      <c r="Q130">
        <f>IF($C130-Q$1&lt;År1,0,P129*(1-VLOOKUP($A130,[1]Hugst!$R$5:$W$9,MATCH(ROUNDUP((Q$1)/10,0)*10,[1]Hugst!$R$4:$W$4,0))))</f>
        <v>0</v>
      </c>
      <c r="R130">
        <f>IF($C130-R$1&lt;År1,0,Q129*(1-VLOOKUP($A130,[1]Hugst!$R$5:$W$9,MATCH(ROUNDUP((R$1)/10,0)*10,[1]Hugst!$R$4:$W$4,0))))</f>
        <v>0</v>
      </c>
      <c r="S130">
        <f>IF($C130-S$1&lt;År1,0,R129*(1-VLOOKUP($A130,[1]Hugst!$R$5:$W$9,MATCH(ROUNDUP((S$1)/10,0)*10,[1]Hugst!$R$4:$W$4,0))))</f>
        <v>0</v>
      </c>
      <c r="T130">
        <f>IF($C130-T$1&lt;År1,0,S129*(1-VLOOKUP($A130,[1]Hugst!$R$5:$W$9,MATCH(ROUNDUP((T$1)/10,0)*10,[1]Hugst!$R$4:$W$4,0))))</f>
        <v>0</v>
      </c>
      <c r="U130">
        <f>IF($C130-U$1&lt;År1,0,T129*(1-VLOOKUP($A130,[1]Hugst!$R$5:$W$9,MATCH(ROUNDUP((U$1)/10,0)*10,[1]Hugst!$R$4:$W$4,0))))</f>
        <v>0</v>
      </c>
      <c r="V130">
        <f>IF($C130-V$1&lt;År1,0,U129*(1-VLOOKUP($A130,[1]Hugst!$R$5:$W$9,MATCH(ROUNDUP((V$1)/10,0)*10,[1]Hugst!$R$4:$W$4,0))))</f>
        <v>0</v>
      </c>
      <c r="W130">
        <f>IF($C130-W$1&lt;År1,0,V129*(1-VLOOKUP($A130,[1]Hugst!$R$5:$W$9,MATCH(ROUNDUP((W$1)/10,0)*10,[1]Hugst!$R$4:$W$4,0))))</f>
        <v>0</v>
      </c>
      <c r="X130">
        <f>IF($C130-X$1&lt;År1,0,W129*(1-VLOOKUP($A130,[1]Hugst!$R$5:$W$9,MATCH(ROUNDUP((X$1)/10,0)*10,[1]Hugst!$R$4:$W$4,0))))</f>
        <v>0</v>
      </c>
      <c r="Y130">
        <f>IF($C130-Y$1&lt;År1,0,X129*(1-VLOOKUP($A130,[1]Hugst!$R$5:$W$9,MATCH(ROUNDUP((Y$1)/10,0)*10,[1]Hugst!$R$4:$W$4,0))))</f>
        <v>0</v>
      </c>
      <c r="Z130">
        <f>IF($C130-Z$1&lt;År1,0,Y129*(1-VLOOKUP($A130,[1]Hugst!$R$5:$W$9,MATCH(ROUNDUP((Z$1)/10,0)*10,[1]Hugst!$R$4:$W$4,0))))</f>
        <v>0</v>
      </c>
      <c r="AA130">
        <f>IF($C130-AA$1&lt;År1,0,Z129*(1-VLOOKUP($A130,[1]Hugst!$R$5:$W$9,MATCH(ROUNDUP((AA$1)/10,0)*10,[1]Hugst!$R$4:$W$4,0))))</f>
        <v>0</v>
      </c>
      <c r="AB130">
        <f>IF($C130-AB$1&lt;År1,0,AA129*(1-VLOOKUP($A130,[1]Hugst!$R$5:$W$9,MATCH(ROUNDUP((AB$1)/10,0)*10,[1]Hugst!$R$4:$W$4,0))))</f>
        <v>0</v>
      </c>
      <c r="AC130">
        <f>IF($C130-AC$1&lt;År1,0,AB129*(1-VLOOKUP($A130,[1]Hugst!$R$5:$W$9,MATCH(ROUNDUP((AC$1)/10,0)*10,[1]Hugst!$R$4:$W$4,0))))</f>
        <v>0</v>
      </c>
      <c r="AD130">
        <f>IF($C130-AD$1&lt;År1,0,AC129*(1-VLOOKUP($A130,[1]Hugst!$R$5:$W$9,MATCH(ROUNDUP((AD$1)/10,0)*10,[1]Hugst!$R$4:$W$4,0))))</f>
        <v>0</v>
      </c>
      <c r="AE130">
        <f>IF($C130-AE$1&lt;År1,0,AD129*(1-VLOOKUP($A130,[1]Hugst!$R$5:$W$9,MATCH(ROUNDUP((AE$1)/10,0)*10,[1]Hugst!$R$4:$W$4,0))))</f>
        <v>0</v>
      </c>
      <c r="AF130">
        <f>IF($C130-AF$1&lt;År1,0,AE129*(1-VLOOKUP($A130,[1]Hugst!$R$5:$W$9,MATCH(ROUNDUP((AF$1)/10,0)*10,[1]Hugst!$R$4:$W$4,0))))</f>
        <v>0</v>
      </c>
      <c r="AG130">
        <f>IF($C130-AG$1&lt;År1,0,AF129*(1-VLOOKUP($A130,[1]Hugst!$R$5:$W$9,MATCH(ROUNDUP((AG$1)/10,0)*10,[1]Hugst!$R$4:$W$4,0))))</f>
        <v>0</v>
      </c>
      <c r="AH130">
        <f>IF($C130-AH$1&lt;År1,0,AG129*(1-VLOOKUP($A130,[1]Hugst!$R$5:$W$9,MATCH(ROUNDUP((AH$1)/10,0)*10,[1]Hugst!$R$4:$W$4,0))))</f>
        <v>0</v>
      </c>
      <c r="AI130">
        <f>IF($C130-AI$1&lt;År1,0,AH129*(1-VLOOKUP($A130,[1]Hugst!$R$5:$W$9,MATCH(ROUNDUP((AI$1)/10,0)*10,[1]Hugst!$R$4:$W$4,0))))</f>
        <v>0</v>
      </c>
      <c r="AJ130">
        <f>IF($C130-AJ$1&lt;År1,0,AI129*(1-VLOOKUP($A130,[1]Hugst!$R$5:$W$9,MATCH(ROUNDUP((AJ$1)/10,0)*10,[1]Hugst!$R$4:$W$4,0))))</f>
        <v>0</v>
      </c>
    </row>
    <row r="131" spans="1:36" x14ac:dyDescent="0.25">
      <c r="A131" t="s">
        <v>178</v>
      </c>
      <c r="B131" t="s">
        <v>23</v>
      </c>
      <c r="C131">
        <v>2025</v>
      </c>
      <c r="D131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106.07403306011406</v>
      </c>
      <c r="E131">
        <f t="shared" ca="1" si="3"/>
        <v>0</v>
      </c>
      <c r="F131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361.84158512396232</v>
      </c>
      <c r="G131">
        <f ca="1">IF($C131-G$1&lt;År1,0,F130*(1-VLOOKUP($A131,[1]Hugst!$R$5:$W$9,MATCH(ROUNDUP((G$1)/10,0)*10,[1]Hugst!$R$4:$W$4,0))))</f>
        <v>362.37462046597341</v>
      </c>
      <c r="H131">
        <f ca="1">IF($C131-H$1&lt;År1,0,G130*(1-VLOOKUP($A131,[1]Hugst!$R$5:$W$9,MATCH(ROUNDUP((H$1)/10,0)*10,[1]Hugst!$R$4:$W$4,0))))</f>
        <v>362.9103343775422</v>
      </c>
      <c r="I131">
        <f ca="1">IF($C131-I$1&lt;År1,0,H130*(1-VLOOKUP($A131,[1]Hugst!$R$5:$W$9,MATCH(ROUNDUP((I$1)/10,0)*10,[1]Hugst!$R$4:$W$4,0))))</f>
        <v>363.44874031881761</v>
      </c>
      <c r="J131">
        <f ca="1">IF($C131-J$1&lt;År1,0,I130*(1-VLOOKUP($A131,[1]Hugst!$R$5:$W$9,MATCH(ROUNDUP((J$1)/10,0)*10,[1]Hugst!$R$4:$W$4,0))))</f>
        <v>363.98985181758314</v>
      </c>
      <c r="K131">
        <f ca="1">IF($C131-K$1&lt;År1,0,J130*(1-VLOOKUP($A131,[1]Hugst!$R$5:$W$9,MATCH(ROUNDUP((K$1)/10,0)*10,[1]Hugst!$R$4:$W$4,0))))</f>
        <v>364.53368246961463</v>
      </c>
      <c r="L131">
        <f>IF($C131-L$1&lt;År1,0,K130*(1-VLOOKUP($A131,[1]Hugst!$R$5:$W$9,MATCH(ROUNDUP((L$1)/10,0)*10,[1]Hugst!$R$4:$W$4,0))))</f>
        <v>0</v>
      </c>
      <c r="M131">
        <f>IF($C131-M$1&lt;År1,0,L130*(1-VLOOKUP($A131,[1]Hugst!$R$5:$W$9,MATCH(ROUNDUP((M$1)/10,0)*10,[1]Hugst!$R$4:$W$4,0))))</f>
        <v>0</v>
      </c>
      <c r="N131">
        <f>IF($C131-N$1&lt;År1,0,M130*(1-VLOOKUP($A131,[1]Hugst!$R$5:$W$9,MATCH(ROUNDUP((N$1)/10,0)*10,[1]Hugst!$R$4:$W$4,0))))</f>
        <v>0</v>
      </c>
      <c r="O131">
        <f>IF($C131-O$1&lt;År1,0,N130*(1-VLOOKUP($A131,[1]Hugst!$R$5:$W$9,MATCH(ROUNDUP((O$1)/10,0)*10,[1]Hugst!$R$4:$W$4,0))))</f>
        <v>0</v>
      </c>
      <c r="P131">
        <f>IF($C131-P$1&lt;År1,0,O130*(1-VLOOKUP($A131,[1]Hugst!$R$5:$W$9,MATCH(ROUNDUP((P$1)/10,0)*10,[1]Hugst!$R$4:$W$4,0))))</f>
        <v>0</v>
      </c>
      <c r="Q131">
        <f>IF($C131-Q$1&lt;År1,0,P130*(1-VLOOKUP($A131,[1]Hugst!$R$5:$W$9,MATCH(ROUNDUP((Q$1)/10,0)*10,[1]Hugst!$R$4:$W$4,0))))</f>
        <v>0</v>
      </c>
      <c r="R131">
        <f>IF($C131-R$1&lt;År1,0,Q130*(1-VLOOKUP($A131,[1]Hugst!$R$5:$W$9,MATCH(ROUNDUP((R$1)/10,0)*10,[1]Hugst!$R$4:$W$4,0))))</f>
        <v>0</v>
      </c>
      <c r="S131">
        <f>IF($C131-S$1&lt;År1,0,R130*(1-VLOOKUP($A131,[1]Hugst!$R$5:$W$9,MATCH(ROUNDUP((S$1)/10,0)*10,[1]Hugst!$R$4:$W$4,0))))</f>
        <v>0</v>
      </c>
      <c r="T131">
        <f>IF($C131-T$1&lt;År1,0,S130*(1-VLOOKUP($A131,[1]Hugst!$R$5:$W$9,MATCH(ROUNDUP((T$1)/10,0)*10,[1]Hugst!$R$4:$W$4,0))))</f>
        <v>0</v>
      </c>
      <c r="U131">
        <f>IF($C131-U$1&lt;År1,0,T130*(1-VLOOKUP($A131,[1]Hugst!$R$5:$W$9,MATCH(ROUNDUP((U$1)/10,0)*10,[1]Hugst!$R$4:$W$4,0))))</f>
        <v>0</v>
      </c>
      <c r="V131">
        <f>IF($C131-V$1&lt;År1,0,U130*(1-VLOOKUP($A131,[1]Hugst!$R$5:$W$9,MATCH(ROUNDUP((V$1)/10,0)*10,[1]Hugst!$R$4:$W$4,0))))</f>
        <v>0</v>
      </c>
      <c r="W131">
        <f>IF($C131-W$1&lt;År1,0,V130*(1-VLOOKUP($A131,[1]Hugst!$R$5:$W$9,MATCH(ROUNDUP((W$1)/10,0)*10,[1]Hugst!$R$4:$W$4,0))))</f>
        <v>0</v>
      </c>
      <c r="X131">
        <f>IF($C131-X$1&lt;År1,0,W130*(1-VLOOKUP($A131,[1]Hugst!$R$5:$W$9,MATCH(ROUNDUP((X$1)/10,0)*10,[1]Hugst!$R$4:$W$4,0))))</f>
        <v>0</v>
      </c>
      <c r="Y131">
        <f>IF($C131-Y$1&lt;År1,0,X130*(1-VLOOKUP($A131,[1]Hugst!$R$5:$W$9,MATCH(ROUNDUP((Y$1)/10,0)*10,[1]Hugst!$R$4:$W$4,0))))</f>
        <v>0</v>
      </c>
      <c r="Z131">
        <f>IF($C131-Z$1&lt;År1,0,Y130*(1-VLOOKUP($A131,[1]Hugst!$R$5:$W$9,MATCH(ROUNDUP((Z$1)/10,0)*10,[1]Hugst!$R$4:$W$4,0))))</f>
        <v>0</v>
      </c>
      <c r="AA131">
        <f>IF($C131-AA$1&lt;År1,0,Z130*(1-VLOOKUP($A131,[1]Hugst!$R$5:$W$9,MATCH(ROUNDUP((AA$1)/10,0)*10,[1]Hugst!$R$4:$W$4,0))))</f>
        <v>0</v>
      </c>
      <c r="AB131">
        <f>IF($C131-AB$1&lt;År1,0,AA130*(1-VLOOKUP($A131,[1]Hugst!$R$5:$W$9,MATCH(ROUNDUP((AB$1)/10,0)*10,[1]Hugst!$R$4:$W$4,0))))</f>
        <v>0</v>
      </c>
      <c r="AC131">
        <f>IF($C131-AC$1&lt;År1,0,AB130*(1-VLOOKUP($A131,[1]Hugst!$R$5:$W$9,MATCH(ROUNDUP((AC$1)/10,0)*10,[1]Hugst!$R$4:$W$4,0))))</f>
        <v>0</v>
      </c>
      <c r="AD131">
        <f>IF($C131-AD$1&lt;År1,0,AC130*(1-VLOOKUP($A131,[1]Hugst!$R$5:$W$9,MATCH(ROUNDUP((AD$1)/10,0)*10,[1]Hugst!$R$4:$W$4,0))))</f>
        <v>0</v>
      </c>
      <c r="AE131">
        <f>IF($C131-AE$1&lt;År1,0,AD130*(1-VLOOKUP($A131,[1]Hugst!$R$5:$W$9,MATCH(ROUNDUP((AE$1)/10,0)*10,[1]Hugst!$R$4:$W$4,0))))</f>
        <v>0</v>
      </c>
      <c r="AF131">
        <f>IF($C131-AF$1&lt;År1,0,AE130*(1-VLOOKUP($A131,[1]Hugst!$R$5:$W$9,MATCH(ROUNDUP((AF$1)/10,0)*10,[1]Hugst!$R$4:$W$4,0))))</f>
        <v>0</v>
      </c>
      <c r="AG131">
        <f>IF($C131-AG$1&lt;År1,0,AF130*(1-VLOOKUP($A131,[1]Hugst!$R$5:$W$9,MATCH(ROUNDUP((AG$1)/10,0)*10,[1]Hugst!$R$4:$W$4,0))))</f>
        <v>0</v>
      </c>
      <c r="AH131">
        <f>IF($C131-AH$1&lt;År1,0,AG130*(1-VLOOKUP($A131,[1]Hugst!$R$5:$W$9,MATCH(ROUNDUP((AH$1)/10,0)*10,[1]Hugst!$R$4:$W$4,0))))</f>
        <v>0</v>
      </c>
      <c r="AI131">
        <f>IF($C131-AI$1&lt;År1,0,AH130*(1-VLOOKUP($A131,[1]Hugst!$R$5:$W$9,MATCH(ROUNDUP((AI$1)/10,0)*10,[1]Hugst!$R$4:$W$4,0))))</f>
        <v>0</v>
      </c>
      <c r="AJ131">
        <f>IF($C131-AJ$1&lt;År1,0,AI130*(1-VLOOKUP($A131,[1]Hugst!$R$5:$W$9,MATCH(ROUNDUP((AJ$1)/10,0)*10,[1]Hugst!$R$4:$W$4,0))))</f>
        <v>0</v>
      </c>
    </row>
    <row r="132" spans="1:36" x14ac:dyDescent="0.25">
      <c r="A132" t="s">
        <v>178</v>
      </c>
      <c r="B132" t="s">
        <v>23</v>
      </c>
      <c r="C132">
        <v>2026</v>
      </c>
      <c r="D132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105.54366289481402</v>
      </c>
      <c r="E132">
        <f t="shared" ca="1" si="3"/>
        <v>0</v>
      </c>
      <c r="F132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361.31121495866228</v>
      </c>
      <c r="G132">
        <f ca="1">IF($C132-G$1&lt;År1,0,F131*(1-VLOOKUP($A132,[1]Hugst!$R$5:$W$9,MATCH(ROUNDUP((G$1)/10,0)*10,[1]Hugst!$R$4:$W$4,0))))</f>
        <v>361.84158512396232</v>
      </c>
      <c r="H132">
        <f ca="1">IF($C132-H$1&lt;År1,0,G131*(1-VLOOKUP($A132,[1]Hugst!$R$5:$W$9,MATCH(ROUNDUP((H$1)/10,0)*10,[1]Hugst!$R$4:$W$4,0))))</f>
        <v>362.37462046597341</v>
      </c>
      <c r="I132">
        <f ca="1">IF($C132-I$1&lt;År1,0,H131*(1-VLOOKUP($A132,[1]Hugst!$R$5:$W$9,MATCH(ROUNDUP((I$1)/10,0)*10,[1]Hugst!$R$4:$W$4,0))))</f>
        <v>362.9103343775422</v>
      </c>
      <c r="J132">
        <f ca="1">IF($C132-J$1&lt;År1,0,I131*(1-VLOOKUP($A132,[1]Hugst!$R$5:$W$9,MATCH(ROUNDUP((J$1)/10,0)*10,[1]Hugst!$R$4:$W$4,0))))</f>
        <v>363.44874031881761</v>
      </c>
      <c r="K132">
        <f ca="1">IF($C132-K$1&lt;År1,0,J131*(1-VLOOKUP($A132,[1]Hugst!$R$5:$W$9,MATCH(ROUNDUP((K$1)/10,0)*10,[1]Hugst!$R$4:$W$4,0))))</f>
        <v>363.98985181758314</v>
      </c>
      <c r="L132">
        <f ca="1">IF($C132-L$1&lt;År1,0,K131*(1-VLOOKUP($A132,[1]Hugst!$R$5:$W$9,MATCH(ROUNDUP((L$1)/10,0)*10,[1]Hugst!$R$4:$W$4,0))))</f>
        <v>364.53368246961463</v>
      </c>
      <c r="M132">
        <f>IF($C132-M$1&lt;År1,0,L131*(1-VLOOKUP($A132,[1]Hugst!$R$5:$W$9,MATCH(ROUNDUP((M$1)/10,0)*10,[1]Hugst!$R$4:$W$4,0))))</f>
        <v>0</v>
      </c>
      <c r="N132">
        <f>IF($C132-N$1&lt;År1,0,M131*(1-VLOOKUP($A132,[1]Hugst!$R$5:$W$9,MATCH(ROUNDUP((N$1)/10,0)*10,[1]Hugst!$R$4:$W$4,0))))</f>
        <v>0</v>
      </c>
      <c r="O132">
        <f>IF($C132-O$1&lt;År1,0,N131*(1-VLOOKUP($A132,[1]Hugst!$R$5:$W$9,MATCH(ROUNDUP((O$1)/10,0)*10,[1]Hugst!$R$4:$W$4,0))))</f>
        <v>0</v>
      </c>
      <c r="P132">
        <f>IF($C132-P$1&lt;År1,0,O131*(1-VLOOKUP($A132,[1]Hugst!$R$5:$W$9,MATCH(ROUNDUP((P$1)/10,0)*10,[1]Hugst!$R$4:$W$4,0))))</f>
        <v>0</v>
      </c>
      <c r="Q132">
        <f>IF($C132-Q$1&lt;År1,0,P131*(1-VLOOKUP($A132,[1]Hugst!$R$5:$W$9,MATCH(ROUNDUP((Q$1)/10,0)*10,[1]Hugst!$R$4:$W$4,0))))</f>
        <v>0</v>
      </c>
      <c r="R132">
        <f>IF($C132-R$1&lt;År1,0,Q131*(1-VLOOKUP($A132,[1]Hugst!$R$5:$W$9,MATCH(ROUNDUP((R$1)/10,0)*10,[1]Hugst!$R$4:$W$4,0))))</f>
        <v>0</v>
      </c>
      <c r="S132">
        <f>IF($C132-S$1&lt;År1,0,R131*(1-VLOOKUP($A132,[1]Hugst!$R$5:$W$9,MATCH(ROUNDUP((S$1)/10,0)*10,[1]Hugst!$R$4:$W$4,0))))</f>
        <v>0</v>
      </c>
      <c r="T132">
        <f>IF($C132-T$1&lt;År1,0,S131*(1-VLOOKUP($A132,[1]Hugst!$R$5:$W$9,MATCH(ROUNDUP((T$1)/10,0)*10,[1]Hugst!$R$4:$W$4,0))))</f>
        <v>0</v>
      </c>
      <c r="U132">
        <f>IF($C132-U$1&lt;År1,0,T131*(1-VLOOKUP($A132,[1]Hugst!$R$5:$W$9,MATCH(ROUNDUP((U$1)/10,0)*10,[1]Hugst!$R$4:$W$4,0))))</f>
        <v>0</v>
      </c>
      <c r="V132">
        <f>IF($C132-V$1&lt;År1,0,U131*(1-VLOOKUP($A132,[1]Hugst!$R$5:$W$9,MATCH(ROUNDUP((V$1)/10,0)*10,[1]Hugst!$R$4:$W$4,0))))</f>
        <v>0</v>
      </c>
      <c r="W132">
        <f>IF($C132-W$1&lt;År1,0,V131*(1-VLOOKUP($A132,[1]Hugst!$R$5:$W$9,MATCH(ROUNDUP((W$1)/10,0)*10,[1]Hugst!$R$4:$W$4,0))))</f>
        <v>0</v>
      </c>
      <c r="X132">
        <f>IF($C132-X$1&lt;År1,0,W131*(1-VLOOKUP($A132,[1]Hugst!$R$5:$W$9,MATCH(ROUNDUP((X$1)/10,0)*10,[1]Hugst!$R$4:$W$4,0))))</f>
        <v>0</v>
      </c>
      <c r="Y132">
        <f>IF($C132-Y$1&lt;År1,0,X131*(1-VLOOKUP($A132,[1]Hugst!$R$5:$W$9,MATCH(ROUNDUP((Y$1)/10,0)*10,[1]Hugst!$R$4:$W$4,0))))</f>
        <v>0</v>
      </c>
      <c r="Z132">
        <f>IF($C132-Z$1&lt;År1,0,Y131*(1-VLOOKUP($A132,[1]Hugst!$R$5:$W$9,MATCH(ROUNDUP((Z$1)/10,0)*10,[1]Hugst!$R$4:$W$4,0))))</f>
        <v>0</v>
      </c>
      <c r="AA132">
        <f>IF($C132-AA$1&lt;År1,0,Z131*(1-VLOOKUP($A132,[1]Hugst!$R$5:$W$9,MATCH(ROUNDUP((AA$1)/10,0)*10,[1]Hugst!$R$4:$W$4,0))))</f>
        <v>0</v>
      </c>
      <c r="AB132">
        <f>IF($C132-AB$1&lt;År1,0,AA131*(1-VLOOKUP($A132,[1]Hugst!$R$5:$W$9,MATCH(ROUNDUP((AB$1)/10,0)*10,[1]Hugst!$R$4:$W$4,0))))</f>
        <v>0</v>
      </c>
      <c r="AC132">
        <f>IF($C132-AC$1&lt;År1,0,AB131*(1-VLOOKUP($A132,[1]Hugst!$R$5:$W$9,MATCH(ROUNDUP((AC$1)/10,0)*10,[1]Hugst!$R$4:$W$4,0))))</f>
        <v>0</v>
      </c>
      <c r="AD132">
        <f>IF($C132-AD$1&lt;År1,0,AC131*(1-VLOOKUP($A132,[1]Hugst!$R$5:$W$9,MATCH(ROUNDUP((AD$1)/10,0)*10,[1]Hugst!$R$4:$W$4,0))))</f>
        <v>0</v>
      </c>
      <c r="AE132">
        <f>IF($C132-AE$1&lt;År1,0,AD131*(1-VLOOKUP($A132,[1]Hugst!$R$5:$W$9,MATCH(ROUNDUP((AE$1)/10,0)*10,[1]Hugst!$R$4:$W$4,0))))</f>
        <v>0</v>
      </c>
      <c r="AF132">
        <f>IF($C132-AF$1&lt;År1,0,AE131*(1-VLOOKUP($A132,[1]Hugst!$R$5:$W$9,MATCH(ROUNDUP((AF$1)/10,0)*10,[1]Hugst!$R$4:$W$4,0))))</f>
        <v>0</v>
      </c>
      <c r="AG132">
        <f>IF($C132-AG$1&lt;År1,0,AF131*(1-VLOOKUP($A132,[1]Hugst!$R$5:$W$9,MATCH(ROUNDUP((AG$1)/10,0)*10,[1]Hugst!$R$4:$W$4,0))))</f>
        <v>0</v>
      </c>
      <c r="AH132">
        <f>IF($C132-AH$1&lt;År1,0,AG131*(1-VLOOKUP($A132,[1]Hugst!$R$5:$W$9,MATCH(ROUNDUP((AH$1)/10,0)*10,[1]Hugst!$R$4:$W$4,0))))</f>
        <v>0</v>
      </c>
      <c r="AI132">
        <f>IF($C132-AI$1&lt;År1,0,AH131*(1-VLOOKUP($A132,[1]Hugst!$R$5:$W$9,MATCH(ROUNDUP((AI$1)/10,0)*10,[1]Hugst!$R$4:$W$4,0))))</f>
        <v>0</v>
      </c>
      <c r="AJ132">
        <f>IF($C132-AJ$1&lt;År1,0,AI131*(1-VLOOKUP($A132,[1]Hugst!$R$5:$W$9,MATCH(ROUNDUP((AJ$1)/10,0)*10,[1]Hugst!$R$4:$W$4,0))))</f>
        <v>0</v>
      </c>
    </row>
    <row r="133" spans="1:36" x14ac:dyDescent="0.25">
      <c r="A133" t="s">
        <v>178</v>
      </c>
      <c r="B133" t="s">
        <v>23</v>
      </c>
      <c r="C133">
        <v>2027</v>
      </c>
      <c r="D133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105.01594458034094</v>
      </c>
      <c r="E133">
        <f t="shared" ca="1" si="3"/>
        <v>0</v>
      </c>
      <c r="F133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360.7834966441892</v>
      </c>
      <c r="G133">
        <f ca="1">IF($C133-G$1&lt;År1,0,F132*(1-VLOOKUP($A133,[1]Hugst!$R$5:$W$9,MATCH(ROUNDUP((G$1)/10,0)*10,[1]Hugst!$R$4:$W$4,0))))</f>
        <v>361.31121495866228</v>
      </c>
      <c r="H133">
        <f ca="1">IF($C133-H$1&lt;År1,0,G132*(1-VLOOKUP($A133,[1]Hugst!$R$5:$W$9,MATCH(ROUNDUP((H$1)/10,0)*10,[1]Hugst!$R$4:$W$4,0))))</f>
        <v>361.84158512396232</v>
      </c>
      <c r="I133">
        <f ca="1">IF($C133-I$1&lt;År1,0,H132*(1-VLOOKUP($A133,[1]Hugst!$R$5:$W$9,MATCH(ROUNDUP((I$1)/10,0)*10,[1]Hugst!$R$4:$W$4,0))))</f>
        <v>362.37462046597341</v>
      </c>
      <c r="J133">
        <f ca="1">IF($C133-J$1&lt;År1,0,I132*(1-VLOOKUP($A133,[1]Hugst!$R$5:$W$9,MATCH(ROUNDUP((J$1)/10,0)*10,[1]Hugst!$R$4:$W$4,0))))</f>
        <v>362.9103343775422</v>
      </c>
      <c r="K133">
        <f ca="1">IF($C133-K$1&lt;År1,0,J132*(1-VLOOKUP($A133,[1]Hugst!$R$5:$W$9,MATCH(ROUNDUP((K$1)/10,0)*10,[1]Hugst!$R$4:$W$4,0))))</f>
        <v>363.44874031881761</v>
      </c>
      <c r="L133">
        <f ca="1">IF($C133-L$1&lt;År1,0,K132*(1-VLOOKUP($A133,[1]Hugst!$R$5:$W$9,MATCH(ROUNDUP((L$1)/10,0)*10,[1]Hugst!$R$4:$W$4,0))))</f>
        <v>363.98985181758314</v>
      </c>
      <c r="M133">
        <f ca="1">IF($C133-M$1&lt;År1,0,L132*(1-VLOOKUP($A133,[1]Hugst!$R$5:$W$9,MATCH(ROUNDUP((M$1)/10,0)*10,[1]Hugst!$R$4:$W$4,0))))</f>
        <v>364.53368246961463</v>
      </c>
      <c r="N133">
        <f>IF($C133-N$1&lt;År1,0,M132*(1-VLOOKUP($A133,[1]Hugst!$R$5:$W$9,MATCH(ROUNDUP((N$1)/10,0)*10,[1]Hugst!$R$4:$W$4,0))))</f>
        <v>0</v>
      </c>
      <c r="O133">
        <f>IF($C133-O$1&lt;År1,0,N132*(1-VLOOKUP($A133,[1]Hugst!$R$5:$W$9,MATCH(ROUNDUP((O$1)/10,0)*10,[1]Hugst!$R$4:$W$4,0))))</f>
        <v>0</v>
      </c>
      <c r="P133">
        <f>IF($C133-P$1&lt;År1,0,O132*(1-VLOOKUP($A133,[1]Hugst!$R$5:$W$9,MATCH(ROUNDUP((P$1)/10,0)*10,[1]Hugst!$R$4:$W$4,0))))</f>
        <v>0</v>
      </c>
      <c r="Q133">
        <f>IF($C133-Q$1&lt;År1,0,P132*(1-VLOOKUP($A133,[1]Hugst!$R$5:$W$9,MATCH(ROUNDUP((Q$1)/10,0)*10,[1]Hugst!$R$4:$W$4,0))))</f>
        <v>0</v>
      </c>
      <c r="R133">
        <f>IF($C133-R$1&lt;År1,0,Q132*(1-VLOOKUP($A133,[1]Hugst!$R$5:$W$9,MATCH(ROUNDUP((R$1)/10,0)*10,[1]Hugst!$R$4:$W$4,0))))</f>
        <v>0</v>
      </c>
      <c r="S133">
        <f>IF($C133-S$1&lt;År1,0,R132*(1-VLOOKUP($A133,[1]Hugst!$R$5:$W$9,MATCH(ROUNDUP((S$1)/10,0)*10,[1]Hugst!$R$4:$W$4,0))))</f>
        <v>0</v>
      </c>
      <c r="T133">
        <f>IF($C133-T$1&lt;År1,0,S132*(1-VLOOKUP($A133,[1]Hugst!$R$5:$W$9,MATCH(ROUNDUP((T$1)/10,0)*10,[1]Hugst!$R$4:$W$4,0))))</f>
        <v>0</v>
      </c>
      <c r="U133">
        <f>IF($C133-U$1&lt;År1,0,T132*(1-VLOOKUP($A133,[1]Hugst!$R$5:$W$9,MATCH(ROUNDUP((U$1)/10,0)*10,[1]Hugst!$R$4:$W$4,0))))</f>
        <v>0</v>
      </c>
      <c r="V133">
        <f>IF($C133-V$1&lt;År1,0,U132*(1-VLOOKUP($A133,[1]Hugst!$R$5:$W$9,MATCH(ROUNDUP((V$1)/10,0)*10,[1]Hugst!$R$4:$W$4,0))))</f>
        <v>0</v>
      </c>
      <c r="W133">
        <f>IF($C133-W$1&lt;År1,0,V132*(1-VLOOKUP($A133,[1]Hugst!$R$5:$W$9,MATCH(ROUNDUP((W$1)/10,0)*10,[1]Hugst!$R$4:$W$4,0))))</f>
        <v>0</v>
      </c>
      <c r="X133">
        <f>IF($C133-X$1&lt;År1,0,W132*(1-VLOOKUP($A133,[1]Hugst!$R$5:$W$9,MATCH(ROUNDUP((X$1)/10,0)*10,[1]Hugst!$R$4:$W$4,0))))</f>
        <v>0</v>
      </c>
      <c r="Y133">
        <f>IF($C133-Y$1&lt;År1,0,X132*(1-VLOOKUP($A133,[1]Hugst!$R$5:$W$9,MATCH(ROUNDUP((Y$1)/10,0)*10,[1]Hugst!$R$4:$W$4,0))))</f>
        <v>0</v>
      </c>
      <c r="Z133">
        <f>IF($C133-Z$1&lt;År1,0,Y132*(1-VLOOKUP($A133,[1]Hugst!$R$5:$W$9,MATCH(ROUNDUP((Z$1)/10,0)*10,[1]Hugst!$R$4:$W$4,0))))</f>
        <v>0</v>
      </c>
      <c r="AA133">
        <f>IF($C133-AA$1&lt;År1,0,Z132*(1-VLOOKUP($A133,[1]Hugst!$R$5:$W$9,MATCH(ROUNDUP((AA$1)/10,0)*10,[1]Hugst!$R$4:$W$4,0))))</f>
        <v>0</v>
      </c>
      <c r="AB133">
        <f>IF($C133-AB$1&lt;År1,0,AA132*(1-VLOOKUP($A133,[1]Hugst!$R$5:$W$9,MATCH(ROUNDUP((AB$1)/10,0)*10,[1]Hugst!$R$4:$W$4,0))))</f>
        <v>0</v>
      </c>
      <c r="AC133">
        <f>IF($C133-AC$1&lt;År1,0,AB132*(1-VLOOKUP($A133,[1]Hugst!$R$5:$W$9,MATCH(ROUNDUP((AC$1)/10,0)*10,[1]Hugst!$R$4:$W$4,0))))</f>
        <v>0</v>
      </c>
      <c r="AD133">
        <f>IF($C133-AD$1&lt;År1,0,AC132*(1-VLOOKUP($A133,[1]Hugst!$R$5:$W$9,MATCH(ROUNDUP((AD$1)/10,0)*10,[1]Hugst!$R$4:$W$4,0))))</f>
        <v>0</v>
      </c>
      <c r="AE133">
        <f>IF($C133-AE$1&lt;År1,0,AD132*(1-VLOOKUP($A133,[1]Hugst!$R$5:$W$9,MATCH(ROUNDUP((AE$1)/10,0)*10,[1]Hugst!$R$4:$W$4,0))))</f>
        <v>0</v>
      </c>
      <c r="AF133">
        <f>IF($C133-AF$1&lt;År1,0,AE132*(1-VLOOKUP($A133,[1]Hugst!$R$5:$W$9,MATCH(ROUNDUP((AF$1)/10,0)*10,[1]Hugst!$R$4:$W$4,0))))</f>
        <v>0</v>
      </c>
      <c r="AG133">
        <f>IF($C133-AG$1&lt;År1,0,AF132*(1-VLOOKUP($A133,[1]Hugst!$R$5:$W$9,MATCH(ROUNDUP((AG$1)/10,0)*10,[1]Hugst!$R$4:$W$4,0))))</f>
        <v>0</v>
      </c>
      <c r="AH133">
        <f>IF($C133-AH$1&lt;År1,0,AG132*(1-VLOOKUP($A133,[1]Hugst!$R$5:$W$9,MATCH(ROUNDUP((AH$1)/10,0)*10,[1]Hugst!$R$4:$W$4,0))))</f>
        <v>0</v>
      </c>
      <c r="AI133">
        <f>IF($C133-AI$1&lt;År1,0,AH132*(1-VLOOKUP($A133,[1]Hugst!$R$5:$W$9,MATCH(ROUNDUP((AI$1)/10,0)*10,[1]Hugst!$R$4:$W$4,0))))</f>
        <v>0</v>
      </c>
      <c r="AJ133">
        <f>IF($C133-AJ$1&lt;År1,0,AI132*(1-VLOOKUP($A133,[1]Hugst!$R$5:$W$9,MATCH(ROUNDUP((AJ$1)/10,0)*10,[1]Hugst!$R$4:$W$4,0))))</f>
        <v>0</v>
      </c>
    </row>
    <row r="134" spans="1:36" x14ac:dyDescent="0.25">
      <c r="A134" t="s">
        <v>178</v>
      </c>
      <c r="B134" t="s">
        <v>23</v>
      </c>
      <c r="C134">
        <v>2028</v>
      </c>
      <c r="D134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104.49086485744044</v>
      </c>
      <c r="E134">
        <f t="shared" ca="1" si="3"/>
        <v>0</v>
      </c>
      <c r="F134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360.2584169212887</v>
      </c>
      <c r="G134">
        <f ca="1">IF($C134-G$1&lt;År1,0,F133*(1-VLOOKUP($A134,[1]Hugst!$R$5:$W$9,MATCH(ROUNDUP((G$1)/10,0)*10,[1]Hugst!$R$4:$W$4,0))))</f>
        <v>360.7834966441892</v>
      </c>
      <c r="H134">
        <f ca="1">IF($C134-H$1&lt;År1,0,G133*(1-VLOOKUP($A134,[1]Hugst!$R$5:$W$9,MATCH(ROUNDUP((H$1)/10,0)*10,[1]Hugst!$R$4:$W$4,0))))</f>
        <v>361.31121495866228</v>
      </c>
      <c r="I134">
        <f ca="1">IF($C134-I$1&lt;År1,0,H133*(1-VLOOKUP($A134,[1]Hugst!$R$5:$W$9,MATCH(ROUNDUP((I$1)/10,0)*10,[1]Hugst!$R$4:$W$4,0))))</f>
        <v>361.84158512396232</v>
      </c>
      <c r="J134">
        <f ca="1">IF($C134-J$1&lt;År1,0,I133*(1-VLOOKUP($A134,[1]Hugst!$R$5:$W$9,MATCH(ROUNDUP((J$1)/10,0)*10,[1]Hugst!$R$4:$W$4,0))))</f>
        <v>362.37462046597341</v>
      </c>
      <c r="K134">
        <f ca="1">IF($C134-K$1&lt;År1,0,J133*(1-VLOOKUP($A134,[1]Hugst!$R$5:$W$9,MATCH(ROUNDUP((K$1)/10,0)*10,[1]Hugst!$R$4:$W$4,0))))</f>
        <v>362.9103343775422</v>
      </c>
      <c r="L134">
        <f ca="1">IF($C134-L$1&lt;År1,0,K133*(1-VLOOKUP($A134,[1]Hugst!$R$5:$W$9,MATCH(ROUNDUP((L$1)/10,0)*10,[1]Hugst!$R$4:$W$4,0))))</f>
        <v>363.44874031881761</v>
      </c>
      <c r="M134">
        <f ca="1">IF($C134-M$1&lt;År1,0,L133*(1-VLOOKUP($A134,[1]Hugst!$R$5:$W$9,MATCH(ROUNDUP((M$1)/10,0)*10,[1]Hugst!$R$4:$W$4,0))))</f>
        <v>363.98985181758314</v>
      </c>
      <c r="N134">
        <f ca="1">IF($C134-N$1&lt;År1,0,M133*(1-VLOOKUP($A134,[1]Hugst!$R$5:$W$9,MATCH(ROUNDUP((N$1)/10,0)*10,[1]Hugst!$R$4:$W$4,0))))</f>
        <v>364.53368246961463</v>
      </c>
      <c r="O134">
        <f>IF($C134-O$1&lt;År1,0,N133*(1-VLOOKUP($A134,[1]Hugst!$R$5:$W$9,MATCH(ROUNDUP((O$1)/10,0)*10,[1]Hugst!$R$4:$W$4,0))))</f>
        <v>0</v>
      </c>
      <c r="P134">
        <f>IF($C134-P$1&lt;År1,0,O133*(1-VLOOKUP($A134,[1]Hugst!$R$5:$W$9,MATCH(ROUNDUP((P$1)/10,0)*10,[1]Hugst!$R$4:$W$4,0))))</f>
        <v>0</v>
      </c>
      <c r="Q134">
        <f>IF($C134-Q$1&lt;År1,0,P133*(1-VLOOKUP($A134,[1]Hugst!$R$5:$W$9,MATCH(ROUNDUP((Q$1)/10,0)*10,[1]Hugst!$R$4:$W$4,0))))</f>
        <v>0</v>
      </c>
      <c r="R134">
        <f>IF($C134-R$1&lt;År1,0,Q133*(1-VLOOKUP($A134,[1]Hugst!$R$5:$W$9,MATCH(ROUNDUP((R$1)/10,0)*10,[1]Hugst!$R$4:$W$4,0))))</f>
        <v>0</v>
      </c>
      <c r="S134">
        <f>IF($C134-S$1&lt;År1,0,R133*(1-VLOOKUP($A134,[1]Hugst!$R$5:$W$9,MATCH(ROUNDUP((S$1)/10,0)*10,[1]Hugst!$R$4:$W$4,0))))</f>
        <v>0</v>
      </c>
      <c r="T134">
        <f>IF($C134-T$1&lt;År1,0,S133*(1-VLOOKUP($A134,[1]Hugst!$R$5:$W$9,MATCH(ROUNDUP((T$1)/10,0)*10,[1]Hugst!$R$4:$W$4,0))))</f>
        <v>0</v>
      </c>
      <c r="U134">
        <f>IF($C134-U$1&lt;År1,0,T133*(1-VLOOKUP($A134,[1]Hugst!$R$5:$W$9,MATCH(ROUNDUP((U$1)/10,0)*10,[1]Hugst!$R$4:$W$4,0))))</f>
        <v>0</v>
      </c>
      <c r="V134">
        <f>IF($C134-V$1&lt;År1,0,U133*(1-VLOOKUP($A134,[1]Hugst!$R$5:$W$9,MATCH(ROUNDUP((V$1)/10,0)*10,[1]Hugst!$R$4:$W$4,0))))</f>
        <v>0</v>
      </c>
      <c r="W134">
        <f>IF($C134-W$1&lt;År1,0,V133*(1-VLOOKUP($A134,[1]Hugst!$R$5:$W$9,MATCH(ROUNDUP((W$1)/10,0)*10,[1]Hugst!$R$4:$W$4,0))))</f>
        <v>0</v>
      </c>
      <c r="X134">
        <f>IF($C134-X$1&lt;År1,0,W133*(1-VLOOKUP($A134,[1]Hugst!$R$5:$W$9,MATCH(ROUNDUP((X$1)/10,0)*10,[1]Hugst!$R$4:$W$4,0))))</f>
        <v>0</v>
      </c>
      <c r="Y134">
        <f>IF($C134-Y$1&lt;År1,0,X133*(1-VLOOKUP($A134,[1]Hugst!$R$5:$W$9,MATCH(ROUNDUP((Y$1)/10,0)*10,[1]Hugst!$R$4:$W$4,0))))</f>
        <v>0</v>
      </c>
      <c r="Z134">
        <f>IF($C134-Z$1&lt;År1,0,Y133*(1-VLOOKUP($A134,[1]Hugst!$R$5:$W$9,MATCH(ROUNDUP((Z$1)/10,0)*10,[1]Hugst!$R$4:$W$4,0))))</f>
        <v>0</v>
      </c>
      <c r="AA134">
        <f>IF($C134-AA$1&lt;År1,0,Z133*(1-VLOOKUP($A134,[1]Hugst!$R$5:$W$9,MATCH(ROUNDUP((AA$1)/10,0)*10,[1]Hugst!$R$4:$W$4,0))))</f>
        <v>0</v>
      </c>
      <c r="AB134">
        <f>IF($C134-AB$1&lt;År1,0,AA133*(1-VLOOKUP($A134,[1]Hugst!$R$5:$W$9,MATCH(ROUNDUP((AB$1)/10,0)*10,[1]Hugst!$R$4:$W$4,0))))</f>
        <v>0</v>
      </c>
      <c r="AC134">
        <f>IF($C134-AC$1&lt;År1,0,AB133*(1-VLOOKUP($A134,[1]Hugst!$R$5:$W$9,MATCH(ROUNDUP((AC$1)/10,0)*10,[1]Hugst!$R$4:$W$4,0))))</f>
        <v>0</v>
      </c>
      <c r="AD134">
        <f>IF($C134-AD$1&lt;År1,0,AC133*(1-VLOOKUP($A134,[1]Hugst!$R$5:$W$9,MATCH(ROUNDUP((AD$1)/10,0)*10,[1]Hugst!$R$4:$W$4,0))))</f>
        <v>0</v>
      </c>
      <c r="AE134">
        <f>IF($C134-AE$1&lt;År1,0,AD133*(1-VLOOKUP($A134,[1]Hugst!$R$5:$W$9,MATCH(ROUNDUP((AE$1)/10,0)*10,[1]Hugst!$R$4:$W$4,0))))</f>
        <v>0</v>
      </c>
      <c r="AF134">
        <f>IF($C134-AF$1&lt;År1,0,AE133*(1-VLOOKUP($A134,[1]Hugst!$R$5:$W$9,MATCH(ROUNDUP((AF$1)/10,0)*10,[1]Hugst!$R$4:$W$4,0))))</f>
        <v>0</v>
      </c>
      <c r="AG134">
        <f>IF($C134-AG$1&lt;År1,0,AF133*(1-VLOOKUP($A134,[1]Hugst!$R$5:$W$9,MATCH(ROUNDUP((AG$1)/10,0)*10,[1]Hugst!$R$4:$W$4,0))))</f>
        <v>0</v>
      </c>
      <c r="AH134">
        <f>IF($C134-AH$1&lt;År1,0,AG133*(1-VLOOKUP($A134,[1]Hugst!$R$5:$W$9,MATCH(ROUNDUP((AH$1)/10,0)*10,[1]Hugst!$R$4:$W$4,0))))</f>
        <v>0</v>
      </c>
      <c r="AI134">
        <f>IF($C134-AI$1&lt;År1,0,AH133*(1-VLOOKUP($A134,[1]Hugst!$R$5:$W$9,MATCH(ROUNDUP((AI$1)/10,0)*10,[1]Hugst!$R$4:$W$4,0))))</f>
        <v>0</v>
      </c>
      <c r="AJ134">
        <f>IF($C134-AJ$1&lt;År1,0,AI133*(1-VLOOKUP($A134,[1]Hugst!$R$5:$W$9,MATCH(ROUNDUP((AJ$1)/10,0)*10,[1]Hugst!$R$4:$W$4,0))))</f>
        <v>0</v>
      </c>
    </row>
    <row r="135" spans="1:36" x14ac:dyDescent="0.25">
      <c r="A135" t="s">
        <v>178</v>
      </c>
      <c r="B135" t="s">
        <v>23</v>
      </c>
      <c r="C135">
        <v>2029</v>
      </c>
      <c r="D135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103.96841053314847</v>
      </c>
      <c r="E135">
        <f t="shared" ca="1" si="3"/>
        <v>0</v>
      </c>
      <c r="F135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359.73596259699673</v>
      </c>
      <c r="G135">
        <f ca="1">IF($C135-G$1&lt;År1,0,F134*(1-VLOOKUP($A135,[1]Hugst!$R$5:$W$9,MATCH(ROUNDUP((G$1)/10,0)*10,[1]Hugst!$R$4:$W$4,0))))</f>
        <v>360.2584169212887</v>
      </c>
      <c r="H135">
        <f ca="1">IF($C135-H$1&lt;År1,0,G134*(1-VLOOKUP($A135,[1]Hugst!$R$5:$W$9,MATCH(ROUNDUP((H$1)/10,0)*10,[1]Hugst!$R$4:$W$4,0))))</f>
        <v>360.7834966441892</v>
      </c>
      <c r="I135">
        <f ca="1">IF($C135-I$1&lt;År1,0,H134*(1-VLOOKUP($A135,[1]Hugst!$R$5:$W$9,MATCH(ROUNDUP((I$1)/10,0)*10,[1]Hugst!$R$4:$W$4,0))))</f>
        <v>361.31121495866228</v>
      </c>
      <c r="J135">
        <f ca="1">IF($C135-J$1&lt;År1,0,I134*(1-VLOOKUP($A135,[1]Hugst!$R$5:$W$9,MATCH(ROUNDUP((J$1)/10,0)*10,[1]Hugst!$R$4:$W$4,0))))</f>
        <v>361.84158512396232</v>
      </c>
      <c r="K135">
        <f ca="1">IF($C135-K$1&lt;År1,0,J134*(1-VLOOKUP($A135,[1]Hugst!$R$5:$W$9,MATCH(ROUNDUP((K$1)/10,0)*10,[1]Hugst!$R$4:$W$4,0))))</f>
        <v>362.37462046597341</v>
      </c>
      <c r="L135">
        <f ca="1">IF($C135-L$1&lt;År1,0,K134*(1-VLOOKUP($A135,[1]Hugst!$R$5:$W$9,MATCH(ROUNDUP((L$1)/10,0)*10,[1]Hugst!$R$4:$W$4,0))))</f>
        <v>362.9103343775422</v>
      </c>
      <c r="M135">
        <f ca="1">IF($C135-M$1&lt;År1,0,L134*(1-VLOOKUP($A135,[1]Hugst!$R$5:$W$9,MATCH(ROUNDUP((M$1)/10,0)*10,[1]Hugst!$R$4:$W$4,0))))</f>
        <v>363.44874031881761</v>
      </c>
      <c r="N135">
        <f ca="1">IF($C135-N$1&lt;År1,0,M134*(1-VLOOKUP($A135,[1]Hugst!$R$5:$W$9,MATCH(ROUNDUP((N$1)/10,0)*10,[1]Hugst!$R$4:$W$4,0))))</f>
        <v>363.98985181758314</v>
      </c>
      <c r="O135">
        <f ca="1">IF($C135-O$1&lt;År1,0,N134*(1-VLOOKUP($A135,[1]Hugst!$R$5:$W$9,MATCH(ROUNDUP((O$1)/10,0)*10,[1]Hugst!$R$4:$W$4,0))))</f>
        <v>364.53368246961463</v>
      </c>
      <c r="P135">
        <f>IF($C135-P$1&lt;År1,0,O134*(1-VLOOKUP($A135,[1]Hugst!$R$5:$W$9,MATCH(ROUNDUP((P$1)/10,0)*10,[1]Hugst!$R$4:$W$4,0))))</f>
        <v>0</v>
      </c>
      <c r="Q135">
        <f>IF($C135-Q$1&lt;År1,0,P134*(1-VLOOKUP($A135,[1]Hugst!$R$5:$W$9,MATCH(ROUNDUP((Q$1)/10,0)*10,[1]Hugst!$R$4:$W$4,0))))</f>
        <v>0</v>
      </c>
      <c r="R135">
        <f>IF($C135-R$1&lt;År1,0,Q134*(1-VLOOKUP($A135,[1]Hugst!$R$5:$W$9,MATCH(ROUNDUP((R$1)/10,0)*10,[1]Hugst!$R$4:$W$4,0))))</f>
        <v>0</v>
      </c>
      <c r="S135">
        <f>IF($C135-S$1&lt;År1,0,R134*(1-VLOOKUP($A135,[1]Hugst!$R$5:$W$9,MATCH(ROUNDUP((S$1)/10,0)*10,[1]Hugst!$R$4:$W$4,0))))</f>
        <v>0</v>
      </c>
      <c r="T135">
        <f>IF($C135-T$1&lt;År1,0,S134*(1-VLOOKUP($A135,[1]Hugst!$R$5:$W$9,MATCH(ROUNDUP((T$1)/10,0)*10,[1]Hugst!$R$4:$W$4,0))))</f>
        <v>0</v>
      </c>
      <c r="U135">
        <f>IF($C135-U$1&lt;År1,0,T134*(1-VLOOKUP($A135,[1]Hugst!$R$5:$W$9,MATCH(ROUNDUP((U$1)/10,0)*10,[1]Hugst!$R$4:$W$4,0))))</f>
        <v>0</v>
      </c>
      <c r="V135">
        <f>IF($C135-V$1&lt;År1,0,U134*(1-VLOOKUP($A135,[1]Hugst!$R$5:$W$9,MATCH(ROUNDUP((V$1)/10,0)*10,[1]Hugst!$R$4:$W$4,0))))</f>
        <v>0</v>
      </c>
      <c r="W135">
        <f>IF($C135-W$1&lt;År1,0,V134*(1-VLOOKUP($A135,[1]Hugst!$R$5:$W$9,MATCH(ROUNDUP((W$1)/10,0)*10,[1]Hugst!$R$4:$W$4,0))))</f>
        <v>0</v>
      </c>
      <c r="X135">
        <f>IF($C135-X$1&lt;År1,0,W134*(1-VLOOKUP($A135,[1]Hugst!$R$5:$W$9,MATCH(ROUNDUP((X$1)/10,0)*10,[1]Hugst!$R$4:$W$4,0))))</f>
        <v>0</v>
      </c>
      <c r="Y135">
        <f>IF($C135-Y$1&lt;År1,0,X134*(1-VLOOKUP($A135,[1]Hugst!$R$5:$W$9,MATCH(ROUNDUP((Y$1)/10,0)*10,[1]Hugst!$R$4:$W$4,0))))</f>
        <v>0</v>
      </c>
      <c r="Z135">
        <f>IF($C135-Z$1&lt;År1,0,Y134*(1-VLOOKUP($A135,[1]Hugst!$R$5:$W$9,MATCH(ROUNDUP((Z$1)/10,0)*10,[1]Hugst!$R$4:$W$4,0))))</f>
        <v>0</v>
      </c>
      <c r="AA135">
        <f>IF($C135-AA$1&lt;År1,0,Z134*(1-VLOOKUP($A135,[1]Hugst!$R$5:$W$9,MATCH(ROUNDUP((AA$1)/10,0)*10,[1]Hugst!$R$4:$W$4,0))))</f>
        <v>0</v>
      </c>
      <c r="AB135">
        <f>IF($C135-AB$1&lt;År1,0,AA134*(1-VLOOKUP($A135,[1]Hugst!$R$5:$W$9,MATCH(ROUNDUP((AB$1)/10,0)*10,[1]Hugst!$R$4:$W$4,0))))</f>
        <v>0</v>
      </c>
      <c r="AC135">
        <f>IF($C135-AC$1&lt;År1,0,AB134*(1-VLOOKUP($A135,[1]Hugst!$R$5:$W$9,MATCH(ROUNDUP((AC$1)/10,0)*10,[1]Hugst!$R$4:$W$4,0))))</f>
        <v>0</v>
      </c>
      <c r="AD135">
        <f>IF($C135-AD$1&lt;År1,0,AC134*(1-VLOOKUP($A135,[1]Hugst!$R$5:$W$9,MATCH(ROUNDUP((AD$1)/10,0)*10,[1]Hugst!$R$4:$W$4,0))))</f>
        <v>0</v>
      </c>
      <c r="AE135">
        <f>IF($C135-AE$1&lt;År1,0,AD134*(1-VLOOKUP($A135,[1]Hugst!$R$5:$W$9,MATCH(ROUNDUP((AE$1)/10,0)*10,[1]Hugst!$R$4:$W$4,0))))</f>
        <v>0</v>
      </c>
      <c r="AF135">
        <f>IF($C135-AF$1&lt;År1,0,AE134*(1-VLOOKUP($A135,[1]Hugst!$R$5:$W$9,MATCH(ROUNDUP((AF$1)/10,0)*10,[1]Hugst!$R$4:$W$4,0))))</f>
        <v>0</v>
      </c>
      <c r="AG135">
        <f>IF($C135-AG$1&lt;År1,0,AF134*(1-VLOOKUP($A135,[1]Hugst!$R$5:$W$9,MATCH(ROUNDUP((AG$1)/10,0)*10,[1]Hugst!$R$4:$W$4,0))))</f>
        <v>0</v>
      </c>
      <c r="AH135">
        <f>IF($C135-AH$1&lt;År1,0,AG134*(1-VLOOKUP($A135,[1]Hugst!$R$5:$W$9,MATCH(ROUNDUP((AH$1)/10,0)*10,[1]Hugst!$R$4:$W$4,0))))</f>
        <v>0</v>
      </c>
      <c r="AI135">
        <f>IF($C135-AI$1&lt;År1,0,AH134*(1-VLOOKUP($A135,[1]Hugst!$R$5:$W$9,MATCH(ROUNDUP((AI$1)/10,0)*10,[1]Hugst!$R$4:$W$4,0))))</f>
        <v>0</v>
      </c>
      <c r="AJ135">
        <f>IF($C135-AJ$1&lt;År1,0,AI134*(1-VLOOKUP($A135,[1]Hugst!$R$5:$W$9,MATCH(ROUNDUP((AJ$1)/10,0)*10,[1]Hugst!$R$4:$W$4,0))))</f>
        <v>0</v>
      </c>
    </row>
    <row r="136" spans="1:36" x14ac:dyDescent="0.25">
      <c r="A136" t="s">
        <v>178</v>
      </c>
      <c r="B136" t="s">
        <v>23</v>
      </c>
      <c r="C136">
        <v>2030</v>
      </c>
      <c r="D136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103.44856848048812</v>
      </c>
      <c r="E136">
        <f t="shared" ca="1" si="3"/>
        <v>0</v>
      </c>
      <c r="F136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359.21612054433638</v>
      </c>
      <c r="G136">
        <f ca="1">IF($C136-G$1&lt;År1,0,F135*(1-VLOOKUP($A136,[1]Hugst!$R$5:$W$9,MATCH(ROUNDUP((G$1)/10,0)*10,[1]Hugst!$R$4:$W$4,0))))</f>
        <v>359.73596259699673</v>
      </c>
      <c r="H136">
        <f ca="1">IF($C136-H$1&lt;År1,0,G135*(1-VLOOKUP($A136,[1]Hugst!$R$5:$W$9,MATCH(ROUNDUP((H$1)/10,0)*10,[1]Hugst!$R$4:$W$4,0))))</f>
        <v>360.2584169212887</v>
      </c>
      <c r="I136">
        <f ca="1">IF($C136-I$1&lt;År1,0,H135*(1-VLOOKUP($A136,[1]Hugst!$R$5:$W$9,MATCH(ROUNDUP((I$1)/10,0)*10,[1]Hugst!$R$4:$W$4,0))))</f>
        <v>360.7834966441892</v>
      </c>
      <c r="J136">
        <f ca="1">IF($C136-J$1&lt;År1,0,I135*(1-VLOOKUP($A136,[1]Hugst!$R$5:$W$9,MATCH(ROUNDUP((J$1)/10,0)*10,[1]Hugst!$R$4:$W$4,0))))</f>
        <v>361.31121495866228</v>
      </c>
      <c r="K136">
        <f ca="1">IF($C136-K$1&lt;År1,0,J135*(1-VLOOKUP($A136,[1]Hugst!$R$5:$W$9,MATCH(ROUNDUP((K$1)/10,0)*10,[1]Hugst!$R$4:$W$4,0))))</f>
        <v>361.84158512396232</v>
      </c>
      <c r="L136">
        <f ca="1">IF($C136-L$1&lt;År1,0,K135*(1-VLOOKUP($A136,[1]Hugst!$R$5:$W$9,MATCH(ROUNDUP((L$1)/10,0)*10,[1]Hugst!$R$4:$W$4,0))))</f>
        <v>362.37462046597341</v>
      </c>
      <c r="M136">
        <f ca="1">IF($C136-M$1&lt;År1,0,L135*(1-VLOOKUP($A136,[1]Hugst!$R$5:$W$9,MATCH(ROUNDUP((M$1)/10,0)*10,[1]Hugst!$R$4:$W$4,0))))</f>
        <v>362.9103343775422</v>
      </c>
      <c r="N136">
        <f ca="1">IF($C136-N$1&lt;År1,0,M135*(1-VLOOKUP($A136,[1]Hugst!$R$5:$W$9,MATCH(ROUNDUP((N$1)/10,0)*10,[1]Hugst!$R$4:$W$4,0))))</f>
        <v>363.44874031881761</v>
      </c>
      <c r="O136">
        <f ca="1">IF($C136-O$1&lt;År1,0,N135*(1-VLOOKUP($A136,[1]Hugst!$R$5:$W$9,MATCH(ROUNDUP((O$1)/10,0)*10,[1]Hugst!$R$4:$W$4,0))))</f>
        <v>363.98985181758314</v>
      </c>
      <c r="P136">
        <f ca="1">IF($C136-P$1&lt;År1,0,O135*(1-VLOOKUP($A136,[1]Hugst!$R$5:$W$9,MATCH(ROUNDUP((P$1)/10,0)*10,[1]Hugst!$R$4:$W$4,0))))</f>
        <v>364.53368246961463</v>
      </c>
      <c r="Q136">
        <f>IF($C136-Q$1&lt;År1,0,P135*(1-VLOOKUP($A136,[1]Hugst!$R$5:$W$9,MATCH(ROUNDUP((Q$1)/10,0)*10,[1]Hugst!$R$4:$W$4,0))))</f>
        <v>0</v>
      </c>
      <c r="R136">
        <f>IF($C136-R$1&lt;År1,0,Q135*(1-VLOOKUP($A136,[1]Hugst!$R$5:$W$9,MATCH(ROUNDUP((R$1)/10,0)*10,[1]Hugst!$R$4:$W$4,0))))</f>
        <v>0</v>
      </c>
      <c r="S136">
        <f>IF($C136-S$1&lt;År1,0,R135*(1-VLOOKUP($A136,[1]Hugst!$R$5:$W$9,MATCH(ROUNDUP((S$1)/10,0)*10,[1]Hugst!$R$4:$W$4,0))))</f>
        <v>0</v>
      </c>
      <c r="T136">
        <f>IF($C136-T$1&lt;År1,0,S135*(1-VLOOKUP($A136,[1]Hugst!$R$5:$W$9,MATCH(ROUNDUP((T$1)/10,0)*10,[1]Hugst!$R$4:$W$4,0))))</f>
        <v>0</v>
      </c>
      <c r="U136">
        <f>IF($C136-U$1&lt;År1,0,T135*(1-VLOOKUP($A136,[1]Hugst!$R$5:$W$9,MATCH(ROUNDUP((U$1)/10,0)*10,[1]Hugst!$R$4:$W$4,0))))</f>
        <v>0</v>
      </c>
      <c r="V136">
        <f>IF($C136-V$1&lt;År1,0,U135*(1-VLOOKUP($A136,[1]Hugst!$R$5:$W$9,MATCH(ROUNDUP((V$1)/10,0)*10,[1]Hugst!$R$4:$W$4,0))))</f>
        <v>0</v>
      </c>
      <c r="W136">
        <f>IF($C136-W$1&lt;År1,0,V135*(1-VLOOKUP($A136,[1]Hugst!$R$5:$W$9,MATCH(ROUNDUP((W$1)/10,0)*10,[1]Hugst!$R$4:$W$4,0))))</f>
        <v>0</v>
      </c>
      <c r="X136">
        <f>IF($C136-X$1&lt;År1,0,W135*(1-VLOOKUP($A136,[1]Hugst!$R$5:$W$9,MATCH(ROUNDUP((X$1)/10,0)*10,[1]Hugst!$R$4:$W$4,0))))</f>
        <v>0</v>
      </c>
      <c r="Y136">
        <f>IF($C136-Y$1&lt;År1,0,X135*(1-VLOOKUP($A136,[1]Hugst!$R$5:$W$9,MATCH(ROUNDUP((Y$1)/10,0)*10,[1]Hugst!$R$4:$W$4,0))))</f>
        <v>0</v>
      </c>
      <c r="Z136">
        <f>IF($C136-Z$1&lt;År1,0,Y135*(1-VLOOKUP($A136,[1]Hugst!$R$5:$W$9,MATCH(ROUNDUP((Z$1)/10,0)*10,[1]Hugst!$R$4:$W$4,0))))</f>
        <v>0</v>
      </c>
      <c r="AA136">
        <f>IF($C136-AA$1&lt;År1,0,Z135*(1-VLOOKUP($A136,[1]Hugst!$R$5:$W$9,MATCH(ROUNDUP((AA$1)/10,0)*10,[1]Hugst!$R$4:$W$4,0))))</f>
        <v>0</v>
      </c>
      <c r="AB136">
        <f>IF($C136-AB$1&lt;År1,0,AA135*(1-VLOOKUP($A136,[1]Hugst!$R$5:$W$9,MATCH(ROUNDUP((AB$1)/10,0)*10,[1]Hugst!$R$4:$W$4,0))))</f>
        <v>0</v>
      </c>
      <c r="AC136">
        <f>IF($C136-AC$1&lt;År1,0,AB135*(1-VLOOKUP($A136,[1]Hugst!$R$5:$W$9,MATCH(ROUNDUP((AC$1)/10,0)*10,[1]Hugst!$R$4:$W$4,0))))</f>
        <v>0</v>
      </c>
      <c r="AD136">
        <f>IF($C136-AD$1&lt;År1,0,AC135*(1-VLOOKUP($A136,[1]Hugst!$R$5:$W$9,MATCH(ROUNDUP((AD$1)/10,0)*10,[1]Hugst!$R$4:$W$4,0))))</f>
        <v>0</v>
      </c>
      <c r="AE136">
        <f>IF($C136-AE$1&lt;År1,0,AD135*(1-VLOOKUP($A136,[1]Hugst!$R$5:$W$9,MATCH(ROUNDUP((AE$1)/10,0)*10,[1]Hugst!$R$4:$W$4,0))))</f>
        <v>0</v>
      </c>
      <c r="AF136">
        <f>IF($C136-AF$1&lt;År1,0,AE135*(1-VLOOKUP($A136,[1]Hugst!$R$5:$W$9,MATCH(ROUNDUP((AF$1)/10,0)*10,[1]Hugst!$R$4:$W$4,0))))</f>
        <v>0</v>
      </c>
      <c r="AG136">
        <f>IF($C136-AG$1&lt;År1,0,AF135*(1-VLOOKUP($A136,[1]Hugst!$R$5:$W$9,MATCH(ROUNDUP((AG$1)/10,0)*10,[1]Hugst!$R$4:$W$4,0))))</f>
        <v>0</v>
      </c>
      <c r="AH136">
        <f>IF($C136-AH$1&lt;År1,0,AG135*(1-VLOOKUP($A136,[1]Hugst!$R$5:$W$9,MATCH(ROUNDUP((AH$1)/10,0)*10,[1]Hugst!$R$4:$W$4,0))))</f>
        <v>0</v>
      </c>
      <c r="AI136">
        <f>IF($C136-AI$1&lt;År1,0,AH135*(1-VLOOKUP($A136,[1]Hugst!$R$5:$W$9,MATCH(ROUNDUP((AI$1)/10,0)*10,[1]Hugst!$R$4:$W$4,0))))</f>
        <v>0</v>
      </c>
      <c r="AJ136">
        <f>IF($C136-AJ$1&lt;År1,0,AI135*(1-VLOOKUP($A136,[1]Hugst!$R$5:$W$9,MATCH(ROUNDUP((AJ$1)/10,0)*10,[1]Hugst!$R$4:$W$4,0))))</f>
        <v>0</v>
      </c>
    </row>
    <row r="137" spans="1:36" x14ac:dyDescent="0.25">
      <c r="A137" t="s">
        <v>178</v>
      </c>
      <c r="B137" t="s">
        <v>23</v>
      </c>
      <c r="C137">
        <v>2031</v>
      </c>
      <c r="D137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102.93132563807899</v>
      </c>
      <c r="E137">
        <f t="shared" ca="1" si="3"/>
        <v>0</v>
      </c>
      <c r="F137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504.85176459555504</v>
      </c>
      <c r="G137">
        <f ca="1">IF($C137-G$1&lt;År1,0,F136*(1-VLOOKUP($A137,[1]Hugst!$R$5:$W$9,MATCH(ROUNDUP((G$1)/10,0)*10,[1]Hugst!$R$4:$W$4,0))))</f>
        <v>359.21612054433638</v>
      </c>
      <c r="H137">
        <f ca="1">IF($C137-H$1&lt;År1,0,G136*(1-VLOOKUP($A137,[1]Hugst!$R$5:$W$9,MATCH(ROUNDUP((H$1)/10,0)*10,[1]Hugst!$R$4:$W$4,0))))</f>
        <v>359.73596259699673</v>
      </c>
      <c r="I137">
        <f ca="1">IF($C137-I$1&lt;År1,0,H136*(1-VLOOKUP($A137,[1]Hugst!$R$5:$W$9,MATCH(ROUNDUP((I$1)/10,0)*10,[1]Hugst!$R$4:$W$4,0))))</f>
        <v>360.2584169212887</v>
      </c>
      <c r="J137">
        <f ca="1">IF($C137-J$1&lt;År1,0,I136*(1-VLOOKUP($A137,[1]Hugst!$R$5:$W$9,MATCH(ROUNDUP((J$1)/10,0)*10,[1]Hugst!$R$4:$W$4,0))))</f>
        <v>360.7834966441892</v>
      </c>
      <c r="K137">
        <f ca="1">IF($C137-K$1&lt;År1,0,J136*(1-VLOOKUP($A137,[1]Hugst!$R$5:$W$9,MATCH(ROUNDUP((K$1)/10,0)*10,[1]Hugst!$R$4:$W$4,0))))</f>
        <v>361.31121495866228</v>
      </c>
      <c r="L137">
        <f ca="1">IF($C137-L$1&lt;År1,0,K136*(1-VLOOKUP($A137,[1]Hugst!$R$5:$W$9,MATCH(ROUNDUP((L$1)/10,0)*10,[1]Hugst!$R$4:$W$4,0))))</f>
        <v>361.84158512396232</v>
      </c>
      <c r="M137">
        <f ca="1">IF($C137-M$1&lt;År1,0,L136*(1-VLOOKUP($A137,[1]Hugst!$R$5:$W$9,MATCH(ROUNDUP((M$1)/10,0)*10,[1]Hugst!$R$4:$W$4,0))))</f>
        <v>362.37462046597341</v>
      </c>
      <c r="N137">
        <f ca="1">IF($C137-N$1&lt;År1,0,M136*(1-VLOOKUP($A137,[1]Hugst!$R$5:$W$9,MATCH(ROUNDUP((N$1)/10,0)*10,[1]Hugst!$R$4:$W$4,0))))</f>
        <v>362.9103343775422</v>
      </c>
      <c r="O137">
        <f ca="1">IF($C137-O$1&lt;År1,0,N136*(1-VLOOKUP($A137,[1]Hugst!$R$5:$W$9,MATCH(ROUNDUP((O$1)/10,0)*10,[1]Hugst!$R$4:$W$4,0))))</f>
        <v>363.44874031881761</v>
      </c>
      <c r="P137">
        <f ca="1">IF($C137-P$1&lt;År1,0,O136*(1-VLOOKUP($A137,[1]Hugst!$R$5:$W$9,MATCH(ROUNDUP((P$1)/10,0)*10,[1]Hugst!$R$4:$W$4,0))))</f>
        <v>363.98985181758314</v>
      </c>
      <c r="Q137">
        <f ca="1">IF($C137-Q$1&lt;År1,0,P136*(1-VLOOKUP($A137,[1]Hugst!$R$5:$W$9,MATCH(ROUNDUP((Q$1)/10,0)*10,[1]Hugst!$R$4:$W$4,0))))</f>
        <v>364.53368246961463</v>
      </c>
      <c r="R137">
        <f>IF($C137-R$1&lt;År1,0,Q136*(1-VLOOKUP($A137,[1]Hugst!$R$5:$W$9,MATCH(ROUNDUP((R$1)/10,0)*10,[1]Hugst!$R$4:$W$4,0))))</f>
        <v>0</v>
      </c>
      <c r="S137">
        <f>IF($C137-S$1&lt;År1,0,R136*(1-VLOOKUP($A137,[1]Hugst!$R$5:$W$9,MATCH(ROUNDUP((S$1)/10,0)*10,[1]Hugst!$R$4:$W$4,0))))</f>
        <v>0</v>
      </c>
      <c r="T137">
        <f>IF($C137-T$1&lt;År1,0,S136*(1-VLOOKUP($A137,[1]Hugst!$R$5:$W$9,MATCH(ROUNDUP((T$1)/10,0)*10,[1]Hugst!$R$4:$W$4,0))))</f>
        <v>0</v>
      </c>
      <c r="U137">
        <f>IF($C137-U$1&lt;År1,0,T136*(1-VLOOKUP($A137,[1]Hugst!$R$5:$W$9,MATCH(ROUNDUP((U$1)/10,0)*10,[1]Hugst!$R$4:$W$4,0))))</f>
        <v>0</v>
      </c>
      <c r="V137">
        <f>IF($C137-V$1&lt;År1,0,U136*(1-VLOOKUP($A137,[1]Hugst!$R$5:$W$9,MATCH(ROUNDUP((V$1)/10,0)*10,[1]Hugst!$R$4:$W$4,0))))</f>
        <v>0</v>
      </c>
      <c r="W137">
        <f>IF($C137-W$1&lt;År1,0,V136*(1-VLOOKUP($A137,[1]Hugst!$R$5:$W$9,MATCH(ROUNDUP((W$1)/10,0)*10,[1]Hugst!$R$4:$W$4,0))))</f>
        <v>0</v>
      </c>
      <c r="X137">
        <f>IF($C137-X$1&lt;År1,0,W136*(1-VLOOKUP($A137,[1]Hugst!$R$5:$W$9,MATCH(ROUNDUP((X$1)/10,0)*10,[1]Hugst!$R$4:$W$4,0))))</f>
        <v>0</v>
      </c>
      <c r="Y137">
        <f>IF($C137-Y$1&lt;År1,0,X136*(1-VLOOKUP($A137,[1]Hugst!$R$5:$W$9,MATCH(ROUNDUP((Y$1)/10,0)*10,[1]Hugst!$R$4:$W$4,0))))</f>
        <v>0</v>
      </c>
      <c r="Z137">
        <f>IF($C137-Z$1&lt;År1,0,Y136*(1-VLOOKUP($A137,[1]Hugst!$R$5:$W$9,MATCH(ROUNDUP((Z$1)/10,0)*10,[1]Hugst!$R$4:$W$4,0))))</f>
        <v>0</v>
      </c>
      <c r="AA137">
        <f>IF($C137-AA$1&lt;År1,0,Z136*(1-VLOOKUP($A137,[1]Hugst!$R$5:$W$9,MATCH(ROUNDUP((AA$1)/10,0)*10,[1]Hugst!$R$4:$W$4,0))))</f>
        <v>0</v>
      </c>
      <c r="AB137">
        <f>IF($C137-AB$1&lt;År1,0,AA136*(1-VLOOKUP($A137,[1]Hugst!$R$5:$W$9,MATCH(ROUNDUP((AB$1)/10,0)*10,[1]Hugst!$R$4:$W$4,0))))</f>
        <v>0</v>
      </c>
      <c r="AC137">
        <f>IF($C137-AC$1&lt;År1,0,AB136*(1-VLOOKUP($A137,[1]Hugst!$R$5:$W$9,MATCH(ROUNDUP((AC$1)/10,0)*10,[1]Hugst!$R$4:$W$4,0))))</f>
        <v>0</v>
      </c>
      <c r="AD137">
        <f>IF($C137-AD$1&lt;År1,0,AC136*(1-VLOOKUP($A137,[1]Hugst!$R$5:$W$9,MATCH(ROUNDUP((AD$1)/10,0)*10,[1]Hugst!$R$4:$W$4,0))))</f>
        <v>0</v>
      </c>
      <c r="AE137">
        <f>IF($C137-AE$1&lt;År1,0,AD136*(1-VLOOKUP($A137,[1]Hugst!$R$5:$W$9,MATCH(ROUNDUP((AE$1)/10,0)*10,[1]Hugst!$R$4:$W$4,0))))</f>
        <v>0</v>
      </c>
      <c r="AF137">
        <f>IF($C137-AF$1&lt;År1,0,AE136*(1-VLOOKUP($A137,[1]Hugst!$R$5:$W$9,MATCH(ROUNDUP((AF$1)/10,0)*10,[1]Hugst!$R$4:$W$4,0))))</f>
        <v>0</v>
      </c>
      <c r="AG137">
        <f>IF($C137-AG$1&lt;År1,0,AF136*(1-VLOOKUP($A137,[1]Hugst!$R$5:$W$9,MATCH(ROUNDUP((AG$1)/10,0)*10,[1]Hugst!$R$4:$W$4,0))))</f>
        <v>0</v>
      </c>
      <c r="AH137">
        <f>IF($C137-AH$1&lt;År1,0,AG136*(1-VLOOKUP($A137,[1]Hugst!$R$5:$W$9,MATCH(ROUNDUP((AH$1)/10,0)*10,[1]Hugst!$R$4:$W$4,0))))</f>
        <v>0</v>
      </c>
      <c r="AI137">
        <f>IF($C137-AI$1&lt;År1,0,AH136*(1-VLOOKUP($A137,[1]Hugst!$R$5:$W$9,MATCH(ROUNDUP((AI$1)/10,0)*10,[1]Hugst!$R$4:$W$4,0))))</f>
        <v>0</v>
      </c>
      <c r="AJ137">
        <f>IF($C137-AJ$1&lt;År1,0,AI136*(1-VLOOKUP($A137,[1]Hugst!$R$5:$W$9,MATCH(ROUNDUP((AJ$1)/10,0)*10,[1]Hugst!$R$4:$W$4,0))))</f>
        <v>0</v>
      </c>
    </row>
    <row r="138" spans="1:36" x14ac:dyDescent="0.25">
      <c r="A138" t="s">
        <v>178</v>
      </c>
      <c r="B138" t="s">
        <v>23</v>
      </c>
      <c r="C138">
        <v>2032</v>
      </c>
      <c r="D13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102.41666900989367</v>
      </c>
      <c r="E138">
        <f t="shared" ca="1" si="3"/>
        <v>0</v>
      </c>
      <c r="F13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504.33710796736972</v>
      </c>
      <c r="G138">
        <f ca="1">IF($C138-G$1&lt;År1,0,F137*(1-VLOOKUP($A138,[1]Hugst!$R$5:$W$9,MATCH(ROUNDUP((G$1)/10,0)*10,[1]Hugst!$R$4:$W$4,0))))</f>
        <v>504.85176459555504</v>
      </c>
      <c r="H138">
        <f ca="1">IF($C138-H$1&lt;År1,0,G137*(1-VLOOKUP($A138,[1]Hugst!$R$5:$W$9,MATCH(ROUNDUP((H$1)/10,0)*10,[1]Hugst!$R$4:$W$4,0))))</f>
        <v>359.21612054433638</v>
      </c>
      <c r="I138">
        <f ca="1">IF($C138-I$1&lt;År1,0,H137*(1-VLOOKUP($A138,[1]Hugst!$R$5:$W$9,MATCH(ROUNDUP((I$1)/10,0)*10,[1]Hugst!$R$4:$W$4,0))))</f>
        <v>359.73596259699673</v>
      </c>
      <c r="J138">
        <f ca="1">IF($C138-J$1&lt;År1,0,I137*(1-VLOOKUP($A138,[1]Hugst!$R$5:$W$9,MATCH(ROUNDUP((J$1)/10,0)*10,[1]Hugst!$R$4:$W$4,0))))</f>
        <v>360.2584169212887</v>
      </c>
      <c r="K138">
        <f ca="1">IF($C138-K$1&lt;År1,0,J137*(1-VLOOKUP($A138,[1]Hugst!$R$5:$W$9,MATCH(ROUNDUP((K$1)/10,0)*10,[1]Hugst!$R$4:$W$4,0))))</f>
        <v>360.7834966441892</v>
      </c>
      <c r="L138">
        <f ca="1">IF($C138-L$1&lt;År1,0,K137*(1-VLOOKUP($A138,[1]Hugst!$R$5:$W$9,MATCH(ROUNDUP((L$1)/10,0)*10,[1]Hugst!$R$4:$W$4,0))))</f>
        <v>361.31121495866228</v>
      </c>
      <c r="M138">
        <f ca="1">IF($C138-M$1&lt;År1,0,L137*(1-VLOOKUP($A138,[1]Hugst!$R$5:$W$9,MATCH(ROUNDUP((M$1)/10,0)*10,[1]Hugst!$R$4:$W$4,0))))</f>
        <v>361.84158512396232</v>
      </c>
      <c r="N138">
        <f ca="1">IF($C138-N$1&lt;År1,0,M137*(1-VLOOKUP($A138,[1]Hugst!$R$5:$W$9,MATCH(ROUNDUP((N$1)/10,0)*10,[1]Hugst!$R$4:$W$4,0))))</f>
        <v>362.37462046597341</v>
      </c>
      <c r="O138">
        <f ca="1">IF($C138-O$1&lt;År1,0,N137*(1-VLOOKUP($A138,[1]Hugst!$R$5:$W$9,MATCH(ROUNDUP((O$1)/10,0)*10,[1]Hugst!$R$4:$W$4,0))))</f>
        <v>362.9103343775422</v>
      </c>
      <c r="P138">
        <f ca="1">IF($C138-P$1&lt;År1,0,O137*(1-VLOOKUP($A138,[1]Hugst!$R$5:$W$9,MATCH(ROUNDUP((P$1)/10,0)*10,[1]Hugst!$R$4:$W$4,0))))</f>
        <v>363.44874031881761</v>
      </c>
      <c r="Q138">
        <f ca="1">IF($C138-Q$1&lt;År1,0,P137*(1-VLOOKUP($A138,[1]Hugst!$R$5:$W$9,MATCH(ROUNDUP((Q$1)/10,0)*10,[1]Hugst!$R$4:$W$4,0))))</f>
        <v>363.98985181758314</v>
      </c>
      <c r="R138">
        <f ca="1">IF($C138-R$1&lt;År1,0,Q137*(1-VLOOKUP($A138,[1]Hugst!$R$5:$W$9,MATCH(ROUNDUP((R$1)/10,0)*10,[1]Hugst!$R$4:$W$4,0))))</f>
        <v>364.53368246961463</v>
      </c>
      <c r="S138">
        <f>IF($C138-S$1&lt;År1,0,R137*(1-VLOOKUP($A138,[1]Hugst!$R$5:$W$9,MATCH(ROUNDUP((S$1)/10,0)*10,[1]Hugst!$R$4:$W$4,0))))</f>
        <v>0</v>
      </c>
      <c r="T138">
        <f>IF($C138-T$1&lt;År1,0,S137*(1-VLOOKUP($A138,[1]Hugst!$R$5:$W$9,MATCH(ROUNDUP((T$1)/10,0)*10,[1]Hugst!$R$4:$W$4,0))))</f>
        <v>0</v>
      </c>
      <c r="U138">
        <f>IF($C138-U$1&lt;År1,0,T137*(1-VLOOKUP($A138,[1]Hugst!$R$5:$W$9,MATCH(ROUNDUP((U$1)/10,0)*10,[1]Hugst!$R$4:$W$4,0))))</f>
        <v>0</v>
      </c>
      <c r="V138">
        <f>IF($C138-V$1&lt;År1,0,U137*(1-VLOOKUP($A138,[1]Hugst!$R$5:$W$9,MATCH(ROUNDUP((V$1)/10,0)*10,[1]Hugst!$R$4:$W$4,0))))</f>
        <v>0</v>
      </c>
      <c r="W138">
        <f>IF($C138-W$1&lt;År1,0,V137*(1-VLOOKUP($A138,[1]Hugst!$R$5:$W$9,MATCH(ROUNDUP((W$1)/10,0)*10,[1]Hugst!$R$4:$W$4,0))))</f>
        <v>0</v>
      </c>
      <c r="X138">
        <f>IF($C138-X$1&lt;År1,0,W137*(1-VLOOKUP($A138,[1]Hugst!$R$5:$W$9,MATCH(ROUNDUP((X$1)/10,0)*10,[1]Hugst!$R$4:$W$4,0))))</f>
        <v>0</v>
      </c>
      <c r="Y138">
        <f>IF($C138-Y$1&lt;År1,0,X137*(1-VLOOKUP($A138,[1]Hugst!$R$5:$W$9,MATCH(ROUNDUP((Y$1)/10,0)*10,[1]Hugst!$R$4:$W$4,0))))</f>
        <v>0</v>
      </c>
      <c r="Z138">
        <f>IF($C138-Z$1&lt;År1,0,Y137*(1-VLOOKUP($A138,[1]Hugst!$R$5:$W$9,MATCH(ROUNDUP((Z$1)/10,0)*10,[1]Hugst!$R$4:$W$4,0))))</f>
        <v>0</v>
      </c>
      <c r="AA138">
        <f>IF($C138-AA$1&lt;År1,0,Z137*(1-VLOOKUP($A138,[1]Hugst!$R$5:$W$9,MATCH(ROUNDUP((AA$1)/10,0)*10,[1]Hugst!$R$4:$W$4,0))))</f>
        <v>0</v>
      </c>
      <c r="AB138">
        <f>IF($C138-AB$1&lt;År1,0,AA137*(1-VLOOKUP($A138,[1]Hugst!$R$5:$W$9,MATCH(ROUNDUP((AB$1)/10,0)*10,[1]Hugst!$R$4:$W$4,0))))</f>
        <v>0</v>
      </c>
      <c r="AC138">
        <f>IF($C138-AC$1&lt;År1,0,AB137*(1-VLOOKUP($A138,[1]Hugst!$R$5:$W$9,MATCH(ROUNDUP((AC$1)/10,0)*10,[1]Hugst!$R$4:$W$4,0))))</f>
        <v>0</v>
      </c>
      <c r="AD138">
        <f>IF($C138-AD$1&lt;År1,0,AC137*(1-VLOOKUP($A138,[1]Hugst!$R$5:$W$9,MATCH(ROUNDUP((AD$1)/10,0)*10,[1]Hugst!$R$4:$W$4,0))))</f>
        <v>0</v>
      </c>
      <c r="AE138">
        <f>IF($C138-AE$1&lt;År1,0,AD137*(1-VLOOKUP($A138,[1]Hugst!$R$5:$W$9,MATCH(ROUNDUP((AE$1)/10,0)*10,[1]Hugst!$R$4:$W$4,0))))</f>
        <v>0</v>
      </c>
      <c r="AF138">
        <f>IF($C138-AF$1&lt;År1,0,AE137*(1-VLOOKUP($A138,[1]Hugst!$R$5:$W$9,MATCH(ROUNDUP((AF$1)/10,0)*10,[1]Hugst!$R$4:$W$4,0))))</f>
        <v>0</v>
      </c>
      <c r="AG138">
        <f>IF($C138-AG$1&lt;År1,0,AF137*(1-VLOOKUP($A138,[1]Hugst!$R$5:$W$9,MATCH(ROUNDUP((AG$1)/10,0)*10,[1]Hugst!$R$4:$W$4,0))))</f>
        <v>0</v>
      </c>
      <c r="AH138">
        <f>IF($C138-AH$1&lt;År1,0,AG137*(1-VLOOKUP($A138,[1]Hugst!$R$5:$W$9,MATCH(ROUNDUP((AH$1)/10,0)*10,[1]Hugst!$R$4:$W$4,0))))</f>
        <v>0</v>
      </c>
      <c r="AI138">
        <f>IF($C138-AI$1&lt;År1,0,AH137*(1-VLOOKUP($A138,[1]Hugst!$R$5:$W$9,MATCH(ROUNDUP((AI$1)/10,0)*10,[1]Hugst!$R$4:$W$4,0))))</f>
        <v>0</v>
      </c>
      <c r="AJ138">
        <f>IF($C138-AJ$1&lt;År1,0,AI137*(1-VLOOKUP($A138,[1]Hugst!$R$5:$W$9,MATCH(ROUNDUP((AJ$1)/10,0)*10,[1]Hugst!$R$4:$W$4,0))))</f>
        <v>0</v>
      </c>
    </row>
    <row r="139" spans="1:36" x14ac:dyDescent="0.25">
      <c r="A139" t="s">
        <v>178</v>
      </c>
      <c r="B139" t="s">
        <v>23</v>
      </c>
      <c r="C139">
        <v>2033</v>
      </c>
      <c r="D139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101.90458566484153</v>
      </c>
      <c r="E139">
        <f t="shared" ca="1" si="3"/>
        <v>0</v>
      </c>
      <c r="F13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503.82502462231758</v>
      </c>
      <c r="G139">
        <f ca="1">IF($C139-G$1&lt;År1,0,F138*(1-VLOOKUP($A139,[1]Hugst!$R$5:$W$9,MATCH(ROUNDUP((G$1)/10,0)*10,[1]Hugst!$R$4:$W$4,0))))</f>
        <v>504.33710796736972</v>
      </c>
      <c r="H139">
        <f ca="1">IF($C139-H$1&lt;År1,0,G138*(1-VLOOKUP($A139,[1]Hugst!$R$5:$W$9,MATCH(ROUNDUP((H$1)/10,0)*10,[1]Hugst!$R$4:$W$4,0))))</f>
        <v>504.85176459555504</v>
      </c>
      <c r="I139">
        <f ca="1">IF($C139-I$1&lt;År1,0,H138*(1-VLOOKUP($A139,[1]Hugst!$R$5:$W$9,MATCH(ROUNDUP((I$1)/10,0)*10,[1]Hugst!$R$4:$W$4,0))))</f>
        <v>359.21612054433638</v>
      </c>
      <c r="J139">
        <f ca="1">IF($C139-J$1&lt;År1,0,I138*(1-VLOOKUP($A139,[1]Hugst!$R$5:$W$9,MATCH(ROUNDUP((J$1)/10,0)*10,[1]Hugst!$R$4:$W$4,0))))</f>
        <v>359.73596259699673</v>
      </c>
      <c r="K139">
        <f ca="1">IF($C139-K$1&lt;År1,0,J138*(1-VLOOKUP($A139,[1]Hugst!$R$5:$W$9,MATCH(ROUNDUP((K$1)/10,0)*10,[1]Hugst!$R$4:$W$4,0))))</f>
        <v>360.2584169212887</v>
      </c>
      <c r="L139">
        <f ca="1">IF($C139-L$1&lt;År1,0,K138*(1-VLOOKUP($A139,[1]Hugst!$R$5:$W$9,MATCH(ROUNDUP((L$1)/10,0)*10,[1]Hugst!$R$4:$W$4,0))))</f>
        <v>360.7834966441892</v>
      </c>
      <c r="M139">
        <f ca="1">IF($C139-M$1&lt;År1,0,L138*(1-VLOOKUP($A139,[1]Hugst!$R$5:$W$9,MATCH(ROUNDUP((M$1)/10,0)*10,[1]Hugst!$R$4:$W$4,0))))</f>
        <v>361.31121495866228</v>
      </c>
      <c r="N139">
        <f ca="1">IF($C139-N$1&lt;År1,0,M138*(1-VLOOKUP($A139,[1]Hugst!$R$5:$W$9,MATCH(ROUNDUP((N$1)/10,0)*10,[1]Hugst!$R$4:$W$4,0))))</f>
        <v>361.84158512396232</v>
      </c>
      <c r="O139">
        <f ca="1">IF($C139-O$1&lt;År1,0,N138*(1-VLOOKUP($A139,[1]Hugst!$R$5:$W$9,MATCH(ROUNDUP((O$1)/10,0)*10,[1]Hugst!$R$4:$W$4,0))))</f>
        <v>362.37462046597341</v>
      </c>
      <c r="P139">
        <f ca="1">IF($C139-P$1&lt;År1,0,O138*(1-VLOOKUP($A139,[1]Hugst!$R$5:$W$9,MATCH(ROUNDUP((P$1)/10,0)*10,[1]Hugst!$R$4:$W$4,0))))</f>
        <v>362.9103343775422</v>
      </c>
      <c r="Q139">
        <f ca="1">IF($C139-Q$1&lt;År1,0,P138*(1-VLOOKUP($A139,[1]Hugst!$R$5:$W$9,MATCH(ROUNDUP((Q$1)/10,0)*10,[1]Hugst!$R$4:$W$4,0))))</f>
        <v>363.44874031881761</v>
      </c>
      <c r="R139">
        <f ca="1">IF($C139-R$1&lt;År1,0,Q138*(1-VLOOKUP($A139,[1]Hugst!$R$5:$W$9,MATCH(ROUNDUP((R$1)/10,0)*10,[1]Hugst!$R$4:$W$4,0))))</f>
        <v>363.98985181758314</v>
      </c>
      <c r="S139">
        <f ca="1">IF($C139-S$1&lt;År1,0,R138*(1-VLOOKUP($A139,[1]Hugst!$R$5:$W$9,MATCH(ROUNDUP((S$1)/10,0)*10,[1]Hugst!$R$4:$W$4,0))))</f>
        <v>364.53368246961463</v>
      </c>
      <c r="T139">
        <f>IF($C139-T$1&lt;År1,0,S138*(1-VLOOKUP($A139,[1]Hugst!$R$5:$W$9,MATCH(ROUNDUP((T$1)/10,0)*10,[1]Hugst!$R$4:$W$4,0))))</f>
        <v>0</v>
      </c>
      <c r="U139">
        <f>IF($C139-U$1&lt;År1,0,T138*(1-VLOOKUP($A139,[1]Hugst!$R$5:$W$9,MATCH(ROUNDUP((U$1)/10,0)*10,[1]Hugst!$R$4:$W$4,0))))</f>
        <v>0</v>
      </c>
      <c r="V139">
        <f>IF($C139-V$1&lt;År1,0,U138*(1-VLOOKUP($A139,[1]Hugst!$R$5:$W$9,MATCH(ROUNDUP((V$1)/10,0)*10,[1]Hugst!$R$4:$W$4,0))))</f>
        <v>0</v>
      </c>
      <c r="W139">
        <f>IF($C139-W$1&lt;År1,0,V138*(1-VLOOKUP($A139,[1]Hugst!$R$5:$W$9,MATCH(ROUNDUP((W$1)/10,0)*10,[1]Hugst!$R$4:$W$4,0))))</f>
        <v>0</v>
      </c>
      <c r="X139">
        <f>IF($C139-X$1&lt;År1,0,W138*(1-VLOOKUP($A139,[1]Hugst!$R$5:$W$9,MATCH(ROUNDUP((X$1)/10,0)*10,[1]Hugst!$R$4:$W$4,0))))</f>
        <v>0</v>
      </c>
      <c r="Y139">
        <f>IF($C139-Y$1&lt;År1,0,X138*(1-VLOOKUP($A139,[1]Hugst!$R$5:$W$9,MATCH(ROUNDUP((Y$1)/10,0)*10,[1]Hugst!$R$4:$W$4,0))))</f>
        <v>0</v>
      </c>
      <c r="Z139">
        <f>IF($C139-Z$1&lt;År1,0,Y138*(1-VLOOKUP($A139,[1]Hugst!$R$5:$W$9,MATCH(ROUNDUP((Z$1)/10,0)*10,[1]Hugst!$R$4:$W$4,0))))</f>
        <v>0</v>
      </c>
      <c r="AA139">
        <f>IF($C139-AA$1&lt;År1,0,Z138*(1-VLOOKUP($A139,[1]Hugst!$R$5:$W$9,MATCH(ROUNDUP((AA$1)/10,0)*10,[1]Hugst!$R$4:$W$4,0))))</f>
        <v>0</v>
      </c>
      <c r="AB139">
        <f>IF($C139-AB$1&lt;År1,0,AA138*(1-VLOOKUP($A139,[1]Hugst!$R$5:$W$9,MATCH(ROUNDUP((AB$1)/10,0)*10,[1]Hugst!$R$4:$W$4,0))))</f>
        <v>0</v>
      </c>
      <c r="AC139">
        <f>IF($C139-AC$1&lt;År1,0,AB138*(1-VLOOKUP($A139,[1]Hugst!$R$5:$W$9,MATCH(ROUNDUP((AC$1)/10,0)*10,[1]Hugst!$R$4:$W$4,0))))</f>
        <v>0</v>
      </c>
      <c r="AD139">
        <f>IF($C139-AD$1&lt;År1,0,AC138*(1-VLOOKUP($A139,[1]Hugst!$R$5:$W$9,MATCH(ROUNDUP((AD$1)/10,0)*10,[1]Hugst!$R$4:$W$4,0))))</f>
        <v>0</v>
      </c>
      <c r="AE139">
        <f>IF($C139-AE$1&lt;År1,0,AD138*(1-VLOOKUP($A139,[1]Hugst!$R$5:$W$9,MATCH(ROUNDUP((AE$1)/10,0)*10,[1]Hugst!$R$4:$W$4,0))))</f>
        <v>0</v>
      </c>
      <c r="AF139">
        <f>IF($C139-AF$1&lt;År1,0,AE138*(1-VLOOKUP($A139,[1]Hugst!$R$5:$W$9,MATCH(ROUNDUP((AF$1)/10,0)*10,[1]Hugst!$R$4:$W$4,0))))</f>
        <v>0</v>
      </c>
      <c r="AG139">
        <f>IF($C139-AG$1&lt;År1,0,AF138*(1-VLOOKUP($A139,[1]Hugst!$R$5:$W$9,MATCH(ROUNDUP((AG$1)/10,0)*10,[1]Hugst!$R$4:$W$4,0))))</f>
        <v>0</v>
      </c>
      <c r="AH139">
        <f>IF($C139-AH$1&lt;År1,0,AG138*(1-VLOOKUP($A139,[1]Hugst!$R$5:$W$9,MATCH(ROUNDUP((AH$1)/10,0)*10,[1]Hugst!$R$4:$W$4,0))))</f>
        <v>0</v>
      </c>
      <c r="AI139">
        <f>IF($C139-AI$1&lt;År1,0,AH138*(1-VLOOKUP($A139,[1]Hugst!$R$5:$W$9,MATCH(ROUNDUP((AI$1)/10,0)*10,[1]Hugst!$R$4:$W$4,0))))</f>
        <v>0</v>
      </c>
      <c r="AJ139">
        <f>IF($C139-AJ$1&lt;År1,0,AI138*(1-VLOOKUP($A139,[1]Hugst!$R$5:$W$9,MATCH(ROUNDUP((AJ$1)/10,0)*10,[1]Hugst!$R$4:$W$4,0))))</f>
        <v>0</v>
      </c>
    </row>
    <row r="140" spans="1:36" x14ac:dyDescent="0.25">
      <c r="A140" t="s">
        <v>178</v>
      </c>
      <c r="B140" t="s">
        <v>23</v>
      </c>
      <c r="C140">
        <v>2034</v>
      </c>
      <c r="D140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101.39506273651773</v>
      </c>
      <c r="E140">
        <f t="shared" ca="1" si="3"/>
        <v>0</v>
      </c>
      <c r="F140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503.31550169399378</v>
      </c>
      <c r="G140">
        <f ca="1">IF($C140-G$1&lt;År1,0,F139*(1-VLOOKUP($A140,[1]Hugst!$R$5:$W$9,MATCH(ROUNDUP((G$1)/10,0)*10,[1]Hugst!$R$4:$W$4,0))))</f>
        <v>503.82502462231758</v>
      </c>
      <c r="H140">
        <f ca="1">IF($C140-H$1&lt;År1,0,G139*(1-VLOOKUP($A140,[1]Hugst!$R$5:$W$9,MATCH(ROUNDUP((H$1)/10,0)*10,[1]Hugst!$R$4:$W$4,0))))</f>
        <v>504.33710796736972</v>
      </c>
      <c r="I140">
        <f ca="1">IF($C140-I$1&lt;År1,0,H139*(1-VLOOKUP($A140,[1]Hugst!$R$5:$W$9,MATCH(ROUNDUP((I$1)/10,0)*10,[1]Hugst!$R$4:$W$4,0))))</f>
        <v>504.85176459555504</v>
      </c>
      <c r="J140">
        <f ca="1">IF($C140-J$1&lt;År1,0,I139*(1-VLOOKUP($A140,[1]Hugst!$R$5:$W$9,MATCH(ROUNDUP((J$1)/10,0)*10,[1]Hugst!$R$4:$W$4,0))))</f>
        <v>359.21612054433638</v>
      </c>
      <c r="K140">
        <f ca="1">IF($C140-K$1&lt;År1,0,J139*(1-VLOOKUP($A140,[1]Hugst!$R$5:$W$9,MATCH(ROUNDUP((K$1)/10,0)*10,[1]Hugst!$R$4:$W$4,0))))</f>
        <v>359.73596259699673</v>
      </c>
      <c r="L140">
        <f ca="1">IF($C140-L$1&lt;År1,0,K139*(1-VLOOKUP($A140,[1]Hugst!$R$5:$W$9,MATCH(ROUNDUP((L$1)/10,0)*10,[1]Hugst!$R$4:$W$4,0))))</f>
        <v>360.2584169212887</v>
      </c>
      <c r="M140">
        <f ca="1">IF($C140-M$1&lt;År1,0,L139*(1-VLOOKUP($A140,[1]Hugst!$R$5:$W$9,MATCH(ROUNDUP((M$1)/10,0)*10,[1]Hugst!$R$4:$W$4,0))))</f>
        <v>360.7834966441892</v>
      </c>
      <c r="N140">
        <f ca="1">IF($C140-N$1&lt;År1,0,M139*(1-VLOOKUP($A140,[1]Hugst!$R$5:$W$9,MATCH(ROUNDUP((N$1)/10,0)*10,[1]Hugst!$R$4:$W$4,0))))</f>
        <v>361.31121495866228</v>
      </c>
      <c r="O140">
        <f ca="1">IF($C140-O$1&lt;År1,0,N139*(1-VLOOKUP($A140,[1]Hugst!$R$5:$W$9,MATCH(ROUNDUP((O$1)/10,0)*10,[1]Hugst!$R$4:$W$4,0))))</f>
        <v>361.84158512396232</v>
      </c>
      <c r="P140">
        <f ca="1">IF($C140-P$1&lt;År1,0,O139*(1-VLOOKUP($A140,[1]Hugst!$R$5:$W$9,MATCH(ROUNDUP((P$1)/10,0)*10,[1]Hugst!$R$4:$W$4,0))))</f>
        <v>362.37462046597341</v>
      </c>
      <c r="Q140">
        <f ca="1">IF($C140-Q$1&lt;År1,0,P139*(1-VLOOKUP($A140,[1]Hugst!$R$5:$W$9,MATCH(ROUNDUP((Q$1)/10,0)*10,[1]Hugst!$R$4:$W$4,0))))</f>
        <v>362.9103343775422</v>
      </c>
      <c r="R140">
        <f ca="1">IF($C140-R$1&lt;År1,0,Q139*(1-VLOOKUP($A140,[1]Hugst!$R$5:$W$9,MATCH(ROUNDUP((R$1)/10,0)*10,[1]Hugst!$R$4:$W$4,0))))</f>
        <v>363.44874031881761</v>
      </c>
      <c r="S140">
        <f ca="1">IF($C140-S$1&lt;År1,0,R139*(1-VLOOKUP($A140,[1]Hugst!$R$5:$W$9,MATCH(ROUNDUP((S$1)/10,0)*10,[1]Hugst!$R$4:$W$4,0))))</f>
        <v>363.98985181758314</v>
      </c>
      <c r="T140">
        <f ca="1">IF($C140-T$1&lt;År1,0,S139*(1-VLOOKUP($A140,[1]Hugst!$R$5:$W$9,MATCH(ROUNDUP((T$1)/10,0)*10,[1]Hugst!$R$4:$W$4,0))))</f>
        <v>364.53368246961463</v>
      </c>
      <c r="U140">
        <f>IF($C140-U$1&lt;År1,0,T139*(1-VLOOKUP($A140,[1]Hugst!$R$5:$W$9,MATCH(ROUNDUP((U$1)/10,0)*10,[1]Hugst!$R$4:$W$4,0))))</f>
        <v>0</v>
      </c>
      <c r="V140">
        <f>IF($C140-V$1&lt;År1,0,U139*(1-VLOOKUP($A140,[1]Hugst!$R$5:$W$9,MATCH(ROUNDUP((V$1)/10,0)*10,[1]Hugst!$R$4:$W$4,0))))</f>
        <v>0</v>
      </c>
      <c r="W140">
        <f>IF($C140-W$1&lt;År1,0,V139*(1-VLOOKUP($A140,[1]Hugst!$R$5:$W$9,MATCH(ROUNDUP((W$1)/10,0)*10,[1]Hugst!$R$4:$W$4,0))))</f>
        <v>0</v>
      </c>
      <c r="X140">
        <f>IF($C140-X$1&lt;År1,0,W139*(1-VLOOKUP($A140,[1]Hugst!$R$5:$W$9,MATCH(ROUNDUP((X$1)/10,0)*10,[1]Hugst!$R$4:$W$4,0))))</f>
        <v>0</v>
      </c>
      <c r="Y140">
        <f>IF($C140-Y$1&lt;År1,0,X139*(1-VLOOKUP($A140,[1]Hugst!$R$5:$W$9,MATCH(ROUNDUP((Y$1)/10,0)*10,[1]Hugst!$R$4:$W$4,0))))</f>
        <v>0</v>
      </c>
      <c r="Z140">
        <f>IF($C140-Z$1&lt;År1,0,Y139*(1-VLOOKUP($A140,[1]Hugst!$R$5:$W$9,MATCH(ROUNDUP((Z$1)/10,0)*10,[1]Hugst!$R$4:$W$4,0))))</f>
        <v>0</v>
      </c>
      <c r="AA140">
        <f>IF($C140-AA$1&lt;År1,0,Z139*(1-VLOOKUP($A140,[1]Hugst!$R$5:$W$9,MATCH(ROUNDUP((AA$1)/10,0)*10,[1]Hugst!$R$4:$W$4,0))))</f>
        <v>0</v>
      </c>
      <c r="AB140">
        <f>IF($C140-AB$1&lt;År1,0,AA139*(1-VLOOKUP($A140,[1]Hugst!$R$5:$W$9,MATCH(ROUNDUP((AB$1)/10,0)*10,[1]Hugst!$R$4:$W$4,0))))</f>
        <v>0</v>
      </c>
      <c r="AC140">
        <f>IF($C140-AC$1&lt;År1,0,AB139*(1-VLOOKUP($A140,[1]Hugst!$R$5:$W$9,MATCH(ROUNDUP((AC$1)/10,0)*10,[1]Hugst!$R$4:$W$4,0))))</f>
        <v>0</v>
      </c>
      <c r="AD140">
        <f>IF($C140-AD$1&lt;År1,0,AC139*(1-VLOOKUP($A140,[1]Hugst!$R$5:$W$9,MATCH(ROUNDUP((AD$1)/10,0)*10,[1]Hugst!$R$4:$W$4,0))))</f>
        <v>0</v>
      </c>
      <c r="AE140">
        <f>IF($C140-AE$1&lt;År1,0,AD139*(1-VLOOKUP($A140,[1]Hugst!$R$5:$W$9,MATCH(ROUNDUP((AE$1)/10,0)*10,[1]Hugst!$R$4:$W$4,0))))</f>
        <v>0</v>
      </c>
      <c r="AF140">
        <f>IF($C140-AF$1&lt;År1,0,AE139*(1-VLOOKUP($A140,[1]Hugst!$R$5:$W$9,MATCH(ROUNDUP((AF$1)/10,0)*10,[1]Hugst!$R$4:$W$4,0))))</f>
        <v>0</v>
      </c>
      <c r="AG140">
        <f>IF($C140-AG$1&lt;År1,0,AF139*(1-VLOOKUP($A140,[1]Hugst!$R$5:$W$9,MATCH(ROUNDUP((AG$1)/10,0)*10,[1]Hugst!$R$4:$W$4,0))))</f>
        <v>0</v>
      </c>
      <c r="AH140">
        <f>IF($C140-AH$1&lt;År1,0,AG139*(1-VLOOKUP($A140,[1]Hugst!$R$5:$W$9,MATCH(ROUNDUP((AH$1)/10,0)*10,[1]Hugst!$R$4:$W$4,0))))</f>
        <v>0</v>
      </c>
      <c r="AI140">
        <f>IF($C140-AI$1&lt;År1,0,AH139*(1-VLOOKUP($A140,[1]Hugst!$R$5:$W$9,MATCH(ROUNDUP((AI$1)/10,0)*10,[1]Hugst!$R$4:$W$4,0))))</f>
        <v>0</v>
      </c>
      <c r="AJ140">
        <f>IF($C140-AJ$1&lt;År1,0,AI139*(1-VLOOKUP($A140,[1]Hugst!$R$5:$W$9,MATCH(ROUNDUP((AJ$1)/10,0)*10,[1]Hugst!$R$4:$W$4,0))))</f>
        <v>0</v>
      </c>
    </row>
    <row r="141" spans="1:36" x14ac:dyDescent="0.25">
      <c r="A141" t="s">
        <v>178</v>
      </c>
      <c r="B141" t="s">
        <v>23</v>
      </c>
      <c r="C141">
        <v>2035</v>
      </c>
      <c r="D141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100.88808742283732</v>
      </c>
      <c r="E141">
        <f t="shared" ca="1" si="3"/>
        <v>0</v>
      </c>
      <c r="F141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502.80852638031337</v>
      </c>
      <c r="G141">
        <f ca="1">IF($C141-G$1&lt;År1,0,F140*(1-VLOOKUP($A141,[1]Hugst!$R$5:$W$9,MATCH(ROUNDUP((G$1)/10,0)*10,[1]Hugst!$R$4:$W$4,0))))</f>
        <v>503.31550169399378</v>
      </c>
      <c r="H141">
        <f ca="1">IF($C141-H$1&lt;År1,0,G140*(1-VLOOKUP($A141,[1]Hugst!$R$5:$W$9,MATCH(ROUNDUP((H$1)/10,0)*10,[1]Hugst!$R$4:$W$4,0))))</f>
        <v>503.82502462231758</v>
      </c>
      <c r="I141">
        <f ca="1">IF($C141-I$1&lt;År1,0,H140*(1-VLOOKUP($A141,[1]Hugst!$R$5:$W$9,MATCH(ROUNDUP((I$1)/10,0)*10,[1]Hugst!$R$4:$W$4,0))))</f>
        <v>504.33710796736972</v>
      </c>
      <c r="J141">
        <f ca="1">IF($C141-J$1&lt;År1,0,I140*(1-VLOOKUP($A141,[1]Hugst!$R$5:$W$9,MATCH(ROUNDUP((J$1)/10,0)*10,[1]Hugst!$R$4:$W$4,0))))</f>
        <v>504.85176459555504</v>
      </c>
      <c r="K141">
        <f ca="1">IF($C141-K$1&lt;År1,0,J140*(1-VLOOKUP($A141,[1]Hugst!$R$5:$W$9,MATCH(ROUNDUP((K$1)/10,0)*10,[1]Hugst!$R$4:$W$4,0))))</f>
        <v>359.21612054433638</v>
      </c>
      <c r="L141">
        <f ca="1">IF($C141-L$1&lt;År1,0,K140*(1-VLOOKUP($A141,[1]Hugst!$R$5:$W$9,MATCH(ROUNDUP((L$1)/10,0)*10,[1]Hugst!$R$4:$W$4,0))))</f>
        <v>359.73596259699673</v>
      </c>
      <c r="M141">
        <f ca="1">IF($C141-M$1&lt;År1,0,L140*(1-VLOOKUP($A141,[1]Hugst!$R$5:$W$9,MATCH(ROUNDUP((M$1)/10,0)*10,[1]Hugst!$R$4:$W$4,0))))</f>
        <v>360.2584169212887</v>
      </c>
      <c r="N141">
        <f ca="1">IF($C141-N$1&lt;År1,0,M140*(1-VLOOKUP($A141,[1]Hugst!$R$5:$W$9,MATCH(ROUNDUP((N$1)/10,0)*10,[1]Hugst!$R$4:$W$4,0))))</f>
        <v>360.7834966441892</v>
      </c>
      <c r="O141">
        <f ca="1">IF($C141-O$1&lt;År1,0,N140*(1-VLOOKUP($A141,[1]Hugst!$R$5:$W$9,MATCH(ROUNDUP((O$1)/10,0)*10,[1]Hugst!$R$4:$W$4,0))))</f>
        <v>361.31121495866228</v>
      </c>
      <c r="P141">
        <f ca="1">IF($C141-P$1&lt;År1,0,O140*(1-VLOOKUP($A141,[1]Hugst!$R$5:$W$9,MATCH(ROUNDUP((P$1)/10,0)*10,[1]Hugst!$R$4:$W$4,0))))</f>
        <v>361.84158512396232</v>
      </c>
      <c r="Q141">
        <f ca="1">IF($C141-Q$1&lt;År1,0,P140*(1-VLOOKUP($A141,[1]Hugst!$R$5:$W$9,MATCH(ROUNDUP((Q$1)/10,0)*10,[1]Hugst!$R$4:$W$4,0))))</f>
        <v>362.37462046597341</v>
      </c>
      <c r="R141">
        <f ca="1">IF($C141-R$1&lt;År1,0,Q140*(1-VLOOKUP($A141,[1]Hugst!$R$5:$W$9,MATCH(ROUNDUP((R$1)/10,0)*10,[1]Hugst!$R$4:$W$4,0))))</f>
        <v>362.9103343775422</v>
      </c>
      <c r="S141">
        <f ca="1">IF($C141-S$1&lt;År1,0,R140*(1-VLOOKUP($A141,[1]Hugst!$R$5:$W$9,MATCH(ROUNDUP((S$1)/10,0)*10,[1]Hugst!$R$4:$W$4,0))))</f>
        <v>363.44874031881761</v>
      </c>
      <c r="T141">
        <f ca="1">IF($C141-T$1&lt;År1,0,S140*(1-VLOOKUP($A141,[1]Hugst!$R$5:$W$9,MATCH(ROUNDUP((T$1)/10,0)*10,[1]Hugst!$R$4:$W$4,0))))</f>
        <v>363.98985181758314</v>
      </c>
      <c r="U141">
        <f ca="1">IF($C141-U$1&lt;År1,0,T140*(1-VLOOKUP($A141,[1]Hugst!$R$5:$W$9,MATCH(ROUNDUP((U$1)/10,0)*10,[1]Hugst!$R$4:$W$4,0))))</f>
        <v>364.53368246961463</v>
      </c>
      <c r="V141">
        <f>IF($C141-V$1&lt;År1,0,U140*(1-VLOOKUP($A141,[1]Hugst!$R$5:$W$9,MATCH(ROUNDUP((V$1)/10,0)*10,[1]Hugst!$R$4:$W$4,0))))</f>
        <v>0</v>
      </c>
      <c r="W141">
        <f>IF($C141-W$1&lt;År1,0,V140*(1-VLOOKUP($A141,[1]Hugst!$R$5:$W$9,MATCH(ROUNDUP((W$1)/10,0)*10,[1]Hugst!$R$4:$W$4,0))))</f>
        <v>0</v>
      </c>
      <c r="X141">
        <f>IF($C141-X$1&lt;År1,0,W140*(1-VLOOKUP($A141,[1]Hugst!$R$5:$W$9,MATCH(ROUNDUP((X$1)/10,0)*10,[1]Hugst!$R$4:$W$4,0))))</f>
        <v>0</v>
      </c>
      <c r="Y141">
        <f>IF($C141-Y$1&lt;År1,0,X140*(1-VLOOKUP($A141,[1]Hugst!$R$5:$W$9,MATCH(ROUNDUP((Y$1)/10,0)*10,[1]Hugst!$R$4:$W$4,0))))</f>
        <v>0</v>
      </c>
      <c r="Z141">
        <f>IF($C141-Z$1&lt;År1,0,Y140*(1-VLOOKUP($A141,[1]Hugst!$R$5:$W$9,MATCH(ROUNDUP((Z$1)/10,0)*10,[1]Hugst!$R$4:$W$4,0))))</f>
        <v>0</v>
      </c>
      <c r="AA141">
        <f>IF($C141-AA$1&lt;År1,0,Z140*(1-VLOOKUP($A141,[1]Hugst!$R$5:$W$9,MATCH(ROUNDUP((AA$1)/10,0)*10,[1]Hugst!$R$4:$W$4,0))))</f>
        <v>0</v>
      </c>
      <c r="AB141">
        <f>IF($C141-AB$1&lt;År1,0,AA140*(1-VLOOKUP($A141,[1]Hugst!$R$5:$W$9,MATCH(ROUNDUP((AB$1)/10,0)*10,[1]Hugst!$R$4:$W$4,0))))</f>
        <v>0</v>
      </c>
      <c r="AC141">
        <f>IF($C141-AC$1&lt;År1,0,AB140*(1-VLOOKUP($A141,[1]Hugst!$R$5:$W$9,MATCH(ROUNDUP((AC$1)/10,0)*10,[1]Hugst!$R$4:$W$4,0))))</f>
        <v>0</v>
      </c>
      <c r="AD141">
        <f>IF($C141-AD$1&lt;År1,0,AC140*(1-VLOOKUP($A141,[1]Hugst!$R$5:$W$9,MATCH(ROUNDUP((AD$1)/10,0)*10,[1]Hugst!$R$4:$W$4,0))))</f>
        <v>0</v>
      </c>
      <c r="AE141">
        <f>IF($C141-AE$1&lt;År1,0,AD140*(1-VLOOKUP($A141,[1]Hugst!$R$5:$W$9,MATCH(ROUNDUP((AE$1)/10,0)*10,[1]Hugst!$R$4:$W$4,0))))</f>
        <v>0</v>
      </c>
      <c r="AF141">
        <f>IF($C141-AF$1&lt;År1,0,AE140*(1-VLOOKUP($A141,[1]Hugst!$R$5:$W$9,MATCH(ROUNDUP((AF$1)/10,0)*10,[1]Hugst!$R$4:$W$4,0))))</f>
        <v>0</v>
      </c>
      <c r="AG141">
        <f>IF($C141-AG$1&lt;År1,0,AF140*(1-VLOOKUP($A141,[1]Hugst!$R$5:$W$9,MATCH(ROUNDUP((AG$1)/10,0)*10,[1]Hugst!$R$4:$W$4,0))))</f>
        <v>0</v>
      </c>
      <c r="AH141">
        <f>IF($C141-AH$1&lt;År1,0,AG140*(1-VLOOKUP($A141,[1]Hugst!$R$5:$W$9,MATCH(ROUNDUP((AH$1)/10,0)*10,[1]Hugst!$R$4:$W$4,0))))</f>
        <v>0</v>
      </c>
      <c r="AI141">
        <f>IF($C141-AI$1&lt;År1,0,AH140*(1-VLOOKUP($A141,[1]Hugst!$R$5:$W$9,MATCH(ROUNDUP((AI$1)/10,0)*10,[1]Hugst!$R$4:$W$4,0))))</f>
        <v>0</v>
      </c>
      <c r="AJ141">
        <f>IF($C141-AJ$1&lt;År1,0,AI140*(1-VLOOKUP($A141,[1]Hugst!$R$5:$W$9,MATCH(ROUNDUP((AJ$1)/10,0)*10,[1]Hugst!$R$4:$W$4,0))))</f>
        <v>0</v>
      </c>
    </row>
    <row r="142" spans="1:36" x14ac:dyDescent="0.25">
      <c r="A142" t="s">
        <v>178</v>
      </c>
      <c r="B142" t="s">
        <v>23</v>
      </c>
      <c r="C142">
        <v>2036</v>
      </c>
      <c r="D142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100.38364698572263</v>
      </c>
      <c r="E142">
        <f t="shared" ca="1" si="3"/>
        <v>0</v>
      </c>
      <c r="F142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502.30408594319869</v>
      </c>
      <c r="G142">
        <f ca="1">IF($C142-G$1&lt;År1,0,F141*(1-VLOOKUP($A142,[1]Hugst!$R$5:$W$9,MATCH(ROUNDUP((G$1)/10,0)*10,[1]Hugst!$R$4:$W$4,0))))</f>
        <v>502.80852638031337</v>
      </c>
      <c r="H142">
        <f ca="1">IF($C142-H$1&lt;År1,0,G141*(1-VLOOKUP($A142,[1]Hugst!$R$5:$W$9,MATCH(ROUNDUP((H$1)/10,0)*10,[1]Hugst!$R$4:$W$4,0))))</f>
        <v>503.31550169399378</v>
      </c>
      <c r="I142">
        <f ca="1">IF($C142-I$1&lt;År1,0,H141*(1-VLOOKUP($A142,[1]Hugst!$R$5:$W$9,MATCH(ROUNDUP((I$1)/10,0)*10,[1]Hugst!$R$4:$W$4,0))))</f>
        <v>503.82502462231758</v>
      </c>
      <c r="J142">
        <f ca="1">IF($C142-J$1&lt;År1,0,I141*(1-VLOOKUP($A142,[1]Hugst!$R$5:$W$9,MATCH(ROUNDUP((J$1)/10,0)*10,[1]Hugst!$R$4:$W$4,0))))</f>
        <v>504.33710796736972</v>
      </c>
      <c r="K142">
        <f ca="1">IF($C142-K$1&lt;År1,0,J141*(1-VLOOKUP($A142,[1]Hugst!$R$5:$W$9,MATCH(ROUNDUP((K$1)/10,0)*10,[1]Hugst!$R$4:$W$4,0))))</f>
        <v>504.85176459555504</v>
      </c>
      <c r="L142">
        <f ca="1">IF($C142-L$1&lt;År1,0,K141*(1-VLOOKUP($A142,[1]Hugst!$R$5:$W$9,MATCH(ROUNDUP((L$1)/10,0)*10,[1]Hugst!$R$4:$W$4,0))))</f>
        <v>359.21612054433638</v>
      </c>
      <c r="M142">
        <f ca="1">IF($C142-M$1&lt;År1,0,L141*(1-VLOOKUP($A142,[1]Hugst!$R$5:$W$9,MATCH(ROUNDUP((M$1)/10,0)*10,[1]Hugst!$R$4:$W$4,0))))</f>
        <v>359.73596259699673</v>
      </c>
      <c r="N142">
        <f ca="1">IF($C142-N$1&lt;År1,0,M141*(1-VLOOKUP($A142,[1]Hugst!$R$5:$W$9,MATCH(ROUNDUP((N$1)/10,0)*10,[1]Hugst!$R$4:$W$4,0))))</f>
        <v>360.2584169212887</v>
      </c>
      <c r="O142">
        <f ca="1">IF($C142-O$1&lt;År1,0,N141*(1-VLOOKUP($A142,[1]Hugst!$R$5:$W$9,MATCH(ROUNDUP((O$1)/10,0)*10,[1]Hugst!$R$4:$W$4,0))))</f>
        <v>360.7834966441892</v>
      </c>
      <c r="P142">
        <f ca="1">IF($C142-P$1&lt;År1,0,O141*(1-VLOOKUP($A142,[1]Hugst!$R$5:$W$9,MATCH(ROUNDUP((P$1)/10,0)*10,[1]Hugst!$R$4:$W$4,0))))</f>
        <v>361.31121495866228</v>
      </c>
      <c r="Q142">
        <f ca="1">IF($C142-Q$1&lt;År1,0,P141*(1-VLOOKUP($A142,[1]Hugst!$R$5:$W$9,MATCH(ROUNDUP((Q$1)/10,0)*10,[1]Hugst!$R$4:$W$4,0))))</f>
        <v>361.84158512396232</v>
      </c>
      <c r="R142">
        <f ca="1">IF($C142-R$1&lt;År1,0,Q141*(1-VLOOKUP($A142,[1]Hugst!$R$5:$W$9,MATCH(ROUNDUP((R$1)/10,0)*10,[1]Hugst!$R$4:$W$4,0))))</f>
        <v>362.37462046597341</v>
      </c>
      <c r="S142">
        <f ca="1">IF($C142-S$1&lt;År1,0,R141*(1-VLOOKUP($A142,[1]Hugst!$R$5:$W$9,MATCH(ROUNDUP((S$1)/10,0)*10,[1]Hugst!$R$4:$W$4,0))))</f>
        <v>362.9103343775422</v>
      </c>
      <c r="T142">
        <f ca="1">IF($C142-T$1&lt;År1,0,S141*(1-VLOOKUP($A142,[1]Hugst!$R$5:$W$9,MATCH(ROUNDUP((T$1)/10,0)*10,[1]Hugst!$R$4:$W$4,0))))</f>
        <v>363.44874031881761</v>
      </c>
      <c r="U142">
        <f ca="1">IF($C142-U$1&lt;År1,0,T141*(1-VLOOKUP($A142,[1]Hugst!$R$5:$W$9,MATCH(ROUNDUP((U$1)/10,0)*10,[1]Hugst!$R$4:$W$4,0))))</f>
        <v>363.98985181758314</v>
      </c>
      <c r="V142">
        <f ca="1">IF($C142-V$1&lt;År1,0,U141*(1-VLOOKUP($A142,[1]Hugst!$R$5:$W$9,MATCH(ROUNDUP((V$1)/10,0)*10,[1]Hugst!$R$4:$W$4,0))))</f>
        <v>364.53368246961463</v>
      </c>
      <c r="W142">
        <f>IF($C142-W$1&lt;År1,0,V141*(1-VLOOKUP($A142,[1]Hugst!$R$5:$W$9,MATCH(ROUNDUP((W$1)/10,0)*10,[1]Hugst!$R$4:$W$4,0))))</f>
        <v>0</v>
      </c>
      <c r="X142">
        <f>IF($C142-X$1&lt;År1,0,W141*(1-VLOOKUP($A142,[1]Hugst!$R$5:$W$9,MATCH(ROUNDUP((X$1)/10,0)*10,[1]Hugst!$R$4:$W$4,0))))</f>
        <v>0</v>
      </c>
      <c r="Y142">
        <f>IF($C142-Y$1&lt;År1,0,X141*(1-VLOOKUP($A142,[1]Hugst!$R$5:$W$9,MATCH(ROUNDUP((Y$1)/10,0)*10,[1]Hugst!$R$4:$W$4,0))))</f>
        <v>0</v>
      </c>
      <c r="Z142">
        <f>IF($C142-Z$1&lt;År1,0,Y141*(1-VLOOKUP($A142,[1]Hugst!$R$5:$W$9,MATCH(ROUNDUP((Z$1)/10,0)*10,[1]Hugst!$R$4:$W$4,0))))</f>
        <v>0</v>
      </c>
      <c r="AA142">
        <f>IF($C142-AA$1&lt;År1,0,Z141*(1-VLOOKUP($A142,[1]Hugst!$R$5:$W$9,MATCH(ROUNDUP((AA$1)/10,0)*10,[1]Hugst!$R$4:$W$4,0))))</f>
        <v>0</v>
      </c>
      <c r="AB142">
        <f>IF($C142-AB$1&lt;År1,0,AA141*(1-VLOOKUP($A142,[1]Hugst!$R$5:$W$9,MATCH(ROUNDUP((AB$1)/10,0)*10,[1]Hugst!$R$4:$W$4,0))))</f>
        <v>0</v>
      </c>
      <c r="AC142">
        <f>IF($C142-AC$1&lt;År1,0,AB141*(1-VLOOKUP($A142,[1]Hugst!$R$5:$W$9,MATCH(ROUNDUP((AC$1)/10,0)*10,[1]Hugst!$R$4:$W$4,0))))</f>
        <v>0</v>
      </c>
      <c r="AD142">
        <f>IF($C142-AD$1&lt;År1,0,AC141*(1-VLOOKUP($A142,[1]Hugst!$R$5:$W$9,MATCH(ROUNDUP((AD$1)/10,0)*10,[1]Hugst!$R$4:$W$4,0))))</f>
        <v>0</v>
      </c>
      <c r="AE142">
        <f>IF($C142-AE$1&lt;År1,0,AD141*(1-VLOOKUP($A142,[1]Hugst!$R$5:$W$9,MATCH(ROUNDUP((AE$1)/10,0)*10,[1]Hugst!$R$4:$W$4,0))))</f>
        <v>0</v>
      </c>
      <c r="AF142">
        <f>IF($C142-AF$1&lt;År1,0,AE141*(1-VLOOKUP($A142,[1]Hugst!$R$5:$W$9,MATCH(ROUNDUP((AF$1)/10,0)*10,[1]Hugst!$R$4:$W$4,0))))</f>
        <v>0</v>
      </c>
      <c r="AG142">
        <f>IF($C142-AG$1&lt;År1,0,AF141*(1-VLOOKUP($A142,[1]Hugst!$R$5:$W$9,MATCH(ROUNDUP((AG$1)/10,0)*10,[1]Hugst!$R$4:$W$4,0))))</f>
        <v>0</v>
      </c>
      <c r="AH142">
        <f>IF($C142-AH$1&lt;År1,0,AG141*(1-VLOOKUP($A142,[1]Hugst!$R$5:$W$9,MATCH(ROUNDUP((AH$1)/10,0)*10,[1]Hugst!$R$4:$W$4,0))))</f>
        <v>0</v>
      </c>
      <c r="AI142">
        <f>IF($C142-AI$1&lt;År1,0,AH141*(1-VLOOKUP($A142,[1]Hugst!$R$5:$W$9,MATCH(ROUNDUP((AI$1)/10,0)*10,[1]Hugst!$R$4:$W$4,0))))</f>
        <v>0</v>
      </c>
      <c r="AJ142">
        <f>IF($C142-AJ$1&lt;År1,0,AI141*(1-VLOOKUP($A142,[1]Hugst!$R$5:$W$9,MATCH(ROUNDUP((AJ$1)/10,0)*10,[1]Hugst!$R$4:$W$4,0))))</f>
        <v>0</v>
      </c>
    </row>
    <row r="143" spans="1:36" x14ac:dyDescent="0.25">
      <c r="A143" t="s">
        <v>178</v>
      </c>
      <c r="B143" t="s">
        <v>23</v>
      </c>
      <c r="C143">
        <v>2037</v>
      </c>
      <c r="D143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99.881728750793172</v>
      </c>
      <c r="E143">
        <f t="shared" ca="1" si="3"/>
        <v>0</v>
      </c>
      <c r="F143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501.80216770826922</v>
      </c>
      <c r="G143">
        <f ca="1">IF($C143-G$1&lt;År1,0,F142*(1-VLOOKUP($A143,[1]Hugst!$R$5:$W$9,MATCH(ROUNDUP((G$1)/10,0)*10,[1]Hugst!$R$4:$W$4,0))))</f>
        <v>502.30408594319869</v>
      </c>
      <c r="H143">
        <f ca="1">IF($C143-H$1&lt;År1,0,G142*(1-VLOOKUP($A143,[1]Hugst!$R$5:$W$9,MATCH(ROUNDUP((H$1)/10,0)*10,[1]Hugst!$R$4:$W$4,0))))</f>
        <v>502.80852638031337</v>
      </c>
      <c r="I143">
        <f ca="1">IF($C143-I$1&lt;År1,0,H142*(1-VLOOKUP($A143,[1]Hugst!$R$5:$W$9,MATCH(ROUNDUP((I$1)/10,0)*10,[1]Hugst!$R$4:$W$4,0))))</f>
        <v>503.31550169399378</v>
      </c>
      <c r="J143">
        <f ca="1">IF($C143-J$1&lt;År1,0,I142*(1-VLOOKUP($A143,[1]Hugst!$R$5:$W$9,MATCH(ROUNDUP((J$1)/10,0)*10,[1]Hugst!$R$4:$W$4,0))))</f>
        <v>503.82502462231758</v>
      </c>
      <c r="K143">
        <f ca="1">IF($C143-K$1&lt;År1,0,J142*(1-VLOOKUP($A143,[1]Hugst!$R$5:$W$9,MATCH(ROUNDUP((K$1)/10,0)*10,[1]Hugst!$R$4:$W$4,0))))</f>
        <v>504.33710796736972</v>
      </c>
      <c r="L143">
        <f ca="1">IF($C143-L$1&lt;År1,0,K142*(1-VLOOKUP($A143,[1]Hugst!$R$5:$W$9,MATCH(ROUNDUP((L$1)/10,0)*10,[1]Hugst!$R$4:$W$4,0))))</f>
        <v>504.85176459555504</v>
      </c>
      <c r="M143">
        <f ca="1">IF($C143-M$1&lt;År1,0,L142*(1-VLOOKUP($A143,[1]Hugst!$R$5:$W$9,MATCH(ROUNDUP((M$1)/10,0)*10,[1]Hugst!$R$4:$W$4,0))))</f>
        <v>359.21612054433638</v>
      </c>
      <c r="N143">
        <f ca="1">IF($C143-N$1&lt;År1,0,M142*(1-VLOOKUP($A143,[1]Hugst!$R$5:$W$9,MATCH(ROUNDUP((N$1)/10,0)*10,[1]Hugst!$R$4:$W$4,0))))</f>
        <v>359.73596259699673</v>
      </c>
      <c r="O143">
        <f ca="1">IF($C143-O$1&lt;År1,0,N142*(1-VLOOKUP($A143,[1]Hugst!$R$5:$W$9,MATCH(ROUNDUP((O$1)/10,0)*10,[1]Hugst!$R$4:$W$4,0))))</f>
        <v>360.2584169212887</v>
      </c>
      <c r="P143">
        <f ca="1">IF($C143-P$1&lt;År1,0,O142*(1-VLOOKUP($A143,[1]Hugst!$R$5:$W$9,MATCH(ROUNDUP((P$1)/10,0)*10,[1]Hugst!$R$4:$W$4,0))))</f>
        <v>360.7834966441892</v>
      </c>
      <c r="Q143">
        <f ca="1">IF($C143-Q$1&lt;År1,0,P142*(1-VLOOKUP($A143,[1]Hugst!$R$5:$W$9,MATCH(ROUNDUP((Q$1)/10,0)*10,[1]Hugst!$R$4:$W$4,0))))</f>
        <v>361.31121495866228</v>
      </c>
      <c r="R143">
        <f ca="1">IF($C143-R$1&lt;År1,0,Q142*(1-VLOOKUP($A143,[1]Hugst!$R$5:$W$9,MATCH(ROUNDUP((R$1)/10,0)*10,[1]Hugst!$R$4:$W$4,0))))</f>
        <v>361.84158512396232</v>
      </c>
      <c r="S143">
        <f ca="1">IF($C143-S$1&lt;År1,0,R142*(1-VLOOKUP($A143,[1]Hugst!$R$5:$W$9,MATCH(ROUNDUP((S$1)/10,0)*10,[1]Hugst!$R$4:$W$4,0))))</f>
        <v>362.37462046597341</v>
      </c>
      <c r="T143">
        <f ca="1">IF($C143-T$1&lt;År1,0,S142*(1-VLOOKUP($A143,[1]Hugst!$R$5:$W$9,MATCH(ROUNDUP((T$1)/10,0)*10,[1]Hugst!$R$4:$W$4,0))))</f>
        <v>362.9103343775422</v>
      </c>
      <c r="U143">
        <f ca="1">IF($C143-U$1&lt;År1,0,T142*(1-VLOOKUP($A143,[1]Hugst!$R$5:$W$9,MATCH(ROUNDUP((U$1)/10,0)*10,[1]Hugst!$R$4:$W$4,0))))</f>
        <v>363.44874031881761</v>
      </c>
      <c r="V143">
        <f ca="1">IF($C143-V$1&lt;År1,0,U142*(1-VLOOKUP($A143,[1]Hugst!$R$5:$W$9,MATCH(ROUNDUP((V$1)/10,0)*10,[1]Hugst!$R$4:$W$4,0))))</f>
        <v>363.98985181758314</v>
      </c>
      <c r="W143">
        <f ca="1">IF($C143-W$1&lt;År1,0,V142*(1-VLOOKUP($A143,[1]Hugst!$R$5:$W$9,MATCH(ROUNDUP((W$1)/10,0)*10,[1]Hugst!$R$4:$W$4,0))))</f>
        <v>364.53368246961463</v>
      </c>
      <c r="X143">
        <f>IF($C143-X$1&lt;År1,0,W142*(1-VLOOKUP($A143,[1]Hugst!$R$5:$W$9,MATCH(ROUNDUP((X$1)/10,0)*10,[1]Hugst!$R$4:$W$4,0))))</f>
        <v>0</v>
      </c>
      <c r="Y143">
        <f>IF($C143-Y$1&lt;År1,0,X142*(1-VLOOKUP($A143,[1]Hugst!$R$5:$W$9,MATCH(ROUNDUP((Y$1)/10,0)*10,[1]Hugst!$R$4:$W$4,0))))</f>
        <v>0</v>
      </c>
      <c r="Z143">
        <f>IF($C143-Z$1&lt;År1,0,Y142*(1-VLOOKUP($A143,[1]Hugst!$R$5:$W$9,MATCH(ROUNDUP((Z$1)/10,0)*10,[1]Hugst!$R$4:$W$4,0))))</f>
        <v>0</v>
      </c>
      <c r="AA143">
        <f>IF($C143-AA$1&lt;År1,0,Z142*(1-VLOOKUP($A143,[1]Hugst!$R$5:$W$9,MATCH(ROUNDUP((AA$1)/10,0)*10,[1]Hugst!$R$4:$W$4,0))))</f>
        <v>0</v>
      </c>
      <c r="AB143">
        <f>IF($C143-AB$1&lt;År1,0,AA142*(1-VLOOKUP($A143,[1]Hugst!$R$5:$W$9,MATCH(ROUNDUP((AB$1)/10,0)*10,[1]Hugst!$R$4:$W$4,0))))</f>
        <v>0</v>
      </c>
      <c r="AC143">
        <f>IF($C143-AC$1&lt;År1,0,AB142*(1-VLOOKUP($A143,[1]Hugst!$R$5:$W$9,MATCH(ROUNDUP((AC$1)/10,0)*10,[1]Hugst!$R$4:$W$4,0))))</f>
        <v>0</v>
      </c>
      <c r="AD143">
        <f>IF($C143-AD$1&lt;År1,0,AC142*(1-VLOOKUP($A143,[1]Hugst!$R$5:$W$9,MATCH(ROUNDUP((AD$1)/10,0)*10,[1]Hugst!$R$4:$W$4,0))))</f>
        <v>0</v>
      </c>
      <c r="AE143">
        <f>IF($C143-AE$1&lt;År1,0,AD142*(1-VLOOKUP($A143,[1]Hugst!$R$5:$W$9,MATCH(ROUNDUP((AE$1)/10,0)*10,[1]Hugst!$R$4:$W$4,0))))</f>
        <v>0</v>
      </c>
      <c r="AF143">
        <f>IF($C143-AF$1&lt;År1,0,AE142*(1-VLOOKUP($A143,[1]Hugst!$R$5:$W$9,MATCH(ROUNDUP((AF$1)/10,0)*10,[1]Hugst!$R$4:$W$4,0))))</f>
        <v>0</v>
      </c>
      <c r="AG143">
        <f>IF($C143-AG$1&lt;År1,0,AF142*(1-VLOOKUP($A143,[1]Hugst!$R$5:$W$9,MATCH(ROUNDUP((AG$1)/10,0)*10,[1]Hugst!$R$4:$W$4,0))))</f>
        <v>0</v>
      </c>
      <c r="AH143">
        <f>IF($C143-AH$1&lt;År1,0,AG142*(1-VLOOKUP($A143,[1]Hugst!$R$5:$W$9,MATCH(ROUNDUP((AH$1)/10,0)*10,[1]Hugst!$R$4:$W$4,0))))</f>
        <v>0</v>
      </c>
      <c r="AI143">
        <f>IF($C143-AI$1&lt;År1,0,AH142*(1-VLOOKUP($A143,[1]Hugst!$R$5:$W$9,MATCH(ROUNDUP((AI$1)/10,0)*10,[1]Hugst!$R$4:$W$4,0))))</f>
        <v>0</v>
      </c>
      <c r="AJ143">
        <f>IF($C143-AJ$1&lt;År1,0,AI142*(1-VLOOKUP($A143,[1]Hugst!$R$5:$W$9,MATCH(ROUNDUP((AJ$1)/10,0)*10,[1]Hugst!$R$4:$W$4,0))))</f>
        <v>0</v>
      </c>
    </row>
    <row r="144" spans="1:36" x14ac:dyDescent="0.25">
      <c r="A144" t="s">
        <v>178</v>
      </c>
      <c r="B144" t="s">
        <v>23</v>
      </c>
      <c r="C144">
        <v>2038</v>
      </c>
      <c r="D144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99.38232010704246</v>
      </c>
      <c r="E144">
        <f t="shared" ca="1" si="3"/>
        <v>0</v>
      </c>
      <c r="F144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501.30275906451851</v>
      </c>
      <c r="G144">
        <f ca="1">IF($C144-G$1&lt;År1,0,F143*(1-VLOOKUP($A144,[1]Hugst!$R$5:$W$9,MATCH(ROUNDUP((G$1)/10,0)*10,[1]Hugst!$R$4:$W$4,0))))</f>
        <v>501.80216770826922</v>
      </c>
      <c r="H144">
        <f ca="1">IF($C144-H$1&lt;År1,0,G143*(1-VLOOKUP($A144,[1]Hugst!$R$5:$W$9,MATCH(ROUNDUP((H$1)/10,0)*10,[1]Hugst!$R$4:$W$4,0))))</f>
        <v>502.30408594319869</v>
      </c>
      <c r="I144">
        <f ca="1">IF($C144-I$1&lt;År1,0,H143*(1-VLOOKUP($A144,[1]Hugst!$R$5:$W$9,MATCH(ROUNDUP((I$1)/10,0)*10,[1]Hugst!$R$4:$W$4,0))))</f>
        <v>502.80852638031337</v>
      </c>
      <c r="J144">
        <f ca="1">IF($C144-J$1&lt;År1,0,I143*(1-VLOOKUP($A144,[1]Hugst!$R$5:$W$9,MATCH(ROUNDUP((J$1)/10,0)*10,[1]Hugst!$R$4:$W$4,0))))</f>
        <v>503.31550169399378</v>
      </c>
      <c r="K144">
        <f ca="1">IF($C144-K$1&lt;År1,0,J143*(1-VLOOKUP($A144,[1]Hugst!$R$5:$W$9,MATCH(ROUNDUP((K$1)/10,0)*10,[1]Hugst!$R$4:$W$4,0))))</f>
        <v>503.82502462231758</v>
      </c>
      <c r="L144">
        <f ca="1">IF($C144-L$1&lt;År1,0,K143*(1-VLOOKUP($A144,[1]Hugst!$R$5:$W$9,MATCH(ROUNDUP((L$1)/10,0)*10,[1]Hugst!$R$4:$W$4,0))))</f>
        <v>504.33710796736972</v>
      </c>
      <c r="M144">
        <f ca="1">IF($C144-M$1&lt;År1,0,L143*(1-VLOOKUP($A144,[1]Hugst!$R$5:$W$9,MATCH(ROUNDUP((M$1)/10,0)*10,[1]Hugst!$R$4:$W$4,0))))</f>
        <v>504.85176459555504</v>
      </c>
      <c r="N144">
        <f ca="1">IF($C144-N$1&lt;År1,0,M143*(1-VLOOKUP($A144,[1]Hugst!$R$5:$W$9,MATCH(ROUNDUP((N$1)/10,0)*10,[1]Hugst!$R$4:$W$4,0))))</f>
        <v>359.21612054433638</v>
      </c>
      <c r="O144">
        <f ca="1">IF($C144-O$1&lt;År1,0,N143*(1-VLOOKUP($A144,[1]Hugst!$R$5:$W$9,MATCH(ROUNDUP((O$1)/10,0)*10,[1]Hugst!$R$4:$W$4,0))))</f>
        <v>359.73596259699673</v>
      </c>
      <c r="P144">
        <f ca="1">IF($C144-P$1&lt;År1,0,O143*(1-VLOOKUP($A144,[1]Hugst!$R$5:$W$9,MATCH(ROUNDUP((P$1)/10,0)*10,[1]Hugst!$R$4:$W$4,0))))</f>
        <v>360.2584169212887</v>
      </c>
      <c r="Q144">
        <f ca="1">IF($C144-Q$1&lt;År1,0,P143*(1-VLOOKUP($A144,[1]Hugst!$R$5:$W$9,MATCH(ROUNDUP((Q$1)/10,0)*10,[1]Hugst!$R$4:$W$4,0))))</f>
        <v>360.7834966441892</v>
      </c>
      <c r="R144">
        <f ca="1">IF($C144-R$1&lt;År1,0,Q143*(1-VLOOKUP($A144,[1]Hugst!$R$5:$W$9,MATCH(ROUNDUP((R$1)/10,0)*10,[1]Hugst!$R$4:$W$4,0))))</f>
        <v>361.31121495866228</v>
      </c>
      <c r="S144">
        <f ca="1">IF($C144-S$1&lt;År1,0,R143*(1-VLOOKUP($A144,[1]Hugst!$R$5:$W$9,MATCH(ROUNDUP((S$1)/10,0)*10,[1]Hugst!$R$4:$W$4,0))))</f>
        <v>361.84158512396232</v>
      </c>
      <c r="T144">
        <f ca="1">IF($C144-T$1&lt;År1,0,S143*(1-VLOOKUP($A144,[1]Hugst!$R$5:$W$9,MATCH(ROUNDUP((T$1)/10,0)*10,[1]Hugst!$R$4:$W$4,0))))</f>
        <v>362.37462046597341</v>
      </c>
      <c r="U144">
        <f ca="1">IF($C144-U$1&lt;År1,0,T143*(1-VLOOKUP($A144,[1]Hugst!$R$5:$W$9,MATCH(ROUNDUP((U$1)/10,0)*10,[1]Hugst!$R$4:$W$4,0))))</f>
        <v>362.9103343775422</v>
      </c>
      <c r="V144">
        <f ca="1">IF($C144-V$1&lt;År1,0,U143*(1-VLOOKUP($A144,[1]Hugst!$R$5:$W$9,MATCH(ROUNDUP((V$1)/10,0)*10,[1]Hugst!$R$4:$W$4,0))))</f>
        <v>363.44874031881761</v>
      </c>
      <c r="W144">
        <f ca="1">IF($C144-W$1&lt;År1,0,V143*(1-VLOOKUP($A144,[1]Hugst!$R$5:$W$9,MATCH(ROUNDUP((W$1)/10,0)*10,[1]Hugst!$R$4:$W$4,0))))</f>
        <v>363.98985181758314</v>
      </c>
      <c r="X144">
        <f ca="1">IF($C144-X$1&lt;År1,0,W143*(1-VLOOKUP($A144,[1]Hugst!$R$5:$W$9,MATCH(ROUNDUP((X$1)/10,0)*10,[1]Hugst!$R$4:$W$4,0))))</f>
        <v>364.53368246961463</v>
      </c>
      <c r="Y144">
        <f>IF($C144-Y$1&lt;År1,0,X143*(1-VLOOKUP($A144,[1]Hugst!$R$5:$W$9,MATCH(ROUNDUP((Y$1)/10,0)*10,[1]Hugst!$R$4:$W$4,0))))</f>
        <v>0</v>
      </c>
      <c r="Z144">
        <f>IF($C144-Z$1&lt;År1,0,Y143*(1-VLOOKUP($A144,[1]Hugst!$R$5:$W$9,MATCH(ROUNDUP((Z$1)/10,0)*10,[1]Hugst!$R$4:$W$4,0))))</f>
        <v>0</v>
      </c>
      <c r="AA144">
        <f>IF($C144-AA$1&lt;År1,0,Z143*(1-VLOOKUP($A144,[1]Hugst!$R$5:$W$9,MATCH(ROUNDUP((AA$1)/10,0)*10,[1]Hugst!$R$4:$W$4,0))))</f>
        <v>0</v>
      </c>
      <c r="AB144">
        <f>IF($C144-AB$1&lt;År1,0,AA143*(1-VLOOKUP($A144,[1]Hugst!$R$5:$W$9,MATCH(ROUNDUP((AB$1)/10,0)*10,[1]Hugst!$R$4:$W$4,0))))</f>
        <v>0</v>
      </c>
      <c r="AC144">
        <f>IF($C144-AC$1&lt;År1,0,AB143*(1-VLOOKUP($A144,[1]Hugst!$R$5:$W$9,MATCH(ROUNDUP((AC$1)/10,0)*10,[1]Hugst!$R$4:$W$4,0))))</f>
        <v>0</v>
      </c>
      <c r="AD144">
        <f>IF($C144-AD$1&lt;År1,0,AC143*(1-VLOOKUP($A144,[1]Hugst!$R$5:$W$9,MATCH(ROUNDUP((AD$1)/10,0)*10,[1]Hugst!$R$4:$W$4,0))))</f>
        <v>0</v>
      </c>
      <c r="AE144">
        <f>IF($C144-AE$1&lt;År1,0,AD143*(1-VLOOKUP($A144,[1]Hugst!$R$5:$W$9,MATCH(ROUNDUP((AE$1)/10,0)*10,[1]Hugst!$R$4:$W$4,0))))</f>
        <v>0</v>
      </c>
      <c r="AF144">
        <f>IF($C144-AF$1&lt;År1,0,AE143*(1-VLOOKUP($A144,[1]Hugst!$R$5:$W$9,MATCH(ROUNDUP((AF$1)/10,0)*10,[1]Hugst!$R$4:$W$4,0))))</f>
        <v>0</v>
      </c>
      <c r="AG144">
        <f>IF($C144-AG$1&lt;År1,0,AF143*(1-VLOOKUP($A144,[1]Hugst!$R$5:$W$9,MATCH(ROUNDUP((AG$1)/10,0)*10,[1]Hugst!$R$4:$W$4,0))))</f>
        <v>0</v>
      </c>
      <c r="AH144">
        <f>IF($C144-AH$1&lt;År1,0,AG143*(1-VLOOKUP($A144,[1]Hugst!$R$5:$W$9,MATCH(ROUNDUP((AH$1)/10,0)*10,[1]Hugst!$R$4:$W$4,0))))</f>
        <v>0</v>
      </c>
      <c r="AI144">
        <f>IF($C144-AI$1&lt;År1,0,AH143*(1-VLOOKUP($A144,[1]Hugst!$R$5:$W$9,MATCH(ROUNDUP((AI$1)/10,0)*10,[1]Hugst!$R$4:$W$4,0))))</f>
        <v>0</v>
      </c>
      <c r="AJ144">
        <f>IF($C144-AJ$1&lt;År1,0,AI143*(1-VLOOKUP($A144,[1]Hugst!$R$5:$W$9,MATCH(ROUNDUP((AJ$1)/10,0)*10,[1]Hugst!$R$4:$W$4,0))))</f>
        <v>0</v>
      </c>
    </row>
    <row r="145" spans="1:36" x14ac:dyDescent="0.25">
      <c r="A145" t="s">
        <v>178</v>
      </c>
      <c r="B145" t="s">
        <v>23</v>
      </c>
      <c r="C145">
        <v>2039</v>
      </c>
      <c r="D145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98.885408506501562</v>
      </c>
      <c r="E145">
        <f t="shared" ca="1" si="3"/>
        <v>0</v>
      </c>
      <c r="F145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500.80584746397761</v>
      </c>
      <c r="G145">
        <f ca="1">IF($C145-G$1&lt;År1,0,F144*(1-VLOOKUP($A145,[1]Hugst!$R$5:$W$9,MATCH(ROUNDUP((G$1)/10,0)*10,[1]Hugst!$R$4:$W$4,0))))</f>
        <v>501.30275906451851</v>
      </c>
      <c r="H145">
        <f ca="1">IF($C145-H$1&lt;År1,0,G144*(1-VLOOKUP($A145,[1]Hugst!$R$5:$W$9,MATCH(ROUNDUP((H$1)/10,0)*10,[1]Hugst!$R$4:$W$4,0))))</f>
        <v>501.80216770826922</v>
      </c>
      <c r="I145">
        <f ca="1">IF($C145-I$1&lt;År1,0,H144*(1-VLOOKUP($A145,[1]Hugst!$R$5:$W$9,MATCH(ROUNDUP((I$1)/10,0)*10,[1]Hugst!$R$4:$W$4,0))))</f>
        <v>502.30408594319869</v>
      </c>
      <c r="J145">
        <f ca="1">IF($C145-J$1&lt;År1,0,I144*(1-VLOOKUP($A145,[1]Hugst!$R$5:$W$9,MATCH(ROUNDUP((J$1)/10,0)*10,[1]Hugst!$R$4:$W$4,0))))</f>
        <v>502.80852638031337</v>
      </c>
      <c r="K145">
        <f ca="1">IF($C145-K$1&lt;År1,0,J144*(1-VLOOKUP($A145,[1]Hugst!$R$5:$W$9,MATCH(ROUNDUP((K$1)/10,0)*10,[1]Hugst!$R$4:$W$4,0))))</f>
        <v>503.31550169399378</v>
      </c>
      <c r="L145">
        <f ca="1">IF($C145-L$1&lt;År1,0,K144*(1-VLOOKUP($A145,[1]Hugst!$R$5:$W$9,MATCH(ROUNDUP((L$1)/10,0)*10,[1]Hugst!$R$4:$W$4,0))))</f>
        <v>503.82502462231758</v>
      </c>
      <c r="M145">
        <f ca="1">IF($C145-M$1&lt;År1,0,L144*(1-VLOOKUP($A145,[1]Hugst!$R$5:$W$9,MATCH(ROUNDUP((M$1)/10,0)*10,[1]Hugst!$R$4:$W$4,0))))</f>
        <v>504.33710796736972</v>
      </c>
      <c r="N145">
        <f ca="1">IF($C145-N$1&lt;År1,0,M144*(1-VLOOKUP($A145,[1]Hugst!$R$5:$W$9,MATCH(ROUNDUP((N$1)/10,0)*10,[1]Hugst!$R$4:$W$4,0))))</f>
        <v>504.85176459555504</v>
      </c>
      <c r="O145">
        <f ca="1">IF($C145-O$1&lt;År1,0,N144*(1-VLOOKUP($A145,[1]Hugst!$R$5:$W$9,MATCH(ROUNDUP((O$1)/10,0)*10,[1]Hugst!$R$4:$W$4,0))))</f>
        <v>359.21612054433638</v>
      </c>
      <c r="P145">
        <f ca="1">IF($C145-P$1&lt;År1,0,O144*(1-VLOOKUP($A145,[1]Hugst!$R$5:$W$9,MATCH(ROUNDUP((P$1)/10,0)*10,[1]Hugst!$R$4:$W$4,0))))</f>
        <v>359.73596259699673</v>
      </c>
      <c r="Q145">
        <f ca="1">IF($C145-Q$1&lt;År1,0,P144*(1-VLOOKUP($A145,[1]Hugst!$R$5:$W$9,MATCH(ROUNDUP((Q$1)/10,0)*10,[1]Hugst!$R$4:$W$4,0))))</f>
        <v>360.2584169212887</v>
      </c>
      <c r="R145">
        <f ca="1">IF($C145-R$1&lt;År1,0,Q144*(1-VLOOKUP($A145,[1]Hugst!$R$5:$W$9,MATCH(ROUNDUP((R$1)/10,0)*10,[1]Hugst!$R$4:$W$4,0))))</f>
        <v>360.7834966441892</v>
      </c>
      <c r="S145">
        <f ca="1">IF($C145-S$1&lt;År1,0,R144*(1-VLOOKUP($A145,[1]Hugst!$R$5:$W$9,MATCH(ROUNDUP((S$1)/10,0)*10,[1]Hugst!$R$4:$W$4,0))))</f>
        <v>361.31121495866228</v>
      </c>
      <c r="T145">
        <f ca="1">IF($C145-T$1&lt;År1,0,S144*(1-VLOOKUP($A145,[1]Hugst!$R$5:$W$9,MATCH(ROUNDUP((T$1)/10,0)*10,[1]Hugst!$R$4:$W$4,0))))</f>
        <v>361.84158512396232</v>
      </c>
      <c r="U145">
        <f ca="1">IF($C145-U$1&lt;År1,0,T144*(1-VLOOKUP($A145,[1]Hugst!$R$5:$W$9,MATCH(ROUNDUP((U$1)/10,0)*10,[1]Hugst!$R$4:$W$4,0))))</f>
        <v>362.37462046597341</v>
      </c>
      <c r="V145">
        <f ca="1">IF($C145-V$1&lt;År1,0,U144*(1-VLOOKUP($A145,[1]Hugst!$R$5:$W$9,MATCH(ROUNDUP((V$1)/10,0)*10,[1]Hugst!$R$4:$W$4,0))))</f>
        <v>362.9103343775422</v>
      </c>
      <c r="W145">
        <f ca="1">IF($C145-W$1&lt;År1,0,V144*(1-VLOOKUP($A145,[1]Hugst!$R$5:$W$9,MATCH(ROUNDUP((W$1)/10,0)*10,[1]Hugst!$R$4:$W$4,0))))</f>
        <v>363.44874031881761</v>
      </c>
      <c r="X145">
        <f ca="1">IF($C145-X$1&lt;År1,0,W144*(1-VLOOKUP($A145,[1]Hugst!$R$5:$W$9,MATCH(ROUNDUP((X$1)/10,0)*10,[1]Hugst!$R$4:$W$4,0))))</f>
        <v>363.98985181758314</v>
      </c>
      <c r="Y145">
        <f ca="1">IF($C145-Y$1&lt;År1,0,X144*(1-VLOOKUP($A145,[1]Hugst!$R$5:$W$9,MATCH(ROUNDUP((Y$1)/10,0)*10,[1]Hugst!$R$4:$W$4,0))))</f>
        <v>364.53368246961463</v>
      </c>
      <c r="Z145">
        <f>IF($C145-Z$1&lt;År1,0,Y144*(1-VLOOKUP($A145,[1]Hugst!$R$5:$W$9,MATCH(ROUNDUP((Z$1)/10,0)*10,[1]Hugst!$R$4:$W$4,0))))</f>
        <v>0</v>
      </c>
      <c r="AA145">
        <f>IF($C145-AA$1&lt;År1,0,Z144*(1-VLOOKUP($A145,[1]Hugst!$R$5:$W$9,MATCH(ROUNDUP((AA$1)/10,0)*10,[1]Hugst!$R$4:$W$4,0))))</f>
        <v>0</v>
      </c>
      <c r="AB145">
        <f>IF($C145-AB$1&lt;År1,0,AA144*(1-VLOOKUP($A145,[1]Hugst!$R$5:$W$9,MATCH(ROUNDUP((AB$1)/10,0)*10,[1]Hugst!$R$4:$W$4,0))))</f>
        <v>0</v>
      </c>
      <c r="AC145">
        <f>IF($C145-AC$1&lt;År1,0,AB144*(1-VLOOKUP($A145,[1]Hugst!$R$5:$W$9,MATCH(ROUNDUP((AC$1)/10,0)*10,[1]Hugst!$R$4:$W$4,0))))</f>
        <v>0</v>
      </c>
      <c r="AD145">
        <f>IF($C145-AD$1&lt;År1,0,AC144*(1-VLOOKUP($A145,[1]Hugst!$R$5:$W$9,MATCH(ROUNDUP((AD$1)/10,0)*10,[1]Hugst!$R$4:$W$4,0))))</f>
        <v>0</v>
      </c>
      <c r="AE145">
        <f>IF($C145-AE$1&lt;År1,0,AD144*(1-VLOOKUP($A145,[1]Hugst!$R$5:$W$9,MATCH(ROUNDUP((AE$1)/10,0)*10,[1]Hugst!$R$4:$W$4,0))))</f>
        <v>0</v>
      </c>
      <c r="AF145">
        <f>IF($C145-AF$1&lt;År1,0,AE144*(1-VLOOKUP($A145,[1]Hugst!$R$5:$W$9,MATCH(ROUNDUP((AF$1)/10,0)*10,[1]Hugst!$R$4:$W$4,0))))</f>
        <v>0</v>
      </c>
      <c r="AG145">
        <f>IF($C145-AG$1&lt;År1,0,AF144*(1-VLOOKUP($A145,[1]Hugst!$R$5:$W$9,MATCH(ROUNDUP((AG$1)/10,0)*10,[1]Hugst!$R$4:$W$4,0))))</f>
        <v>0</v>
      </c>
      <c r="AH145">
        <f>IF($C145-AH$1&lt;År1,0,AG144*(1-VLOOKUP($A145,[1]Hugst!$R$5:$W$9,MATCH(ROUNDUP((AH$1)/10,0)*10,[1]Hugst!$R$4:$W$4,0))))</f>
        <v>0</v>
      </c>
      <c r="AI145">
        <f>IF($C145-AI$1&lt;År1,0,AH144*(1-VLOOKUP($A145,[1]Hugst!$R$5:$W$9,MATCH(ROUNDUP((AI$1)/10,0)*10,[1]Hugst!$R$4:$W$4,0))))</f>
        <v>0</v>
      </c>
      <c r="AJ145">
        <f>IF($C145-AJ$1&lt;År1,0,AI144*(1-VLOOKUP($A145,[1]Hugst!$R$5:$W$9,MATCH(ROUNDUP((AJ$1)/10,0)*10,[1]Hugst!$R$4:$W$4,0))))</f>
        <v>0</v>
      </c>
    </row>
    <row r="146" spans="1:36" x14ac:dyDescent="0.25">
      <c r="A146" t="s">
        <v>178</v>
      </c>
      <c r="B146" t="s">
        <v>23</v>
      </c>
      <c r="C146">
        <v>2040</v>
      </c>
      <c r="D146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98.390981463971457</v>
      </c>
      <c r="E146">
        <f t="shared" ca="1" si="3"/>
        <v>0</v>
      </c>
      <c r="F146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500.31142042144751</v>
      </c>
      <c r="G146">
        <f ca="1">IF($C146-G$1&lt;År1,0,F145*(1-VLOOKUP($A146,[1]Hugst!$R$5:$W$9,MATCH(ROUNDUP((G$1)/10,0)*10,[1]Hugst!$R$4:$W$4,0))))</f>
        <v>500.80584746397761</v>
      </c>
      <c r="H146">
        <f ca="1">IF($C146-H$1&lt;År1,0,G145*(1-VLOOKUP($A146,[1]Hugst!$R$5:$W$9,MATCH(ROUNDUP((H$1)/10,0)*10,[1]Hugst!$R$4:$W$4,0))))</f>
        <v>501.30275906451851</v>
      </c>
      <c r="I146">
        <f ca="1">IF($C146-I$1&lt;År1,0,H145*(1-VLOOKUP($A146,[1]Hugst!$R$5:$W$9,MATCH(ROUNDUP((I$1)/10,0)*10,[1]Hugst!$R$4:$W$4,0))))</f>
        <v>501.80216770826922</v>
      </c>
      <c r="J146">
        <f ca="1">IF($C146-J$1&lt;År1,0,I145*(1-VLOOKUP($A146,[1]Hugst!$R$5:$W$9,MATCH(ROUNDUP((J$1)/10,0)*10,[1]Hugst!$R$4:$W$4,0))))</f>
        <v>502.30408594319869</v>
      </c>
      <c r="K146">
        <f ca="1">IF($C146-K$1&lt;År1,0,J145*(1-VLOOKUP($A146,[1]Hugst!$R$5:$W$9,MATCH(ROUNDUP((K$1)/10,0)*10,[1]Hugst!$R$4:$W$4,0))))</f>
        <v>502.80852638031337</v>
      </c>
      <c r="L146">
        <f ca="1">IF($C146-L$1&lt;År1,0,K145*(1-VLOOKUP($A146,[1]Hugst!$R$5:$W$9,MATCH(ROUNDUP((L$1)/10,0)*10,[1]Hugst!$R$4:$W$4,0))))</f>
        <v>503.31550169399378</v>
      </c>
      <c r="M146">
        <f ca="1">IF($C146-M$1&lt;År1,0,L145*(1-VLOOKUP($A146,[1]Hugst!$R$5:$W$9,MATCH(ROUNDUP((M$1)/10,0)*10,[1]Hugst!$R$4:$W$4,0))))</f>
        <v>503.82502462231758</v>
      </c>
      <c r="N146">
        <f ca="1">IF($C146-N$1&lt;År1,0,M145*(1-VLOOKUP($A146,[1]Hugst!$R$5:$W$9,MATCH(ROUNDUP((N$1)/10,0)*10,[1]Hugst!$R$4:$W$4,0))))</f>
        <v>504.33710796736972</v>
      </c>
      <c r="O146">
        <f ca="1">IF($C146-O$1&lt;År1,0,N145*(1-VLOOKUP($A146,[1]Hugst!$R$5:$W$9,MATCH(ROUNDUP((O$1)/10,0)*10,[1]Hugst!$R$4:$W$4,0))))</f>
        <v>504.85176459555504</v>
      </c>
      <c r="P146">
        <f ca="1">IF($C146-P$1&lt;År1,0,O145*(1-VLOOKUP($A146,[1]Hugst!$R$5:$W$9,MATCH(ROUNDUP((P$1)/10,0)*10,[1]Hugst!$R$4:$W$4,0))))</f>
        <v>359.21612054433638</v>
      </c>
      <c r="Q146">
        <f ca="1">IF($C146-Q$1&lt;År1,0,P145*(1-VLOOKUP($A146,[1]Hugst!$R$5:$W$9,MATCH(ROUNDUP((Q$1)/10,0)*10,[1]Hugst!$R$4:$W$4,0))))</f>
        <v>359.73596259699673</v>
      </c>
      <c r="R146">
        <f ca="1">IF($C146-R$1&lt;År1,0,Q145*(1-VLOOKUP($A146,[1]Hugst!$R$5:$W$9,MATCH(ROUNDUP((R$1)/10,0)*10,[1]Hugst!$R$4:$W$4,0))))</f>
        <v>360.2584169212887</v>
      </c>
      <c r="S146">
        <f ca="1">IF($C146-S$1&lt;År1,0,R145*(1-VLOOKUP($A146,[1]Hugst!$R$5:$W$9,MATCH(ROUNDUP((S$1)/10,0)*10,[1]Hugst!$R$4:$W$4,0))))</f>
        <v>360.7834966441892</v>
      </c>
      <c r="T146">
        <f ca="1">IF($C146-T$1&lt;År1,0,S145*(1-VLOOKUP($A146,[1]Hugst!$R$5:$W$9,MATCH(ROUNDUP((T$1)/10,0)*10,[1]Hugst!$R$4:$W$4,0))))</f>
        <v>361.31121495866228</v>
      </c>
      <c r="U146">
        <f ca="1">IF($C146-U$1&lt;År1,0,T145*(1-VLOOKUP($A146,[1]Hugst!$R$5:$W$9,MATCH(ROUNDUP((U$1)/10,0)*10,[1]Hugst!$R$4:$W$4,0))))</f>
        <v>361.84158512396232</v>
      </c>
      <c r="V146">
        <f ca="1">IF($C146-V$1&lt;År1,0,U145*(1-VLOOKUP($A146,[1]Hugst!$R$5:$W$9,MATCH(ROUNDUP((V$1)/10,0)*10,[1]Hugst!$R$4:$W$4,0))))</f>
        <v>362.37462046597341</v>
      </c>
      <c r="W146">
        <f ca="1">IF($C146-W$1&lt;År1,0,V145*(1-VLOOKUP($A146,[1]Hugst!$R$5:$W$9,MATCH(ROUNDUP((W$1)/10,0)*10,[1]Hugst!$R$4:$W$4,0))))</f>
        <v>362.9103343775422</v>
      </c>
      <c r="X146">
        <f ca="1">IF($C146-X$1&lt;År1,0,W145*(1-VLOOKUP($A146,[1]Hugst!$R$5:$W$9,MATCH(ROUNDUP((X$1)/10,0)*10,[1]Hugst!$R$4:$W$4,0))))</f>
        <v>363.44874031881761</v>
      </c>
      <c r="Y146">
        <f ca="1">IF($C146-Y$1&lt;År1,0,X145*(1-VLOOKUP($A146,[1]Hugst!$R$5:$W$9,MATCH(ROUNDUP((Y$1)/10,0)*10,[1]Hugst!$R$4:$W$4,0))))</f>
        <v>363.98985181758314</v>
      </c>
      <c r="Z146">
        <f ca="1">IF($C146-Z$1&lt;År1,0,Y145*(1-VLOOKUP($A146,[1]Hugst!$R$5:$W$9,MATCH(ROUNDUP((Z$1)/10,0)*10,[1]Hugst!$R$4:$W$4,0))))</f>
        <v>364.53368246961463</v>
      </c>
      <c r="AA146">
        <f>IF($C146-AA$1&lt;År1,0,Z145*(1-VLOOKUP($A146,[1]Hugst!$R$5:$W$9,MATCH(ROUNDUP((AA$1)/10,0)*10,[1]Hugst!$R$4:$W$4,0))))</f>
        <v>0</v>
      </c>
      <c r="AB146">
        <f>IF($C146-AB$1&lt;År1,0,AA145*(1-VLOOKUP($A146,[1]Hugst!$R$5:$W$9,MATCH(ROUNDUP((AB$1)/10,0)*10,[1]Hugst!$R$4:$W$4,0))))</f>
        <v>0</v>
      </c>
      <c r="AC146">
        <f>IF($C146-AC$1&lt;År1,0,AB145*(1-VLOOKUP($A146,[1]Hugst!$R$5:$W$9,MATCH(ROUNDUP((AC$1)/10,0)*10,[1]Hugst!$R$4:$W$4,0))))</f>
        <v>0</v>
      </c>
      <c r="AD146">
        <f>IF($C146-AD$1&lt;År1,0,AC145*(1-VLOOKUP($A146,[1]Hugst!$R$5:$W$9,MATCH(ROUNDUP((AD$1)/10,0)*10,[1]Hugst!$R$4:$W$4,0))))</f>
        <v>0</v>
      </c>
      <c r="AE146">
        <f>IF($C146-AE$1&lt;År1,0,AD145*(1-VLOOKUP($A146,[1]Hugst!$R$5:$W$9,MATCH(ROUNDUP((AE$1)/10,0)*10,[1]Hugst!$R$4:$W$4,0))))</f>
        <v>0</v>
      </c>
      <c r="AF146">
        <f>IF($C146-AF$1&lt;År1,0,AE145*(1-VLOOKUP($A146,[1]Hugst!$R$5:$W$9,MATCH(ROUNDUP((AF$1)/10,0)*10,[1]Hugst!$R$4:$W$4,0))))</f>
        <v>0</v>
      </c>
      <c r="AG146">
        <f>IF($C146-AG$1&lt;År1,0,AF145*(1-VLOOKUP($A146,[1]Hugst!$R$5:$W$9,MATCH(ROUNDUP((AG$1)/10,0)*10,[1]Hugst!$R$4:$W$4,0))))</f>
        <v>0</v>
      </c>
      <c r="AH146">
        <f>IF($C146-AH$1&lt;År1,0,AG145*(1-VLOOKUP($A146,[1]Hugst!$R$5:$W$9,MATCH(ROUNDUP((AH$1)/10,0)*10,[1]Hugst!$R$4:$W$4,0))))</f>
        <v>0</v>
      </c>
      <c r="AI146">
        <f>IF($C146-AI$1&lt;År1,0,AH145*(1-VLOOKUP($A146,[1]Hugst!$R$5:$W$9,MATCH(ROUNDUP((AI$1)/10,0)*10,[1]Hugst!$R$4:$W$4,0))))</f>
        <v>0</v>
      </c>
      <c r="AJ146">
        <f>IF($C146-AJ$1&lt;År1,0,AI145*(1-VLOOKUP($A146,[1]Hugst!$R$5:$W$9,MATCH(ROUNDUP((AJ$1)/10,0)*10,[1]Hugst!$R$4:$W$4,0))))</f>
        <v>0</v>
      </c>
    </row>
    <row r="147" spans="1:36" x14ac:dyDescent="0.25">
      <c r="A147" t="s">
        <v>178</v>
      </c>
      <c r="B147" t="s">
        <v>23</v>
      </c>
      <c r="C147">
        <v>2041</v>
      </c>
      <c r="D147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97.899026556653553</v>
      </c>
      <c r="E147">
        <f t="shared" ca="1" si="3"/>
        <v>0</v>
      </c>
      <c r="F147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499.8194655141296</v>
      </c>
      <c r="G147">
        <f ca="1">IF($C147-G$1&lt;År1,0,F146*(1-VLOOKUP($A147,[1]Hugst!$R$5:$W$9,MATCH(ROUNDUP((G$1)/10,0)*10,[1]Hugst!$R$4:$W$4,0))))</f>
        <v>500.31142042144751</v>
      </c>
      <c r="H147">
        <f ca="1">IF($C147-H$1&lt;År1,0,G146*(1-VLOOKUP($A147,[1]Hugst!$R$5:$W$9,MATCH(ROUNDUP((H$1)/10,0)*10,[1]Hugst!$R$4:$W$4,0))))</f>
        <v>500.80584746397761</v>
      </c>
      <c r="I147">
        <f ca="1">IF($C147-I$1&lt;År1,0,H146*(1-VLOOKUP($A147,[1]Hugst!$R$5:$W$9,MATCH(ROUNDUP((I$1)/10,0)*10,[1]Hugst!$R$4:$W$4,0))))</f>
        <v>501.30275906451851</v>
      </c>
      <c r="J147">
        <f ca="1">IF($C147-J$1&lt;År1,0,I146*(1-VLOOKUP($A147,[1]Hugst!$R$5:$W$9,MATCH(ROUNDUP((J$1)/10,0)*10,[1]Hugst!$R$4:$W$4,0))))</f>
        <v>501.80216770826922</v>
      </c>
      <c r="K147">
        <f ca="1">IF($C147-K$1&lt;År1,0,J146*(1-VLOOKUP($A147,[1]Hugst!$R$5:$W$9,MATCH(ROUNDUP((K$1)/10,0)*10,[1]Hugst!$R$4:$W$4,0))))</f>
        <v>502.30408594319869</v>
      </c>
      <c r="L147">
        <f ca="1">IF($C147-L$1&lt;År1,0,K146*(1-VLOOKUP($A147,[1]Hugst!$R$5:$W$9,MATCH(ROUNDUP((L$1)/10,0)*10,[1]Hugst!$R$4:$W$4,0))))</f>
        <v>502.80852638031337</v>
      </c>
      <c r="M147">
        <f ca="1">IF($C147-M$1&lt;År1,0,L146*(1-VLOOKUP($A147,[1]Hugst!$R$5:$W$9,MATCH(ROUNDUP((M$1)/10,0)*10,[1]Hugst!$R$4:$W$4,0))))</f>
        <v>503.31550169399378</v>
      </c>
      <c r="N147">
        <f ca="1">IF($C147-N$1&lt;År1,0,M146*(1-VLOOKUP($A147,[1]Hugst!$R$5:$W$9,MATCH(ROUNDUP((N$1)/10,0)*10,[1]Hugst!$R$4:$W$4,0))))</f>
        <v>503.82502462231758</v>
      </c>
      <c r="O147">
        <f ca="1">IF($C147-O$1&lt;År1,0,N146*(1-VLOOKUP($A147,[1]Hugst!$R$5:$W$9,MATCH(ROUNDUP((O$1)/10,0)*10,[1]Hugst!$R$4:$W$4,0))))</f>
        <v>504.33710796736972</v>
      </c>
      <c r="P147">
        <f ca="1">IF($C147-P$1&lt;År1,0,O146*(1-VLOOKUP($A147,[1]Hugst!$R$5:$W$9,MATCH(ROUNDUP((P$1)/10,0)*10,[1]Hugst!$R$4:$W$4,0))))</f>
        <v>504.85176459555504</v>
      </c>
      <c r="Q147">
        <f ca="1">IF($C147-Q$1&lt;År1,0,P146*(1-VLOOKUP($A147,[1]Hugst!$R$5:$W$9,MATCH(ROUNDUP((Q$1)/10,0)*10,[1]Hugst!$R$4:$W$4,0))))</f>
        <v>359.21612054433638</v>
      </c>
      <c r="R147">
        <f ca="1">IF($C147-R$1&lt;År1,0,Q146*(1-VLOOKUP($A147,[1]Hugst!$R$5:$W$9,MATCH(ROUNDUP((R$1)/10,0)*10,[1]Hugst!$R$4:$W$4,0))))</f>
        <v>359.73596259699673</v>
      </c>
      <c r="S147">
        <f ca="1">IF($C147-S$1&lt;År1,0,R146*(1-VLOOKUP($A147,[1]Hugst!$R$5:$W$9,MATCH(ROUNDUP((S$1)/10,0)*10,[1]Hugst!$R$4:$W$4,0))))</f>
        <v>360.2584169212887</v>
      </c>
      <c r="T147">
        <f ca="1">IF($C147-T$1&lt;År1,0,S146*(1-VLOOKUP($A147,[1]Hugst!$R$5:$W$9,MATCH(ROUNDUP((T$1)/10,0)*10,[1]Hugst!$R$4:$W$4,0))))</f>
        <v>360.7834966441892</v>
      </c>
      <c r="U147">
        <f ca="1">IF($C147-U$1&lt;År1,0,T146*(1-VLOOKUP($A147,[1]Hugst!$R$5:$W$9,MATCH(ROUNDUP((U$1)/10,0)*10,[1]Hugst!$R$4:$W$4,0))))</f>
        <v>361.31121495866228</v>
      </c>
      <c r="V147">
        <f ca="1">IF($C147-V$1&lt;År1,0,U146*(1-VLOOKUP($A147,[1]Hugst!$R$5:$W$9,MATCH(ROUNDUP((V$1)/10,0)*10,[1]Hugst!$R$4:$W$4,0))))</f>
        <v>361.84158512396232</v>
      </c>
      <c r="W147">
        <f ca="1">IF($C147-W$1&lt;År1,0,V146*(1-VLOOKUP($A147,[1]Hugst!$R$5:$W$9,MATCH(ROUNDUP((W$1)/10,0)*10,[1]Hugst!$R$4:$W$4,0))))</f>
        <v>362.37462046597341</v>
      </c>
      <c r="X147">
        <f ca="1">IF($C147-X$1&lt;År1,0,W146*(1-VLOOKUP($A147,[1]Hugst!$R$5:$W$9,MATCH(ROUNDUP((X$1)/10,0)*10,[1]Hugst!$R$4:$W$4,0))))</f>
        <v>362.9103343775422</v>
      </c>
      <c r="Y147">
        <f ca="1">IF($C147-Y$1&lt;År1,0,X146*(1-VLOOKUP($A147,[1]Hugst!$R$5:$W$9,MATCH(ROUNDUP((Y$1)/10,0)*10,[1]Hugst!$R$4:$W$4,0))))</f>
        <v>363.44874031881761</v>
      </c>
      <c r="Z147">
        <f ca="1">IF($C147-Z$1&lt;År1,0,Y146*(1-VLOOKUP($A147,[1]Hugst!$R$5:$W$9,MATCH(ROUNDUP((Z$1)/10,0)*10,[1]Hugst!$R$4:$W$4,0))))</f>
        <v>363.98985181758314</v>
      </c>
      <c r="AA147">
        <f ca="1">IF($C147-AA$1&lt;År1,0,Z146*(1-VLOOKUP($A147,[1]Hugst!$R$5:$W$9,MATCH(ROUNDUP((AA$1)/10,0)*10,[1]Hugst!$R$4:$W$4,0))))</f>
        <v>364.53368246961463</v>
      </c>
      <c r="AB147">
        <f>IF($C147-AB$1&lt;År1,0,AA146*(1-VLOOKUP($A147,[1]Hugst!$R$5:$W$9,MATCH(ROUNDUP((AB$1)/10,0)*10,[1]Hugst!$R$4:$W$4,0))))</f>
        <v>0</v>
      </c>
      <c r="AC147">
        <f>IF($C147-AC$1&lt;År1,0,AB146*(1-VLOOKUP($A147,[1]Hugst!$R$5:$W$9,MATCH(ROUNDUP((AC$1)/10,0)*10,[1]Hugst!$R$4:$W$4,0))))</f>
        <v>0</v>
      </c>
      <c r="AD147">
        <f>IF($C147-AD$1&lt;År1,0,AC146*(1-VLOOKUP($A147,[1]Hugst!$R$5:$W$9,MATCH(ROUNDUP((AD$1)/10,0)*10,[1]Hugst!$R$4:$W$4,0))))</f>
        <v>0</v>
      </c>
      <c r="AE147">
        <f>IF($C147-AE$1&lt;År1,0,AD146*(1-VLOOKUP($A147,[1]Hugst!$R$5:$W$9,MATCH(ROUNDUP((AE$1)/10,0)*10,[1]Hugst!$R$4:$W$4,0))))</f>
        <v>0</v>
      </c>
      <c r="AF147">
        <f>IF($C147-AF$1&lt;År1,0,AE146*(1-VLOOKUP($A147,[1]Hugst!$R$5:$W$9,MATCH(ROUNDUP((AF$1)/10,0)*10,[1]Hugst!$R$4:$W$4,0))))</f>
        <v>0</v>
      </c>
      <c r="AG147">
        <f>IF($C147-AG$1&lt;År1,0,AF146*(1-VLOOKUP($A147,[1]Hugst!$R$5:$W$9,MATCH(ROUNDUP((AG$1)/10,0)*10,[1]Hugst!$R$4:$W$4,0))))</f>
        <v>0</v>
      </c>
      <c r="AH147">
        <f>IF($C147-AH$1&lt;År1,0,AG146*(1-VLOOKUP($A147,[1]Hugst!$R$5:$W$9,MATCH(ROUNDUP((AH$1)/10,0)*10,[1]Hugst!$R$4:$W$4,0))))</f>
        <v>0</v>
      </c>
      <c r="AI147">
        <f>IF($C147-AI$1&lt;År1,0,AH146*(1-VLOOKUP($A147,[1]Hugst!$R$5:$W$9,MATCH(ROUNDUP((AI$1)/10,0)*10,[1]Hugst!$R$4:$W$4,0))))</f>
        <v>0</v>
      </c>
      <c r="AJ147">
        <f>IF($C147-AJ$1&lt;År1,0,AI146*(1-VLOOKUP($A147,[1]Hugst!$R$5:$W$9,MATCH(ROUNDUP((AJ$1)/10,0)*10,[1]Hugst!$R$4:$W$4,0))))</f>
        <v>0</v>
      </c>
    </row>
    <row r="148" spans="1:36" x14ac:dyDescent="0.25">
      <c r="A148" t="s">
        <v>178</v>
      </c>
      <c r="B148" t="s">
        <v>23</v>
      </c>
      <c r="C148">
        <v>2042</v>
      </c>
      <c r="D14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97.409531423868884</v>
      </c>
      <c r="E148">
        <f t="shared" ca="1" si="3"/>
        <v>0</v>
      </c>
      <c r="F14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499.32997038134494</v>
      </c>
      <c r="G148">
        <f ca="1">IF($C148-G$1&lt;År1,0,F147*(1-VLOOKUP($A148,[1]Hugst!$R$5:$W$9,MATCH(ROUNDUP((G$1)/10,0)*10,[1]Hugst!$R$4:$W$4,0))))</f>
        <v>499.8194655141296</v>
      </c>
      <c r="H148">
        <f ca="1">IF($C148-H$1&lt;År1,0,G147*(1-VLOOKUP($A148,[1]Hugst!$R$5:$W$9,MATCH(ROUNDUP((H$1)/10,0)*10,[1]Hugst!$R$4:$W$4,0))))</f>
        <v>500.31142042144751</v>
      </c>
      <c r="I148">
        <f ca="1">IF($C148-I$1&lt;År1,0,H147*(1-VLOOKUP($A148,[1]Hugst!$R$5:$W$9,MATCH(ROUNDUP((I$1)/10,0)*10,[1]Hugst!$R$4:$W$4,0))))</f>
        <v>500.80584746397761</v>
      </c>
      <c r="J148">
        <f ca="1">IF($C148-J$1&lt;År1,0,I147*(1-VLOOKUP($A148,[1]Hugst!$R$5:$W$9,MATCH(ROUNDUP((J$1)/10,0)*10,[1]Hugst!$R$4:$W$4,0))))</f>
        <v>501.30275906451851</v>
      </c>
      <c r="K148">
        <f ca="1">IF($C148-K$1&lt;År1,0,J147*(1-VLOOKUP($A148,[1]Hugst!$R$5:$W$9,MATCH(ROUNDUP((K$1)/10,0)*10,[1]Hugst!$R$4:$W$4,0))))</f>
        <v>501.80216770826922</v>
      </c>
      <c r="L148">
        <f ca="1">IF($C148-L$1&lt;År1,0,K147*(1-VLOOKUP($A148,[1]Hugst!$R$5:$W$9,MATCH(ROUNDUP((L$1)/10,0)*10,[1]Hugst!$R$4:$W$4,0))))</f>
        <v>502.30408594319869</v>
      </c>
      <c r="M148">
        <f ca="1">IF($C148-M$1&lt;År1,0,L147*(1-VLOOKUP($A148,[1]Hugst!$R$5:$W$9,MATCH(ROUNDUP((M$1)/10,0)*10,[1]Hugst!$R$4:$W$4,0))))</f>
        <v>502.80852638031337</v>
      </c>
      <c r="N148">
        <f ca="1">IF($C148-N$1&lt;År1,0,M147*(1-VLOOKUP($A148,[1]Hugst!$R$5:$W$9,MATCH(ROUNDUP((N$1)/10,0)*10,[1]Hugst!$R$4:$W$4,0))))</f>
        <v>503.31550169399378</v>
      </c>
      <c r="O148">
        <f ca="1">IF($C148-O$1&lt;År1,0,N147*(1-VLOOKUP($A148,[1]Hugst!$R$5:$W$9,MATCH(ROUNDUP((O$1)/10,0)*10,[1]Hugst!$R$4:$W$4,0))))</f>
        <v>503.82502462231758</v>
      </c>
      <c r="P148">
        <f ca="1">IF($C148-P$1&lt;År1,0,O147*(1-VLOOKUP($A148,[1]Hugst!$R$5:$W$9,MATCH(ROUNDUP((P$1)/10,0)*10,[1]Hugst!$R$4:$W$4,0))))</f>
        <v>504.33710796736972</v>
      </c>
      <c r="Q148">
        <f ca="1">IF($C148-Q$1&lt;År1,0,P147*(1-VLOOKUP($A148,[1]Hugst!$R$5:$W$9,MATCH(ROUNDUP((Q$1)/10,0)*10,[1]Hugst!$R$4:$W$4,0))))</f>
        <v>504.85176459555504</v>
      </c>
      <c r="R148">
        <f ca="1">IF($C148-R$1&lt;År1,0,Q147*(1-VLOOKUP($A148,[1]Hugst!$R$5:$W$9,MATCH(ROUNDUP((R$1)/10,0)*10,[1]Hugst!$R$4:$W$4,0))))</f>
        <v>359.21612054433638</v>
      </c>
      <c r="S148">
        <f ca="1">IF($C148-S$1&lt;År1,0,R147*(1-VLOOKUP($A148,[1]Hugst!$R$5:$W$9,MATCH(ROUNDUP((S$1)/10,0)*10,[1]Hugst!$R$4:$W$4,0))))</f>
        <v>359.73596259699673</v>
      </c>
      <c r="T148">
        <f ca="1">IF($C148-T$1&lt;År1,0,S147*(1-VLOOKUP($A148,[1]Hugst!$R$5:$W$9,MATCH(ROUNDUP((T$1)/10,0)*10,[1]Hugst!$R$4:$W$4,0))))</f>
        <v>360.2584169212887</v>
      </c>
      <c r="U148">
        <f ca="1">IF($C148-U$1&lt;År1,0,T147*(1-VLOOKUP($A148,[1]Hugst!$R$5:$W$9,MATCH(ROUNDUP((U$1)/10,0)*10,[1]Hugst!$R$4:$W$4,0))))</f>
        <v>360.7834966441892</v>
      </c>
      <c r="V148">
        <f ca="1">IF($C148-V$1&lt;År1,0,U147*(1-VLOOKUP($A148,[1]Hugst!$R$5:$W$9,MATCH(ROUNDUP((V$1)/10,0)*10,[1]Hugst!$R$4:$W$4,0))))</f>
        <v>361.31121495866228</v>
      </c>
      <c r="W148">
        <f ca="1">IF($C148-W$1&lt;År1,0,V147*(1-VLOOKUP($A148,[1]Hugst!$R$5:$W$9,MATCH(ROUNDUP((W$1)/10,0)*10,[1]Hugst!$R$4:$W$4,0))))</f>
        <v>361.84158512396232</v>
      </c>
      <c r="X148">
        <f ca="1">IF($C148-X$1&lt;År1,0,W147*(1-VLOOKUP($A148,[1]Hugst!$R$5:$W$9,MATCH(ROUNDUP((X$1)/10,0)*10,[1]Hugst!$R$4:$W$4,0))))</f>
        <v>362.37462046597341</v>
      </c>
      <c r="Y148">
        <f ca="1">IF($C148-Y$1&lt;År1,0,X147*(1-VLOOKUP($A148,[1]Hugst!$R$5:$W$9,MATCH(ROUNDUP((Y$1)/10,0)*10,[1]Hugst!$R$4:$W$4,0))))</f>
        <v>362.9103343775422</v>
      </c>
      <c r="Z148">
        <f ca="1">IF($C148-Z$1&lt;År1,0,Y147*(1-VLOOKUP($A148,[1]Hugst!$R$5:$W$9,MATCH(ROUNDUP((Z$1)/10,0)*10,[1]Hugst!$R$4:$W$4,0))))</f>
        <v>363.44874031881761</v>
      </c>
      <c r="AA148">
        <f ca="1">IF($C148-AA$1&lt;År1,0,Z147*(1-VLOOKUP($A148,[1]Hugst!$R$5:$W$9,MATCH(ROUNDUP((AA$1)/10,0)*10,[1]Hugst!$R$4:$W$4,0))))</f>
        <v>363.98985181758314</v>
      </c>
      <c r="AB148">
        <f ca="1">IF($C148-AB$1&lt;År1,0,AA147*(1-VLOOKUP($A148,[1]Hugst!$R$5:$W$9,MATCH(ROUNDUP((AB$1)/10,0)*10,[1]Hugst!$R$4:$W$4,0))))</f>
        <v>364.53368246961463</v>
      </c>
      <c r="AC148">
        <f>IF($C148-AC$1&lt;År1,0,AB147*(1-VLOOKUP($A148,[1]Hugst!$R$5:$W$9,MATCH(ROUNDUP((AC$1)/10,0)*10,[1]Hugst!$R$4:$W$4,0))))</f>
        <v>0</v>
      </c>
      <c r="AD148">
        <f>IF($C148-AD$1&lt;År1,0,AC147*(1-VLOOKUP($A148,[1]Hugst!$R$5:$W$9,MATCH(ROUNDUP((AD$1)/10,0)*10,[1]Hugst!$R$4:$W$4,0))))</f>
        <v>0</v>
      </c>
      <c r="AE148">
        <f>IF($C148-AE$1&lt;År1,0,AD147*(1-VLOOKUP($A148,[1]Hugst!$R$5:$W$9,MATCH(ROUNDUP((AE$1)/10,0)*10,[1]Hugst!$R$4:$W$4,0))))</f>
        <v>0</v>
      </c>
      <c r="AF148">
        <f>IF($C148-AF$1&lt;År1,0,AE147*(1-VLOOKUP($A148,[1]Hugst!$R$5:$W$9,MATCH(ROUNDUP((AF$1)/10,0)*10,[1]Hugst!$R$4:$W$4,0))))</f>
        <v>0</v>
      </c>
      <c r="AG148">
        <f>IF($C148-AG$1&lt;År1,0,AF147*(1-VLOOKUP($A148,[1]Hugst!$R$5:$W$9,MATCH(ROUNDUP((AG$1)/10,0)*10,[1]Hugst!$R$4:$W$4,0))))</f>
        <v>0</v>
      </c>
      <c r="AH148">
        <f>IF($C148-AH$1&lt;År1,0,AG147*(1-VLOOKUP($A148,[1]Hugst!$R$5:$W$9,MATCH(ROUNDUP((AH$1)/10,0)*10,[1]Hugst!$R$4:$W$4,0))))</f>
        <v>0</v>
      </c>
      <c r="AI148">
        <f>IF($C148-AI$1&lt;År1,0,AH147*(1-VLOOKUP($A148,[1]Hugst!$R$5:$W$9,MATCH(ROUNDUP((AI$1)/10,0)*10,[1]Hugst!$R$4:$W$4,0))))</f>
        <v>0</v>
      </c>
      <c r="AJ148">
        <f>IF($C148-AJ$1&lt;År1,0,AI147*(1-VLOOKUP($A148,[1]Hugst!$R$5:$W$9,MATCH(ROUNDUP((AJ$1)/10,0)*10,[1]Hugst!$R$4:$W$4,0))))</f>
        <v>0</v>
      </c>
    </row>
    <row r="149" spans="1:36" x14ac:dyDescent="0.25">
      <c r="A149" t="s">
        <v>178</v>
      </c>
      <c r="B149" t="s">
        <v>23</v>
      </c>
      <c r="C149">
        <v>2043</v>
      </c>
      <c r="D149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96.922483766748428</v>
      </c>
      <c r="E149">
        <f t="shared" ca="1" si="3"/>
        <v>0</v>
      </c>
      <c r="F14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498.84292272422448</v>
      </c>
      <c r="G149">
        <f ca="1">IF($C149-G$1&lt;År1,0,F148*(1-VLOOKUP($A149,[1]Hugst!$R$5:$W$9,MATCH(ROUNDUP((G$1)/10,0)*10,[1]Hugst!$R$4:$W$4,0))))</f>
        <v>499.32997038134494</v>
      </c>
      <c r="H149">
        <f ca="1">IF($C149-H$1&lt;År1,0,G148*(1-VLOOKUP($A149,[1]Hugst!$R$5:$W$9,MATCH(ROUNDUP((H$1)/10,0)*10,[1]Hugst!$R$4:$W$4,0))))</f>
        <v>499.8194655141296</v>
      </c>
      <c r="I149">
        <f ca="1">IF($C149-I$1&lt;År1,0,H148*(1-VLOOKUP($A149,[1]Hugst!$R$5:$W$9,MATCH(ROUNDUP((I$1)/10,0)*10,[1]Hugst!$R$4:$W$4,0))))</f>
        <v>500.31142042144751</v>
      </c>
      <c r="J149">
        <f ca="1">IF($C149-J$1&lt;År1,0,I148*(1-VLOOKUP($A149,[1]Hugst!$R$5:$W$9,MATCH(ROUNDUP((J$1)/10,0)*10,[1]Hugst!$R$4:$W$4,0))))</f>
        <v>500.80584746397761</v>
      </c>
      <c r="K149">
        <f ca="1">IF($C149-K$1&lt;År1,0,J148*(1-VLOOKUP($A149,[1]Hugst!$R$5:$W$9,MATCH(ROUNDUP((K$1)/10,0)*10,[1]Hugst!$R$4:$W$4,0))))</f>
        <v>501.30275906451851</v>
      </c>
      <c r="L149">
        <f ca="1">IF($C149-L$1&lt;År1,0,K148*(1-VLOOKUP($A149,[1]Hugst!$R$5:$W$9,MATCH(ROUNDUP((L$1)/10,0)*10,[1]Hugst!$R$4:$W$4,0))))</f>
        <v>501.80216770826922</v>
      </c>
      <c r="M149">
        <f ca="1">IF($C149-M$1&lt;År1,0,L148*(1-VLOOKUP($A149,[1]Hugst!$R$5:$W$9,MATCH(ROUNDUP((M$1)/10,0)*10,[1]Hugst!$R$4:$W$4,0))))</f>
        <v>502.30408594319869</v>
      </c>
      <c r="N149">
        <f ca="1">IF($C149-N$1&lt;År1,0,M148*(1-VLOOKUP($A149,[1]Hugst!$R$5:$W$9,MATCH(ROUNDUP((N$1)/10,0)*10,[1]Hugst!$R$4:$W$4,0))))</f>
        <v>502.80852638031337</v>
      </c>
      <c r="O149">
        <f ca="1">IF($C149-O$1&lt;År1,0,N148*(1-VLOOKUP($A149,[1]Hugst!$R$5:$W$9,MATCH(ROUNDUP((O$1)/10,0)*10,[1]Hugst!$R$4:$W$4,0))))</f>
        <v>503.31550169399378</v>
      </c>
      <c r="P149">
        <f ca="1">IF($C149-P$1&lt;År1,0,O148*(1-VLOOKUP($A149,[1]Hugst!$R$5:$W$9,MATCH(ROUNDUP((P$1)/10,0)*10,[1]Hugst!$R$4:$W$4,0))))</f>
        <v>503.82502462231758</v>
      </c>
      <c r="Q149">
        <f ca="1">IF($C149-Q$1&lt;År1,0,P148*(1-VLOOKUP($A149,[1]Hugst!$R$5:$W$9,MATCH(ROUNDUP((Q$1)/10,0)*10,[1]Hugst!$R$4:$W$4,0))))</f>
        <v>504.33710796736972</v>
      </c>
      <c r="R149">
        <f ca="1">IF($C149-R$1&lt;År1,0,Q148*(1-VLOOKUP($A149,[1]Hugst!$R$5:$W$9,MATCH(ROUNDUP((R$1)/10,0)*10,[1]Hugst!$R$4:$W$4,0))))</f>
        <v>504.85176459555504</v>
      </c>
      <c r="S149">
        <f ca="1">IF($C149-S$1&lt;År1,0,R148*(1-VLOOKUP($A149,[1]Hugst!$R$5:$W$9,MATCH(ROUNDUP((S$1)/10,0)*10,[1]Hugst!$R$4:$W$4,0))))</f>
        <v>359.21612054433638</v>
      </c>
      <c r="T149">
        <f ca="1">IF($C149-T$1&lt;År1,0,S148*(1-VLOOKUP($A149,[1]Hugst!$R$5:$W$9,MATCH(ROUNDUP((T$1)/10,0)*10,[1]Hugst!$R$4:$W$4,0))))</f>
        <v>359.73596259699673</v>
      </c>
      <c r="U149">
        <f ca="1">IF($C149-U$1&lt;År1,0,T148*(1-VLOOKUP($A149,[1]Hugst!$R$5:$W$9,MATCH(ROUNDUP((U$1)/10,0)*10,[1]Hugst!$R$4:$W$4,0))))</f>
        <v>360.2584169212887</v>
      </c>
      <c r="V149">
        <f ca="1">IF($C149-V$1&lt;År1,0,U148*(1-VLOOKUP($A149,[1]Hugst!$R$5:$W$9,MATCH(ROUNDUP((V$1)/10,0)*10,[1]Hugst!$R$4:$W$4,0))))</f>
        <v>360.7834966441892</v>
      </c>
      <c r="W149">
        <f ca="1">IF($C149-W$1&lt;År1,0,V148*(1-VLOOKUP($A149,[1]Hugst!$R$5:$W$9,MATCH(ROUNDUP((W$1)/10,0)*10,[1]Hugst!$R$4:$W$4,0))))</f>
        <v>361.31121495866228</v>
      </c>
      <c r="X149">
        <f ca="1">IF($C149-X$1&lt;År1,0,W148*(1-VLOOKUP($A149,[1]Hugst!$R$5:$W$9,MATCH(ROUNDUP((X$1)/10,0)*10,[1]Hugst!$R$4:$W$4,0))))</f>
        <v>361.84158512396232</v>
      </c>
      <c r="Y149">
        <f ca="1">IF($C149-Y$1&lt;År1,0,X148*(1-VLOOKUP($A149,[1]Hugst!$R$5:$W$9,MATCH(ROUNDUP((Y$1)/10,0)*10,[1]Hugst!$R$4:$W$4,0))))</f>
        <v>362.37462046597341</v>
      </c>
      <c r="Z149">
        <f ca="1">IF($C149-Z$1&lt;År1,0,Y148*(1-VLOOKUP($A149,[1]Hugst!$R$5:$W$9,MATCH(ROUNDUP((Z$1)/10,0)*10,[1]Hugst!$R$4:$W$4,0))))</f>
        <v>362.9103343775422</v>
      </c>
      <c r="AA149">
        <f ca="1">IF($C149-AA$1&lt;År1,0,Z148*(1-VLOOKUP($A149,[1]Hugst!$R$5:$W$9,MATCH(ROUNDUP((AA$1)/10,0)*10,[1]Hugst!$R$4:$W$4,0))))</f>
        <v>363.44874031881761</v>
      </c>
      <c r="AB149">
        <f ca="1">IF($C149-AB$1&lt;År1,0,AA148*(1-VLOOKUP($A149,[1]Hugst!$R$5:$W$9,MATCH(ROUNDUP((AB$1)/10,0)*10,[1]Hugst!$R$4:$W$4,0))))</f>
        <v>363.98985181758314</v>
      </c>
      <c r="AC149">
        <f ca="1">IF($C149-AC$1&lt;År1,0,AB148*(1-VLOOKUP($A149,[1]Hugst!$R$5:$W$9,MATCH(ROUNDUP((AC$1)/10,0)*10,[1]Hugst!$R$4:$W$4,0))))</f>
        <v>364.53368246961463</v>
      </c>
      <c r="AD149">
        <f>IF($C149-AD$1&lt;År1,0,AC148*(1-VLOOKUP($A149,[1]Hugst!$R$5:$W$9,MATCH(ROUNDUP((AD$1)/10,0)*10,[1]Hugst!$R$4:$W$4,0))))</f>
        <v>0</v>
      </c>
      <c r="AE149">
        <f>IF($C149-AE$1&lt;År1,0,AD148*(1-VLOOKUP($A149,[1]Hugst!$R$5:$W$9,MATCH(ROUNDUP((AE$1)/10,0)*10,[1]Hugst!$R$4:$W$4,0))))</f>
        <v>0</v>
      </c>
      <c r="AF149">
        <f>IF($C149-AF$1&lt;År1,0,AE148*(1-VLOOKUP($A149,[1]Hugst!$R$5:$W$9,MATCH(ROUNDUP((AF$1)/10,0)*10,[1]Hugst!$R$4:$W$4,0))))</f>
        <v>0</v>
      </c>
      <c r="AG149">
        <f>IF($C149-AG$1&lt;År1,0,AF148*(1-VLOOKUP($A149,[1]Hugst!$R$5:$W$9,MATCH(ROUNDUP((AG$1)/10,0)*10,[1]Hugst!$R$4:$W$4,0))))</f>
        <v>0</v>
      </c>
      <c r="AH149">
        <f>IF($C149-AH$1&lt;År1,0,AG148*(1-VLOOKUP($A149,[1]Hugst!$R$5:$W$9,MATCH(ROUNDUP((AH$1)/10,0)*10,[1]Hugst!$R$4:$W$4,0))))</f>
        <v>0</v>
      </c>
      <c r="AI149">
        <f>IF($C149-AI$1&lt;År1,0,AH148*(1-VLOOKUP($A149,[1]Hugst!$R$5:$W$9,MATCH(ROUNDUP((AI$1)/10,0)*10,[1]Hugst!$R$4:$W$4,0))))</f>
        <v>0</v>
      </c>
      <c r="AJ149">
        <f>IF($C149-AJ$1&lt;År1,0,AI148*(1-VLOOKUP($A149,[1]Hugst!$R$5:$W$9,MATCH(ROUNDUP((AJ$1)/10,0)*10,[1]Hugst!$R$4:$W$4,0))))</f>
        <v>0</v>
      </c>
    </row>
    <row r="150" spans="1:36" x14ac:dyDescent="0.25">
      <c r="A150" t="s">
        <v>178</v>
      </c>
      <c r="B150" t="s">
        <v>23</v>
      </c>
      <c r="C150">
        <v>2044</v>
      </c>
      <c r="D150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96.437871347915006</v>
      </c>
      <c r="E150">
        <f t="shared" ca="1" si="3"/>
        <v>0</v>
      </c>
      <c r="F150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498.35831030539106</v>
      </c>
      <c r="G150">
        <f ca="1">IF($C150-G$1&lt;År1,0,F149*(1-VLOOKUP($A150,[1]Hugst!$R$5:$W$9,MATCH(ROUNDUP((G$1)/10,0)*10,[1]Hugst!$R$4:$W$4,0))))</f>
        <v>498.84292272422448</v>
      </c>
      <c r="H150">
        <f ca="1">IF($C150-H$1&lt;År1,0,G149*(1-VLOOKUP($A150,[1]Hugst!$R$5:$W$9,MATCH(ROUNDUP((H$1)/10,0)*10,[1]Hugst!$R$4:$W$4,0))))</f>
        <v>499.32997038134494</v>
      </c>
      <c r="I150">
        <f ca="1">IF($C150-I$1&lt;År1,0,H149*(1-VLOOKUP($A150,[1]Hugst!$R$5:$W$9,MATCH(ROUNDUP((I$1)/10,0)*10,[1]Hugst!$R$4:$W$4,0))))</f>
        <v>499.8194655141296</v>
      </c>
      <c r="J150">
        <f ca="1">IF($C150-J$1&lt;År1,0,I149*(1-VLOOKUP($A150,[1]Hugst!$R$5:$W$9,MATCH(ROUNDUP((J$1)/10,0)*10,[1]Hugst!$R$4:$W$4,0))))</f>
        <v>500.31142042144751</v>
      </c>
      <c r="K150">
        <f ca="1">IF($C150-K$1&lt;År1,0,J149*(1-VLOOKUP($A150,[1]Hugst!$R$5:$W$9,MATCH(ROUNDUP((K$1)/10,0)*10,[1]Hugst!$R$4:$W$4,0))))</f>
        <v>500.80584746397761</v>
      </c>
      <c r="L150">
        <f ca="1">IF($C150-L$1&lt;År1,0,K149*(1-VLOOKUP($A150,[1]Hugst!$R$5:$W$9,MATCH(ROUNDUP((L$1)/10,0)*10,[1]Hugst!$R$4:$W$4,0))))</f>
        <v>501.30275906451851</v>
      </c>
      <c r="M150">
        <f ca="1">IF($C150-M$1&lt;År1,0,L149*(1-VLOOKUP($A150,[1]Hugst!$R$5:$W$9,MATCH(ROUNDUP((M$1)/10,0)*10,[1]Hugst!$R$4:$W$4,0))))</f>
        <v>501.80216770826922</v>
      </c>
      <c r="N150">
        <f ca="1">IF($C150-N$1&lt;År1,0,M149*(1-VLOOKUP($A150,[1]Hugst!$R$5:$W$9,MATCH(ROUNDUP((N$1)/10,0)*10,[1]Hugst!$R$4:$W$4,0))))</f>
        <v>502.30408594319869</v>
      </c>
      <c r="O150">
        <f ca="1">IF($C150-O$1&lt;År1,0,N149*(1-VLOOKUP($A150,[1]Hugst!$R$5:$W$9,MATCH(ROUNDUP((O$1)/10,0)*10,[1]Hugst!$R$4:$W$4,0))))</f>
        <v>502.80852638031337</v>
      </c>
      <c r="P150">
        <f ca="1">IF($C150-P$1&lt;År1,0,O149*(1-VLOOKUP($A150,[1]Hugst!$R$5:$W$9,MATCH(ROUNDUP((P$1)/10,0)*10,[1]Hugst!$R$4:$W$4,0))))</f>
        <v>503.31550169399378</v>
      </c>
      <c r="Q150">
        <f ca="1">IF($C150-Q$1&lt;År1,0,P149*(1-VLOOKUP($A150,[1]Hugst!$R$5:$W$9,MATCH(ROUNDUP((Q$1)/10,0)*10,[1]Hugst!$R$4:$W$4,0))))</f>
        <v>503.82502462231758</v>
      </c>
      <c r="R150">
        <f ca="1">IF($C150-R$1&lt;År1,0,Q149*(1-VLOOKUP($A150,[1]Hugst!$R$5:$W$9,MATCH(ROUNDUP((R$1)/10,0)*10,[1]Hugst!$R$4:$W$4,0))))</f>
        <v>504.33710796736972</v>
      </c>
      <c r="S150">
        <f ca="1">IF($C150-S$1&lt;År1,0,R149*(1-VLOOKUP($A150,[1]Hugst!$R$5:$W$9,MATCH(ROUNDUP((S$1)/10,0)*10,[1]Hugst!$R$4:$W$4,0))))</f>
        <v>504.85176459555504</v>
      </c>
      <c r="T150">
        <f ca="1">IF($C150-T$1&lt;År1,0,S149*(1-VLOOKUP($A150,[1]Hugst!$R$5:$W$9,MATCH(ROUNDUP((T$1)/10,0)*10,[1]Hugst!$R$4:$W$4,0))))</f>
        <v>359.21612054433638</v>
      </c>
      <c r="U150">
        <f ca="1">IF($C150-U$1&lt;År1,0,T149*(1-VLOOKUP($A150,[1]Hugst!$R$5:$W$9,MATCH(ROUNDUP((U$1)/10,0)*10,[1]Hugst!$R$4:$W$4,0))))</f>
        <v>359.73596259699673</v>
      </c>
      <c r="V150">
        <f ca="1">IF($C150-V$1&lt;År1,0,U149*(1-VLOOKUP($A150,[1]Hugst!$R$5:$W$9,MATCH(ROUNDUP((V$1)/10,0)*10,[1]Hugst!$R$4:$W$4,0))))</f>
        <v>360.2584169212887</v>
      </c>
      <c r="W150">
        <f ca="1">IF($C150-W$1&lt;År1,0,V149*(1-VLOOKUP($A150,[1]Hugst!$R$5:$W$9,MATCH(ROUNDUP((W$1)/10,0)*10,[1]Hugst!$R$4:$W$4,0))))</f>
        <v>360.7834966441892</v>
      </c>
      <c r="X150">
        <f ca="1">IF($C150-X$1&lt;År1,0,W149*(1-VLOOKUP($A150,[1]Hugst!$R$5:$W$9,MATCH(ROUNDUP((X$1)/10,0)*10,[1]Hugst!$R$4:$W$4,0))))</f>
        <v>361.31121495866228</v>
      </c>
      <c r="Y150">
        <f ca="1">IF($C150-Y$1&lt;År1,0,X149*(1-VLOOKUP($A150,[1]Hugst!$R$5:$W$9,MATCH(ROUNDUP((Y$1)/10,0)*10,[1]Hugst!$R$4:$W$4,0))))</f>
        <v>361.84158512396232</v>
      </c>
      <c r="Z150">
        <f ca="1">IF($C150-Z$1&lt;År1,0,Y149*(1-VLOOKUP($A150,[1]Hugst!$R$5:$W$9,MATCH(ROUNDUP((Z$1)/10,0)*10,[1]Hugst!$R$4:$W$4,0))))</f>
        <v>362.37462046597341</v>
      </c>
      <c r="AA150">
        <f ca="1">IF($C150-AA$1&lt;År1,0,Z149*(1-VLOOKUP($A150,[1]Hugst!$R$5:$W$9,MATCH(ROUNDUP((AA$1)/10,0)*10,[1]Hugst!$R$4:$W$4,0))))</f>
        <v>362.9103343775422</v>
      </c>
      <c r="AB150">
        <f ca="1">IF($C150-AB$1&lt;År1,0,AA149*(1-VLOOKUP($A150,[1]Hugst!$R$5:$W$9,MATCH(ROUNDUP((AB$1)/10,0)*10,[1]Hugst!$R$4:$W$4,0))))</f>
        <v>363.44874031881761</v>
      </c>
      <c r="AC150">
        <f ca="1">IF($C150-AC$1&lt;År1,0,AB149*(1-VLOOKUP($A150,[1]Hugst!$R$5:$W$9,MATCH(ROUNDUP((AC$1)/10,0)*10,[1]Hugst!$R$4:$W$4,0))))</f>
        <v>363.98985181758314</v>
      </c>
      <c r="AD150">
        <f ca="1">IF($C150-AD$1&lt;År1,0,AC149*(1-VLOOKUP($A150,[1]Hugst!$R$5:$W$9,MATCH(ROUNDUP((AD$1)/10,0)*10,[1]Hugst!$R$4:$W$4,0))))</f>
        <v>364.53368246961463</v>
      </c>
      <c r="AE150">
        <f>IF($C150-AE$1&lt;År1,0,AD149*(1-VLOOKUP($A150,[1]Hugst!$R$5:$W$9,MATCH(ROUNDUP((AE$1)/10,0)*10,[1]Hugst!$R$4:$W$4,0))))</f>
        <v>0</v>
      </c>
      <c r="AF150">
        <f>IF($C150-AF$1&lt;År1,0,AE149*(1-VLOOKUP($A150,[1]Hugst!$R$5:$W$9,MATCH(ROUNDUP((AF$1)/10,0)*10,[1]Hugst!$R$4:$W$4,0))))</f>
        <v>0</v>
      </c>
      <c r="AG150">
        <f>IF($C150-AG$1&lt;År1,0,AF149*(1-VLOOKUP($A150,[1]Hugst!$R$5:$W$9,MATCH(ROUNDUP((AG$1)/10,0)*10,[1]Hugst!$R$4:$W$4,0))))</f>
        <v>0</v>
      </c>
      <c r="AH150">
        <f>IF($C150-AH$1&lt;År1,0,AG149*(1-VLOOKUP($A150,[1]Hugst!$R$5:$W$9,MATCH(ROUNDUP((AH$1)/10,0)*10,[1]Hugst!$R$4:$W$4,0))))</f>
        <v>0</v>
      </c>
      <c r="AI150">
        <f>IF($C150-AI$1&lt;År1,0,AH149*(1-VLOOKUP($A150,[1]Hugst!$R$5:$W$9,MATCH(ROUNDUP((AI$1)/10,0)*10,[1]Hugst!$R$4:$W$4,0))))</f>
        <v>0</v>
      </c>
      <c r="AJ150">
        <f>IF($C150-AJ$1&lt;År1,0,AI149*(1-VLOOKUP($A150,[1]Hugst!$R$5:$W$9,MATCH(ROUNDUP((AJ$1)/10,0)*10,[1]Hugst!$R$4:$W$4,0))))</f>
        <v>0</v>
      </c>
    </row>
    <row r="151" spans="1:36" x14ac:dyDescent="0.25">
      <c r="A151" t="s">
        <v>178</v>
      </c>
      <c r="B151" t="s">
        <v>23</v>
      </c>
      <c r="C151">
        <v>2045</v>
      </c>
      <c r="D151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95.955681991175425</v>
      </c>
      <c r="E151">
        <f t="shared" ca="1" si="3"/>
        <v>0</v>
      </c>
      <c r="F151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497.87612094865148</v>
      </c>
      <c r="G151">
        <f ca="1">IF($C151-G$1&lt;År1,0,F150*(1-VLOOKUP($A151,[1]Hugst!$R$5:$W$9,MATCH(ROUNDUP((G$1)/10,0)*10,[1]Hugst!$R$4:$W$4,0))))</f>
        <v>498.35831030539106</v>
      </c>
      <c r="H151">
        <f ca="1">IF($C151-H$1&lt;År1,0,G150*(1-VLOOKUP($A151,[1]Hugst!$R$5:$W$9,MATCH(ROUNDUP((H$1)/10,0)*10,[1]Hugst!$R$4:$W$4,0))))</f>
        <v>498.84292272422448</v>
      </c>
      <c r="I151">
        <f ca="1">IF($C151-I$1&lt;År1,0,H150*(1-VLOOKUP($A151,[1]Hugst!$R$5:$W$9,MATCH(ROUNDUP((I$1)/10,0)*10,[1]Hugst!$R$4:$W$4,0))))</f>
        <v>499.32997038134494</v>
      </c>
      <c r="J151">
        <f ca="1">IF($C151-J$1&lt;År1,0,I150*(1-VLOOKUP($A151,[1]Hugst!$R$5:$W$9,MATCH(ROUNDUP((J$1)/10,0)*10,[1]Hugst!$R$4:$W$4,0))))</f>
        <v>499.8194655141296</v>
      </c>
      <c r="K151">
        <f ca="1">IF($C151-K$1&lt;År1,0,J150*(1-VLOOKUP($A151,[1]Hugst!$R$5:$W$9,MATCH(ROUNDUP((K$1)/10,0)*10,[1]Hugst!$R$4:$W$4,0))))</f>
        <v>500.31142042144751</v>
      </c>
      <c r="L151">
        <f ca="1">IF($C151-L$1&lt;År1,0,K150*(1-VLOOKUP($A151,[1]Hugst!$R$5:$W$9,MATCH(ROUNDUP((L$1)/10,0)*10,[1]Hugst!$R$4:$W$4,0))))</f>
        <v>500.80584746397761</v>
      </c>
      <c r="M151">
        <f ca="1">IF($C151-M$1&lt;År1,0,L150*(1-VLOOKUP($A151,[1]Hugst!$R$5:$W$9,MATCH(ROUNDUP((M$1)/10,0)*10,[1]Hugst!$R$4:$W$4,0))))</f>
        <v>501.30275906451851</v>
      </c>
      <c r="N151">
        <f ca="1">IF($C151-N$1&lt;År1,0,M150*(1-VLOOKUP($A151,[1]Hugst!$R$5:$W$9,MATCH(ROUNDUP((N$1)/10,0)*10,[1]Hugst!$R$4:$W$4,0))))</f>
        <v>501.80216770826922</v>
      </c>
      <c r="O151">
        <f ca="1">IF($C151-O$1&lt;År1,0,N150*(1-VLOOKUP($A151,[1]Hugst!$R$5:$W$9,MATCH(ROUNDUP((O$1)/10,0)*10,[1]Hugst!$R$4:$W$4,0))))</f>
        <v>502.30408594319869</v>
      </c>
      <c r="P151">
        <f ca="1">IF($C151-P$1&lt;År1,0,O150*(1-VLOOKUP($A151,[1]Hugst!$R$5:$W$9,MATCH(ROUNDUP((P$1)/10,0)*10,[1]Hugst!$R$4:$W$4,0))))</f>
        <v>502.80852638031337</v>
      </c>
      <c r="Q151">
        <f ca="1">IF($C151-Q$1&lt;År1,0,P150*(1-VLOOKUP($A151,[1]Hugst!$R$5:$W$9,MATCH(ROUNDUP((Q$1)/10,0)*10,[1]Hugst!$R$4:$W$4,0))))</f>
        <v>503.31550169399378</v>
      </c>
      <c r="R151">
        <f ca="1">IF($C151-R$1&lt;År1,0,Q150*(1-VLOOKUP($A151,[1]Hugst!$R$5:$W$9,MATCH(ROUNDUP((R$1)/10,0)*10,[1]Hugst!$R$4:$W$4,0))))</f>
        <v>503.82502462231758</v>
      </c>
      <c r="S151">
        <f ca="1">IF($C151-S$1&lt;År1,0,R150*(1-VLOOKUP($A151,[1]Hugst!$R$5:$W$9,MATCH(ROUNDUP((S$1)/10,0)*10,[1]Hugst!$R$4:$W$4,0))))</f>
        <v>504.33710796736972</v>
      </c>
      <c r="T151">
        <f ca="1">IF($C151-T$1&lt;År1,0,S150*(1-VLOOKUP($A151,[1]Hugst!$R$5:$W$9,MATCH(ROUNDUP((T$1)/10,0)*10,[1]Hugst!$R$4:$W$4,0))))</f>
        <v>504.85176459555504</v>
      </c>
      <c r="U151">
        <f ca="1">IF($C151-U$1&lt;År1,0,T150*(1-VLOOKUP($A151,[1]Hugst!$R$5:$W$9,MATCH(ROUNDUP((U$1)/10,0)*10,[1]Hugst!$R$4:$W$4,0))))</f>
        <v>359.21612054433638</v>
      </c>
      <c r="V151">
        <f ca="1">IF($C151-V$1&lt;År1,0,U150*(1-VLOOKUP($A151,[1]Hugst!$R$5:$W$9,MATCH(ROUNDUP((V$1)/10,0)*10,[1]Hugst!$R$4:$W$4,0))))</f>
        <v>359.73596259699673</v>
      </c>
      <c r="W151">
        <f ca="1">IF($C151-W$1&lt;År1,0,V150*(1-VLOOKUP($A151,[1]Hugst!$R$5:$W$9,MATCH(ROUNDUP((W$1)/10,0)*10,[1]Hugst!$R$4:$W$4,0))))</f>
        <v>360.2584169212887</v>
      </c>
      <c r="X151">
        <f ca="1">IF($C151-X$1&lt;År1,0,W150*(1-VLOOKUP($A151,[1]Hugst!$R$5:$W$9,MATCH(ROUNDUP((X$1)/10,0)*10,[1]Hugst!$R$4:$W$4,0))))</f>
        <v>360.7834966441892</v>
      </c>
      <c r="Y151">
        <f ca="1">IF($C151-Y$1&lt;År1,0,X150*(1-VLOOKUP($A151,[1]Hugst!$R$5:$W$9,MATCH(ROUNDUP((Y$1)/10,0)*10,[1]Hugst!$R$4:$W$4,0))))</f>
        <v>361.31121495866228</v>
      </c>
      <c r="Z151">
        <f ca="1">IF($C151-Z$1&lt;År1,0,Y150*(1-VLOOKUP($A151,[1]Hugst!$R$5:$W$9,MATCH(ROUNDUP((Z$1)/10,0)*10,[1]Hugst!$R$4:$W$4,0))))</f>
        <v>361.84158512396232</v>
      </c>
      <c r="AA151">
        <f ca="1">IF($C151-AA$1&lt;År1,0,Z150*(1-VLOOKUP($A151,[1]Hugst!$R$5:$W$9,MATCH(ROUNDUP((AA$1)/10,0)*10,[1]Hugst!$R$4:$W$4,0))))</f>
        <v>362.37462046597341</v>
      </c>
      <c r="AB151">
        <f ca="1">IF($C151-AB$1&lt;År1,0,AA150*(1-VLOOKUP($A151,[1]Hugst!$R$5:$W$9,MATCH(ROUNDUP((AB$1)/10,0)*10,[1]Hugst!$R$4:$W$4,0))))</f>
        <v>362.9103343775422</v>
      </c>
      <c r="AC151">
        <f ca="1">IF($C151-AC$1&lt;År1,0,AB150*(1-VLOOKUP($A151,[1]Hugst!$R$5:$W$9,MATCH(ROUNDUP((AC$1)/10,0)*10,[1]Hugst!$R$4:$W$4,0))))</f>
        <v>363.44874031881761</v>
      </c>
      <c r="AD151">
        <f ca="1">IF($C151-AD$1&lt;År1,0,AC150*(1-VLOOKUP($A151,[1]Hugst!$R$5:$W$9,MATCH(ROUNDUP((AD$1)/10,0)*10,[1]Hugst!$R$4:$W$4,0))))</f>
        <v>363.98985181758314</v>
      </c>
      <c r="AE151">
        <f ca="1">IF($C151-AE$1&lt;År1,0,AD150*(1-VLOOKUP($A151,[1]Hugst!$R$5:$W$9,MATCH(ROUNDUP((AE$1)/10,0)*10,[1]Hugst!$R$4:$W$4,0))))</f>
        <v>364.53368246961463</v>
      </c>
      <c r="AF151">
        <f>IF($C151-AF$1&lt;År1,0,AE150*(1-VLOOKUP($A151,[1]Hugst!$R$5:$W$9,MATCH(ROUNDUP((AF$1)/10,0)*10,[1]Hugst!$R$4:$W$4,0))))</f>
        <v>0</v>
      </c>
      <c r="AG151">
        <f>IF($C151-AG$1&lt;År1,0,AF150*(1-VLOOKUP($A151,[1]Hugst!$R$5:$W$9,MATCH(ROUNDUP((AG$1)/10,0)*10,[1]Hugst!$R$4:$W$4,0))))</f>
        <v>0</v>
      </c>
      <c r="AH151">
        <f>IF($C151-AH$1&lt;År1,0,AG150*(1-VLOOKUP($A151,[1]Hugst!$R$5:$W$9,MATCH(ROUNDUP((AH$1)/10,0)*10,[1]Hugst!$R$4:$W$4,0))))</f>
        <v>0</v>
      </c>
      <c r="AI151">
        <f>IF($C151-AI$1&lt;År1,0,AH150*(1-VLOOKUP($A151,[1]Hugst!$R$5:$W$9,MATCH(ROUNDUP((AI$1)/10,0)*10,[1]Hugst!$R$4:$W$4,0))))</f>
        <v>0</v>
      </c>
      <c r="AJ151">
        <f>IF($C151-AJ$1&lt;År1,0,AI150*(1-VLOOKUP($A151,[1]Hugst!$R$5:$W$9,MATCH(ROUNDUP((AJ$1)/10,0)*10,[1]Hugst!$R$4:$W$4,0))))</f>
        <v>0</v>
      </c>
    </row>
    <row r="152" spans="1:36" x14ac:dyDescent="0.25">
      <c r="A152" t="s">
        <v>178</v>
      </c>
      <c r="B152" t="s">
        <v>23</v>
      </c>
      <c r="C152">
        <v>2046</v>
      </c>
      <c r="D152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95.47590358122261</v>
      </c>
      <c r="E152">
        <f t="shared" ca="1" si="3"/>
        <v>0</v>
      </c>
      <c r="F152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497.39634253869866</v>
      </c>
      <c r="G152">
        <f ca="1">IF($C152-G$1&lt;År1,0,F151*(1-VLOOKUP($A152,[1]Hugst!$R$5:$W$9,MATCH(ROUNDUP((G$1)/10,0)*10,[1]Hugst!$R$4:$W$4,0))))</f>
        <v>497.87612094865148</v>
      </c>
      <c r="H152">
        <f ca="1">IF($C152-H$1&lt;År1,0,G151*(1-VLOOKUP($A152,[1]Hugst!$R$5:$W$9,MATCH(ROUNDUP((H$1)/10,0)*10,[1]Hugst!$R$4:$W$4,0))))</f>
        <v>498.35831030539106</v>
      </c>
      <c r="I152">
        <f ca="1">IF($C152-I$1&lt;År1,0,H151*(1-VLOOKUP($A152,[1]Hugst!$R$5:$W$9,MATCH(ROUNDUP((I$1)/10,0)*10,[1]Hugst!$R$4:$W$4,0))))</f>
        <v>498.84292272422448</v>
      </c>
      <c r="J152">
        <f ca="1">IF($C152-J$1&lt;År1,0,I151*(1-VLOOKUP($A152,[1]Hugst!$R$5:$W$9,MATCH(ROUNDUP((J$1)/10,0)*10,[1]Hugst!$R$4:$W$4,0))))</f>
        <v>499.32997038134494</v>
      </c>
      <c r="K152">
        <f ca="1">IF($C152-K$1&lt;År1,0,J151*(1-VLOOKUP($A152,[1]Hugst!$R$5:$W$9,MATCH(ROUNDUP((K$1)/10,0)*10,[1]Hugst!$R$4:$W$4,0))))</f>
        <v>499.8194655141296</v>
      </c>
      <c r="L152">
        <f ca="1">IF($C152-L$1&lt;År1,0,K151*(1-VLOOKUP($A152,[1]Hugst!$R$5:$W$9,MATCH(ROUNDUP((L$1)/10,0)*10,[1]Hugst!$R$4:$W$4,0))))</f>
        <v>500.31142042144751</v>
      </c>
      <c r="M152">
        <f ca="1">IF($C152-M$1&lt;År1,0,L151*(1-VLOOKUP($A152,[1]Hugst!$R$5:$W$9,MATCH(ROUNDUP((M$1)/10,0)*10,[1]Hugst!$R$4:$W$4,0))))</f>
        <v>500.80584746397761</v>
      </c>
      <c r="N152">
        <f ca="1">IF($C152-N$1&lt;År1,0,M151*(1-VLOOKUP($A152,[1]Hugst!$R$5:$W$9,MATCH(ROUNDUP((N$1)/10,0)*10,[1]Hugst!$R$4:$W$4,0))))</f>
        <v>501.30275906451851</v>
      </c>
      <c r="O152">
        <f ca="1">IF($C152-O$1&lt;År1,0,N151*(1-VLOOKUP($A152,[1]Hugst!$R$5:$W$9,MATCH(ROUNDUP((O$1)/10,0)*10,[1]Hugst!$R$4:$W$4,0))))</f>
        <v>501.80216770826922</v>
      </c>
      <c r="P152">
        <f ca="1">IF($C152-P$1&lt;År1,0,O151*(1-VLOOKUP($A152,[1]Hugst!$R$5:$W$9,MATCH(ROUNDUP((P$1)/10,0)*10,[1]Hugst!$R$4:$W$4,0))))</f>
        <v>502.30408594319869</v>
      </c>
      <c r="Q152">
        <f ca="1">IF($C152-Q$1&lt;År1,0,P151*(1-VLOOKUP($A152,[1]Hugst!$R$5:$W$9,MATCH(ROUNDUP((Q$1)/10,0)*10,[1]Hugst!$R$4:$W$4,0))))</f>
        <v>502.80852638031337</v>
      </c>
      <c r="R152">
        <f ca="1">IF($C152-R$1&lt;År1,0,Q151*(1-VLOOKUP($A152,[1]Hugst!$R$5:$W$9,MATCH(ROUNDUP((R$1)/10,0)*10,[1]Hugst!$R$4:$W$4,0))))</f>
        <v>503.31550169399378</v>
      </c>
      <c r="S152">
        <f ca="1">IF($C152-S$1&lt;År1,0,R151*(1-VLOOKUP($A152,[1]Hugst!$R$5:$W$9,MATCH(ROUNDUP((S$1)/10,0)*10,[1]Hugst!$R$4:$W$4,0))))</f>
        <v>503.82502462231758</v>
      </c>
      <c r="T152">
        <f ca="1">IF($C152-T$1&lt;År1,0,S151*(1-VLOOKUP($A152,[1]Hugst!$R$5:$W$9,MATCH(ROUNDUP((T$1)/10,0)*10,[1]Hugst!$R$4:$W$4,0))))</f>
        <v>504.33710796736972</v>
      </c>
      <c r="U152">
        <f ca="1">IF($C152-U$1&lt;År1,0,T151*(1-VLOOKUP($A152,[1]Hugst!$R$5:$W$9,MATCH(ROUNDUP((U$1)/10,0)*10,[1]Hugst!$R$4:$W$4,0))))</f>
        <v>504.85176459555504</v>
      </c>
      <c r="V152">
        <f ca="1">IF($C152-V$1&lt;År1,0,U151*(1-VLOOKUP($A152,[1]Hugst!$R$5:$W$9,MATCH(ROUNDUP((V$1)/10,0)*10,[1]Hugst!$R$4:$W$4,0))))</f>
        <v>359.21612054433638</v>
      </c>
      <c r="W152">
        <f ca="1">IF($C152-W$1&lt;År1,0,V151*(1-VLOOKUP($A152,[1]Hugst!$R$5:$W$9,MATCH(ROUNDUP((W$1)/10,0)*10,[1]Hugst!$R$4:$W$4,0))))</f>
        <v>359.73596259699673</v>
      </c>
      <c r="X152">
        <f ca="1">IF($C152-X$1&lt;År1,0,W151*(1-VLOOKUP($A152,[1]Hugst!$R$5:$W$9,MATCH(ROUNDUP((X$1)/10,0)*10,[1]Hugst!$R$4:$W$4,0))))</f>
        <v>360.2584169212887</v>
      </c>
      <c r="Y152">
        <f ca="1">IF($C152-Y$1&lt;År1,0,X151*(1-VLOOKUP($A152,[1]Hugst!$R$5:$W$9,MATCH(ROUNDUP((Y$1)/10,0)*10,[1]Hugst!$R$4:$W$4,0))))</f>
        <v>360.7834966441892</v>
      </c>
      <c r="Z152">
        <f ca="1">IF($C152-Z$1&lt;År1,0,Y151*(1-VLOOKUP($A152,[1]Hugst!$R$5:$W$9,MATCH(ROUNDUP((Z$1)/10,0)*10,[1]Hugst!$R$4:$W$4,0))))</f>
        <v>361.31121495866228</v>
      </c>
      <c r="AA152">
        <f ca="1">IF($C152-AA$1&lt;År1,0,Z151*(1-VLOOKUP($A152,[1]Hugst!$R$5:$W$9,MATCH(ROUNDUP((AA$1)/10,0)*10,[1]Hugst!$R$4:$W$4,0))))</f>
        <v>361.84158512396232</v>
      </c>
      <c r="AB152">
        <f ca="1">IF($C152-AB$1&lt;År1,0,AA151*(1-VLOOKUP($A152,[1]Hugst!$R$5:$W$9,MATCH(ROUNDUP((AB$1)/10,0)*10,[1]Hugst!$R$4:$W$4,0))))</f>
        <v>362.37462046597341</v>
      </c>
      <c r="AC152">
        <f ca="1">IF($C152-AC$1&lt;År1,0,AB151*(1-VLOOKUP($A152,[1]Hugst!$R$5:$W$9,MATCH(ROUNDUP((AC$1)/10,0)*10,[1]Hugst!$R$4:$W$4,0))))</f>
        <v>362.9103343775422</v>
      </c>
      <c r="AD152">
        <f ca="1">IF($C152-AD$1&lt;År1,0,AC151*(1-VLOOKUP($A152,[1]Hugst!$R$5:$W$9,MATCH(ROUNDUP((AD$1)/10,0)*10,[1]Hugst!$R$4:$W$4,0))))</f>
        <v>363.44874031881761</v>
      </c>
      <c r="AE152">
        <f ca="1">IF($C152-AE$1&lt;År1,0,AD151*(1-VLOOKUP($A152,[1]Hugst!$R$5:$W$9,MATCH(ROUNDUP((AE$1)/10,0)*10,[1]Hugst!$R$4:$W$4,0))))</f>
        <v>363.98985181758314</v>
      </c>
      <c r="AF152">
        <f ca="1">IF($C152-AF$1&lt;År1,0,AE151*(1-VLOOKUP($A152,[1]Hugst!$R$5:$W$9,MATCH(ROUNDUP((AF$1)/10,0)*10,[1]Hugst!$R$4:$W$4,0))))</f>
        <v>364.53368246961463</v>
      </c>
      <c r="AG152">
        <f>IF($C152-AG$1&lt;År1,0,AF151*(1-VLOOKUP($A152,[1]Hugst!$R$5:$W$9,MATCH(ROUNDUP((AG$1)/10,0)*10,[1]Hugst!$R$4:$W$4,0))))</f>
        <v>0</v>
      </c>
      <c r="AH152">
        <f>IF($C152-AH$1&lt;År1,0,AG151*(1-VLOOKUP($A152,[1]Hugst!$R$5:$W$9,MATCH(ROUNDUP((AH$1)/10,0)*10,[1]Hugst!$R$4:$W$4,0))))</f>
        <v>0</v>
      </c>
      <c r="AI152">
        <f>IF($C152-AI$1&lt;År1,0,AH151*(1-VLOOKUP($A152,[1]Hugst!$R$5:$W$9,MATCH(ROUNDUP((AI$1)/10,0)*10,[1]Hugst!$R$4:$W$4,0))))</f>
        <v>0</v>
      </c>
      <c r="AJ152">
        <f>IF($C152-AJ$1&lt;År1,0,AI151*(1-VLOOKUP($A152,[1]Hugst!$R$5:$W$9,MATCH(ROUNDUP((AJ$1)/10,0)*10,[1]Hugst!$R$4:$W$4,0))))</f>
        <v>0</v>
      </c>
    </row>
    <row r="153" spans="1:36" x14ac:dyDescent="0.25">
      <c r="A153" t="s">
        <v>178</v>
      </c>
      <c r="B153" t="s">
        <v>23</v>
      </c>
      <c r="C153">
        <v>2047</v>
      </c>
      <c r="D153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94.99852406331047</v>
      </c>
      <c r="E153">
        <f t="shared" ca="1" si="3"/>
        <v>0</v>
      </c>
      <c r="F153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496.91896302078652</v>
      </c>
      <c r="G153">
        <f ca="1">IF($C153-G$1&lt;År1,0,F152*(1-VLOOKUP($A153,[1]Hugst!$R$5:$W$9,MATCH(ROUNDUP((G$1)/10,0)*10,[1]Hugst!$R$4:$W$4,0))))</f>
        <v>497.39634253869866</v>
      </c>
      <c r="H153">
        <f ca="1">IF($C153-H$1&lt;År1,0,G152*(1-VLOOKUP($A153,[1]Hugst!$R$5:$W$9,MATCH(ROUNDUP((H$1)/10,0)*10,[1]Hugst!$R$4:$W$4,0))))</f>
        <v>497.87612094865148</v>
      </c>
      <c r="I153">
        <f ca="1">IF($C153-I$1&lt;År1,0,H152*(1-VLOOKUP($A153,[1]Hugst!$R$5:$W$9,MATCH(ROUNDUP((I$1)/10,0)*10,[1]Hugst!$R$4:$W$4,0))))</f>
        <v>498.35831030539106</v>
      </c>
      <c r="J153">
        <f ca="1">IF($C153-J$1&lt;År1,0,I152*(1-VLOOKUP($A153,[1]Hugst!$R$5:$W$9,MATCH(ROUNDUP((J$1)/10,0)*10,[1]Hugst!$R$4:$W$4,0))))</f>
        <v>498.84292272422448</v>
      </c>
      <c r="K153">
        <f ca="1">IF($C153-K$1&lt;År1,0,J152*(1-VLOOKUP($A153,[1]Hugst!$R$5:$W$9,MATCH(ROUNDUP((K$1)/10,0)*10,[1]Hugst!$R$4:$W$4,0))))</f>
        <v>499.32997038134494</v>
      </c>
      <c r="L153">
        <f ca="1">IF($C153-L$1&lt;År1,0,K152*(1-VLOOKUP($A153,[1]Hugst!$R$5:$W$9,MATCH(ROUNDUP((L$1)/10,0)*10,[1]Hugst!$R$4:$W$4,0))))</f>
        <v>499.8194655141296</v>
      </c>
      <c r="M153">
        <f ca="1">IF($C153-M$1&lt;År1,0,L152*(1-VLOOKUP($A153,[1]Hugst!$R$5:$W$9,MATCH(ROUNDUP((M$1)/10,0)*10,[1]Hugst!$R$4:$W$4,0))))</f>
        <v>500.31142042144751</v>
      </c>
      <c r="N153">
        <f ca="1">IF($C153-N$1&lt;År1,0,M152*(1-VLOOKUP($A153,[1]Hugst!$R$5:$W$9,MATCH(ROUNDUP((N$1)/10,0)*10,[1]Hugst!$R$4:$W$4,0))))</f>
        <v>500.80584746397761</v>
      </c>
      <c r="O153">
        <f ca="1">IF($C153-O$1&lt;År1,0,N152*(1-VLOOKUP($A153,[1]Hugst!$R$5:$W$9,MATCH(ROUNDUP((O$1)/10,0)*10,[1]Hugst!$R$4:$W$4,0))))</f>
        <v>501.30275906451851</v>
      </c>
      <c r="P153">
        <f ca="1">IF($C153-P$1&lt;År1,0,O152*(1-VLOOKUP($A153,[1]Hugst!$R$5:$W$9,MATCH(ROUNDUP((P$1)/10,0)*10,[1]Hugst!$R$4:$W$4,0))))</f>
        <v>501.80216770826922</v>
      </c>
      <c r="Q153">
        <f ca="1">IF($C153-Q$1&lt;År1,0,P152*(1-VLOOKUP($A153,[1]Hugst!$R$5:$W$9,MATCH(ROUNDUP((Q$1)/10,0)*10,[1]Hugst!$R$4:$W$4,0))))</f>
        <v>502.30408594319869</v>
      </c>
      <c r="R153">
        <f ca="1">IF($C153-R$1&lt;År1,0,Q152*(1-VLOOKUP($A153,[1]Hugst!$R$5:$W$9,MATCH(ROUNDUP((R$1)/10,0)*10,[1]Hugst!$R$4:$W$4,0))))</f>
        <v>502.80852638031337</v>
      </c>
      <c r="S153">
        <f ca="1">IF($C153-S$1&lt;År1,0,R152*(1-VLOOKUP($A153,[1]Hugst!$R$5:$W$9,MATCH(ROUNDUP((S$1)/10,0)*10,[1]Hugst!$R$4:$W$4,0))))</f>
        <v>503.31550169399378</v>
      </c>
      <c r="T153">
        <f ca="1">IF($C153-T$1&lt;År1,0,S152*(1-VLOOKUP($A153,[1]Hugst!$R$5:$W$9,MATCH(ROUNDUP((T$1)/10,0)*10,[1]Hugst!$R$4:$W$4,0))))</f>
        <v>503.82502462231758</v>
      </c>
      <c r="U153">
        <f ca="1">IF($C153-U$1&lt;År1,0,T152*(1-VLOOKUP($A153,[1]Hugst!$R$5:$W$9,MATCH(ROUNDUP((U$1)/10,0)*10,[1]Hugst!$R$4:$W$4,0))))</f>
        <v>504.33710796736972</v>
      </c>
      <c r="V153">
        <f ca="1">IF($C153-V$1&lt;År1,0,U152*(1-VLOOKUP($A153,[1]Hugst!$R$5:$W$9,MATCH(ROUNDUP((V$1)/10,0)*10,[1]Hugst!$R$4:$W$4,0))))</f>
        <v>504.85176459555504</v>
      </c>
      <c r="W153">
        <f ca="1">IF($C153-W$1&lt;År1,0,V152*(1-VLOOKUP($A153,[1]Hugst!$R$5:$W$9,MATCH(ROUNDUP((W$1)/10,0)*10,[1]Hugst!$R$4:$W$4,0))))</f>
        <v>359.21612054433638</v>
      </c>
      <c r="X153">
        <f ca="1">IF($C153-X$1&lt;År1,0,W152*(1-VLOOKUP($A153,[1]Hugst!$R$5:$W$9,MATCH(ROUNDUP((X$1)/10,0)*10,[1]Hugst!$R$4:$W$4,0))))</f>
        <v>359.73596259699673</v>
      </c>
      <c r="Y153">
        <f ca="1">IF($C153-Y$1&lt;År1,0,X152*(1-VLOOKUP($A153,[1]Hugst!$R$5:$W$9,MATCH(ROUNDUP((Y$1)/10,0)*10,[1]Hugst!$R$4:$W$4,0))))</f>
        <v>360.2584169212887</v>
      </c>
      <c r="Z153">
        <f ca="1">IF($C153-Z$1&lt;År1,0,Y152*(1-VLOOKUP($A153,[1]Hugst!$R$5:$W$9,MATCH(ROUNDUP((Z$1)/10,0)*10,[1]Hugst!$R$4:$W$4,0))))</f>
        <v>360.7834966441892</v>
      </c>
      <c r="AA153">
        <f ca="1">IF($C153-AA$1&lt;År1,0,Z152*(1-VLOOKUP($A153,[1]Hugst!$R$5:$W$9,MATCH(ROUNDUP((AA$1)/10,0)*10,[1]Hugst!$R$4:$W$4,0))))</f>
        <v>361.31121495866228</v>
      </c>
      <c r="AB153">
        <f ca="1">IF($C153-AB$1&lt;År1,0,AA152*(1-VLOOKUP($A153,[1]Hugst!$R$5:$W$9,MATCH(ROUNDUP((AB$1)/10,0)*10,[1]Hugst!$R$4:$W$4,0))))</f>
        <v>361.84158512396232</v>
      </c>
      <c r="AC153">
        <f ca="1">IF($C153-AC$1&lt;År1,0,AB152*(1-VLOOKUP($A153,[1]Hugst!$R$5:$W$9,MATCH(ROUNDUP((AC$1)/10,0)*10,[1]Hugst!$R$4:$W$4,0))))</f>
        <v>362.37462046597341</v>
      </c>
      <c r="AD153">
        <f ca="1">IF($C153-AD$1&lt;År1,0,AC152*(1-VLOOKUP($A153,[1]Hugst!$R$5:$W$9,MATCH(ROUNDUP((AD$1)/10,0)*10,[1]Hugst!$R$4:$W$4,0))))</f>
        <v>362.9103343775422</v>
      </c>
      <c r="AE153">
        <f ca="1">IF($C153-AE$1&lt;År1,0,AD152*(1-VLOOKUP($A153,[1]Hugst!$R$5:$W$9,MATCH(ROUNDUP((AE$1)/10,0)*10,[1]Hugst!$R$4:$W$4,0))))</f>
        <v>363.44874031881761</v>
      </c>
      <c r="AF153">
        <f ca="1">IF($C153-AF$1&lt;År1,0,AE152*(1-VLOOKUP($A153,[1]Hugst!$R$5:$W$9,MATCH(ROUNDUP((AF$1)/10,0)*10,[1]Hugst!$R$4:$W$4,0))))</f>
        <v>363.98985181758314</v>
      </c>
      <c r="AG153">
        <f ca="1">IF($C153-AG$1&lt;År1,0,AF152*(1-VLOOKUP($A153,[1]Hugst!$R$5:$W$9,MATCH(ROUNDUP((AG$1)/10,0)*10,[1]Hugst!$R$4:$W$4,0))))</f>
        <v>364.53368246961463</v>
      </c>
      <c r="AH153">
        <f>IF($C153-AH$1&lt;År1,0,AG152*(1-VLOOKUP($A153,[1]Hugst!$R$5:$W$9,MATCH(ROUNDUP((AH$1)/10,0)*10,[1]Hugst!$R$4:$W$4,0))))</f>
        <v>0</v>
      </c>
      <c r="AI153">
        <f>IF($C153-AI$1&lt;År1,0,AH152*(1-VLOOKUP($A153,[1]Hugst!$R$5:$W$9,MATCH(ROUNDUP((AI$1)/10,0)*10,[1]Hugst!$R$4:$W$4,0))))</f>
        <v>0</v>
      </c>
      <c r="AJ153">
        <f>IF($C153-AJ$1&lt;År1,0,AI152*(1-VLOOKUP($A153,[1]Hugst!$R$5:$W$9,MATCH(ROUNDUP((AJ$1)/10,0)*10,[1]Hugst!$R$4:$W$4,0))))</f>
        <v>0</v>
      </c>
    </row>
    <row r="154" spans="1:36" x14ac:dyDescent="0.25">
      <c r="A154" t="s">
        <v>178</v>
      </c>
      <c r="B154" t="s">
        <v>23</v>
      </c>
      <c r="C154">
        <v>2048</v>
      </c>
      <c r="D154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94.523531442996955</v>
      </c>
      <c r="E154">
        <f t="shared" ca="1" si="3"/>
        <v>0</v>
      </c>
      <c r="F154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496.44397040047301</v>
      </c>
      <c r="G154">
        <f ca="1">IF($C154-G$1&lt;År1,0,F153*(1-VLOOKUP($A154,[1]Hugst!$R$5:$W$9,MATCH(ROUNDUP((G$1)/10,0)*10,[1]Hugst!$R$4:$W$4,0))))</f>
        <v>496.91896302078652</v>
      </c>
      <c r="H154">
        <f ca="1">IF($C154-H$1&lt;År1,0,G153*(1-VLOOKUP($A154,[1]Hugst!$R$5:$W$9,MATCH(ROUNDUP((H$1)/10,0)*10,[1]Hugst!$R$4:$W$4,0))))</f>
        <v>497.39634253869866</v>
      </c>
      <c r="I154">
        <f ca="1">IF($C154-I$1&lt;År1,0,H153*(1-VLOOKUP($A154,[1]Hugst!$R$5:$W$9,MATCH(ROUNDUP((I$1)/10,0)*10,[1]Hugst!$R$4:$W$4,0))))</f>
        <v>497.87612094865148</v>
      </c>
      <c r="J154">
        <f ca="1">IF($C154-J$1&lt;År1,0,I153*(1-VLOOKUP($A154,[1]Hugst!$R$5:$W$9,MATCH(ROUNDUP((J$1)/10,0)*10,[1]Hugst!$R$4:$W$4,0))))</f>
        <v>498.35831030539106</v>
      </c>
      <c r="K154">
        <f ca="1">IF($C154-K$1&lt;År1,0,J153*(1-VLOOKUP($A154,[1]Hugst!$R$5:$W$9,MATCH(ROUNDUP((K$1)/10,0)*10,[1]Hugst!$R$4:$W$4,0))))</f>
        <v>498.84292272422448</v>
      </c>
      <c r="L154">
        <f ca="1">IF($C154-L$1&lt;År1,0,K153*(1-VLOOKUP($A154,[1]Hugst!$R$5:$W$9,MATCH(ROUNDUP((L$1)/10,0)*10,[1]Hugst!$R$4:$W$4,0))))</f>
        <v>499.32997038134494</v>
      </c>
      <c r="M154">
        <f ca="1">IF($C154-M$1&lt;År1,0,L153*(1-VLOOKUP($A154,[1]Hugst!$R$5:$W$9,MATCH(ROUNDUP((M$1)/10,0)*10,[1]Hugst!$R$4:$W$4,0))))</f>
        <v>499.8194655141296</v>
      </c>
      <c r="N154">
        <f ca="1">IF($C154-N$1&lt;År1,0,M153*(1-VLOOKUP($A154,[1]Hugst!$R$5:$W$9,MATCH(ROUNDUP((N$1)/10,0)*10,[1]Hugst!$R$4:$W$4,0))))</f>
        <v>500.31142042144751</v>
      </c>
      <c r="O154">
        <f ca="1">IF($C154-O$1&lt;År1,0,N153*(1-VLOOKUP($A154,[1]Hugst!$R$5:$W$9,MATCH(ROUNDUP((O$1)/10,0)*10,[1]Hugst!$R$4:$W$4,0))))</f>
        <v>500.80584746397761</v>
      </c>
      <c r="P154">
        <f ca="1">IF($C154-P$1&lt;År1,0,O153*(1-VLOOKUP($A154,[1]Hugst!$R$5:$W$9,MATCH(ROUNDUP((P$1)/10,0)*10,[1]Hugst!$R$4:$W$4,0))))</f>
        <v>501.30275906451851</v>
      </c>
      <c r="Q154">
        <f ca="1">IF($C154-Q$1&lt;År1,0,P153*(1-VLOOKUP($A154,[1]Hugst!$R$5:$W$9,MATCH(ROUNDUP((Q$1)/10,0)*10,[1]Hugst!$R$4:$W$4,0))))</f>
        <v>501.80216770826922</v>
      </c>
      <c r="R154">
        <f ca="1">IF($C154-R$1&lt;År1,0,Q153*(1-VLOOKUP($A154,[1]Hugst!$R$5:$W$9,MATCH(ROUNDUP((R$1)/10,0)*10,[1]Hugst!$R$4:$W$4,0))))</f>
        <v>502.30408594319869</v>
      </c>
      <c r="S154">
        <f ca="1">IF($C154-S$1&lt;År1,0,R153*(1-VLOOKUP($A154,[1]Hugst!$R$5:$W$9,MATCH(ROUNDUP((S$1)/10,0)*10,[1]Hugst!$R$4:$W$4,0))))</f>
        <v>502.80852638031337</v>
      </c>
      <c r="T154">
        <f ca="1">IF($C154-T$1&lt;År1,0,S153*(1-VLOOKUP($A154,[1]Hugst!$R$5:$W$9,MATCH(ROUNDUP((T$1)/10,0)*10,[1]Hugst!$R$4:$W$4,0))))</f>
        <v>503.31550169399378</v>
      </c>
      <c r="U154">
        <f ca="1">IF($C154-U$1&lt;År1,0,T153*(1-VLOOKUP($A154,[1]Hugst!$R$5:$W$9,MATCH(ROUNDUP((U$1)/10,0)*10,[1]Hugst!$R$4:$W$4,0))))</f>
        <v>503.82502462231758</v>
      </c>
      <c r="V154">
        <f ca="1">IF($C154-V$1&lt;År1,0,U153*(1-VLOOKUP($A154,[1]Hugst!$R$5:$W$9,MATCH(ROUNDUP((V$1)/10,0)*10,[1]Hugst!$R$4:$W$4,0))))</f>
        <v>504.33710796736972</v>
      </c>
      <c r="W154">
        <f ca="1">IF($C154-W$1&lt;År1,0,V153*(1-VLOOKUP($A154,[1]Hugst!$R$5:$W$9,MATCH(ROUNDUP((W$1)/10,0)*10,[1]Hugst!$R$4:$W$4,0))))</f>
        <v>504.85176459555504</v>
      </c>
      <c r="X154">
        <f ca="1">IF($C154-X$1&lt;År1,0,W153*(1-VLOOKUP($A154,[1]Hugst!$R$5:$W$9,MATCH(ROUNDUP((X$1)/10,0)*10,[1]Hugst!$R$4:$W$4,0))))</f>
        <v>359.21612054433638</v>
      </c>
      <c r="Y154">
        <f ca="1">IF($C154-Y$1&lt;År1,0,X153*(1-VLOOKUP($A154,[1]Hugst!$R$5:$W$9,MATCH(ROUNDUP((Y$1)/10,0)*10,[1]Hugst!$R$4:$W$4,0))))</f>
        <v>359.73596259699673</v>
      </c>
      <c r="Z154">
        <f ca="1">IF($C154-Z$1&lt;År1,0,Y153*(1-VLOOKUP($A154,[1]Hugst!$R$5:$W$9,MATCH(ROUNDUP((Z$1)/10,0)*10,[1]Hugst!$R$4:$W$4,0))))</f>
        <v>360.2584169212887</v>
      </c>
      <c r="AA154">
        <f ca="1">IF($C154-AA$1&lt;År1,0,Z153*(1-VLOOKUP($A154,[1]Hugst!$R$5:$W$9,MATCH(ROUNDUP((AA$1)/10,0)*10,[1]Hugst!$R$4:$W$4,0))))</f>
        <v>360.7834966441892</v>
      </c>
      <c r="AB154">
        <f ca="1">IF($C154-AB$1&lt;År1,0,AA153*(1-VLOOKUP($A154,[1]Hugst!$R$5:$W$9,MATCH(ROUNDUP((AB$1)/10,0)*10,[1]Hugst!$R$4:$W$4,0))))</f>
        <v>361.31121495866228</v>
      </c>
      <c r="AC154">
        <f ca="1">IF($C154-AC$1&lt;År1,0,AB153*(1-VLOOKUP($A154,[1]Hugst!$R$5:$W$9,MATCH(ROUNDUP((AC$1)/10,0)*10,[1]Hugst!$R$4:$W$4,0))))</f>
        <v>361.84158512396232</v>
      </c>
      <c r="AD154">
        <f ca="1">IF($C154-AD$1&lt;År1,0,AC153*(1-VLOOKUP($A154,[1]Hugst!$R$5:$W$9,MATCH(ROUNDUP((AD$1)/10,0)*10,[1]Hugst!$R$4:$W$4,0))))</f>
        <v>362.37462046597341</v>
      </c>
      <c r="AE154">
        <f ca="1">IF($C154-AE$1&lt;År1,0,AD153*(1-VLOOKUP($A154,[1]Hugst!$R$5:$W$9,MATCH(ROUNDUP((AE$1)/10,0)*10,[1]Hugst!$R$4:$W$4,0))))</f>
        <v>362.9103343775422</v>
      </c>
      <c r="AF154">
        <f ca="1">IF($C154-AF$1&lt;År1,0,AE153*(1-VLOOKUP($A154,[1]Hugst!$R$5:$W$9,MATCH(ROUNDUP((AF$1)/10,0)*10,[1]Hugst!$R$4:$W$4,0))))</f>
        <v>363.44874031881761</v>
      </c>
      <c r="AG154">
        <f ca="1">IF($C154-AG$1&lt;År1,0,AF153*(1-VLOOKUP($A154,[1]Hugst!$R$5:$W$9,MATCH(ROUNDUP((AG$1)/10,0)*10,[1]Hugst!$R$4:$W$4,0))))</f>
        <v>363.98985181758314</v>
      </c>
      <c r="AH154">
        <f ca="1">IF($C154-AH$1&lt;År1,0,AG153*(1-VLOOKUP($A154,[1]Hugst!$R$5:$W$9,MATCH(ROUNDUP((AH$1)/10,0)*10,[1]Hugst!$R$4:$W$4,0))))</f>
        <v>364.53368246961463</v>
      </c>
      <c r="AI154">
        <f>IF($C154-AI$1&lt;År1,0,AH153*(1-VLOOKUP($A154,[1]Hugst!$R$5:$W$9,MATCH(ROUNDUP((AI$1)/10,0)*10,[1]Hugst!$R$4:$W$4,0))))</f>
        <v>0</v>
      </c>
      <c r="AJ154">
        <f>IF($C154-AJ$1&lt;År1,0,AI153*(1-VLOOKUP($A154,[1]Hugst!$R$5:$W$9,MATCH(ROUNDUP((AJ$1)/10,0)*10,[1]Hugst!$R$4:$W$4,0))))</f>
        <v>0</v>
      </c>
    </row>
    <row r="155" spans="1:36" x14ac:dyDescent="0.25">
      <c r="A155" t="s">
        <v>178</v>
      </c>
      <c r="B155" t="s">
        <v>23</v>
      </c>
      <c r="C155">
        <v>2049</v>
      </c>
      <c r="D155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94.050913785782086</v>
      </c>
      <c r="E155">
        <f t="shared" ca="1" si="3"/>
        <v>0</v>
      </c>
      <c r="F155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495.97135274325814</v>
      </c>
      <c r="G155">
        <f ca="1">IF($C155-G$1&lt;År1,0,F154*(1-VLOOKUP($A155,[1]Hugst!$R$5:$W$9,MATCH(ROUNDUP((G$1)/10,0)*10,[1]Hugst!$R$4:$W$4,0))))</f>
        <v>496.44397040047301</v>
      </c>
      <c r="H155">
        <f ca="1">IF($C155-H$1&lt;År1,0,G154*(1-VLOOKUP($A155,[1]Hugst!$R$5:$W$9,MATCH(ROUNDUP((H$1)/10,0)*10,[1]Hugst!$R$4:$W$4,0))))</f>
        <v>496.91896302078652</v>
      </c>
      <c r="I155">
        <f ca="1">IF($C155-I$1&lt;År1,0,H154*(1-VLOOKUP($A155,[1]Hugst!$R$5:$W$9,MATCH(ROUNDUP((I$1)/10,0)*10,[1]Hugst!$R$4:$W$4,0))))</f>
        <v>497.39634253869866</v>
      </c>
      <c r="J155">
        <f ca="1">IF($C155-J$1&lt;År1,0,I154*(1-VLOOKUP($A155,[1]Hugst!$R$5:$W$9,MATCH(ROUNDUP((J$1)/10,0)*10,[1]Hugst!$R$4:$W$4,0))))</f>
        <v>497.87612094865148</v>
      </c>
      <c r="K155">
        <f ca="1">IF($C155-K$1&lt;År1,0,J154*(1-VLOOKUP($A155,[1]Hugst!$R$5:$W$9,MATCH(ROUNDUP((K$1)/10,0)*10,[1]Hugst!$R$4:$W$4,0))))</f>
        <v>498.35831030539106</v>
      </c>
      <c r="L155">
        <f ca="1">IF($C155-L$1&lt;År1,0,K154*(1-VLOOKUP($A155,[1]Hugst!$R$5:$W$9,MATCH(ROUNDUP((L$1)/10,0)*10,[1]Hugst!$R$4:$W$4,0))))</f>
        <v>498.84292272422448</v>
      </c>
      <c r="M155">
        <f ca="1">IF($C155-M$1&lt;År1,0,L154*(1-VLOOKUP($A155,[1]Hugst!$R$5:$W$9,MATCH(ROUNDUP((M$1)/10,0)*10,[1]Hugst!$R$4:$W$4,0))))</f>
        <v>499.32997038134494</v>
      </c>
      <c r="N155">
        <f ca="1">IF($C155-N$1&lt;År1,0,M154*(1-VLOOKUP($A155,[1]Hugst!$R$5:$W$9,MATCH(ROUNDUP((N$1)/10,0)*10,[1]Hugst!$R$4:$W$4,0))))</f>
        <v>499.8194655141296</v>
      </c>
      <c r="O155">
        <f ca="1">IF($C155-O$1&lt;År1,0,N154*(1-VLOOKUP($A155,[1]Hugst!$R$5:$W$9,MATCH(ROUNDUP((O$1)/10,0)*10,[1]Hugst!$R$4:$W$4,0))))</f>
        <v>500.31142042144751</v>
      </c>
      <c r="P155">
        <f ca="1">IF($C155-P$1&lt;År1,0,O154*(1-VLOOKUP($A155,[1]Hugst!$R$5:$W$9,MATCH(ROUNDUP((P$1)/10,0)*10,[1]Hugst!$R$4:$W$4,0))))</f>
        <v>500.80584746397761</v>
      </c>
      <c r="Q155">
        <f ca="1">IF($C155-Q$1&lt;År1,0,P154*(1-VLOOKUP($A155,[1]Hugst!$R$5:$W$9,MATCH(ROUNDUP((Q$1)/10,0)*10,[1]Hugst!$R$4:$W$4,0))))</f>
        <v>501.30275906451851</v>
      </c>
      <c r="R155">
        <f ca="1">IF($C155-R$1&lt;År1,0,Q154*(1-VLOOKUP($A155,[1]Hugst!$R$5:$W$9,MATCH(ROUNDUP((R$1)/10,0)*10,[1]Hugst!$R$4:$W$4,0))))</f>
        <v>501.80216770826922</v>
      </c>
      <c r="S155">
        <f ca="1">IF($C155-S$1&lt;År1,0,R154*(1-VLOOKUP($A155,[1]Hugst!$R$5:$W$9,MATCH(ROUNDUP((S$1)/10,0)*10,[1]Hugst!$R$4:$W$4,0))))</f>
        <v>502.30408594319869</v>
      </c>
      <c r="T155">
        <f ca="1">IF($C155-T$1&lt;År1,0,S154*(1-VLOOKUP($A155,[1]Hugst!$R$5:$W$9,MATCH(ROUNDUP((T$1)/10,0)*10,[1]Hugst!$R$4:$W$4,0))))</f>
        <v>502.80852638031337</v>
      </c>
      <c r="U155">
        <f ca="1">IF($C155-U$1&lt;År1,0,T154*(1-VLOOKUP($A155,[1]Hugst!$R$5:$W$9,MATCH(ROUNDUP((U$1)/10,0)*10,[1]Hugst!$R$4:$W$4,0))))</f>
        <v>503.31550169399378</v>
      </c>
      <c r="V155">
        <f ca="1">IF($C155-V$1&lt;År1,0,U154*(1-VLOOKUP($A155,[1]Hugst!$R$5:$W$9,MATCH(ROUNDUP((V$1)/10,0)*10,[1]Hugst!$R$4:$W$4,0))))</f>
        <v>503.82502462231758</v>
      </c>
      <c r="W155">
        <f ca="1">IF($C155-W$1&lt;År1,0,V154*(1-VLOOKUP($A155,[1]Hugst!$R$5:$W$9,MATCH(ROUNDUP((W$1)/10,0)*10,[1]Hugst!$R$4:$W$4,0))))</f>
        <v>504.33710796736972</v>
      </c>
      <c r="X155">
        <f ca="1">IF($C155-X$1&lt;År1,0,W154*(1-VLOOKUP($A155,[1]Hugst!$R$5:$W$9,MATCH(ROUNDUP((X$1)/10,0)*10,[1]Hugst!$R$4:$W$4,0))))</f>
        <v>504.85176459555504</v>
      </c>
      <c r="Y155">
        <f ca="1">IF($C155-Y$1&lt;År1,0,X154*(1-VLOOKUP($A155,[1]Hugst!$R$5:$W$9,MATCH(ROUNDUP((Y$1)/10,0)*10,[1]Hugst!$R$4:$W$4,0))))</f>
        <v>359.21612054433638</v>
      </c>
      <c r="Z155">
        <f ca="1">IF($C155-Z$1&lt;År1,0,Y154*(1-VLOOKUP($A155,[1]Hugst!$R$5:$W$9,MATCH(ROUNDUP((Z$1)/10,0)*10,[1]Hugst!$R$4:$W$4,0))))</f>
        <v>359.73596259699673</v>
      </c>
      <c r="AA155">
        <f ca="1">IF($C155-AA$1&lt;År1,0,Z154*(1-VLOOKUP($A155,[1]Hugst!$R$5:$W$9,MATCH(ROUNDUP((AA$1)/10,0)*10,[1]Hugst!$R$4:$W$4,0))))</f>
        <v>360.2584169212887</v>
      </c>
      <c r="AB155">
        <f ca="1">IF($C155-AB$1&lt;År1,0,AA154*(1-VLOOKUP($A155,[1]Hugst!$R$5:$W$9,MATCH(ROUNDUP((AB$1)/10,0)*10,[1]Hugst!$R$4:$W$4,0))))</f>
        <v>360.7834966441892</v>
      </c>
      <c r="AC155">
        <f ca="1">IF($C155-AC$1&lt;År1,0,AB154*(1-VLOOKUP($A155,[1]Hugst!$R$5:$W$9,MATCH(ROUNDUP((AC$1)/10,0)*10,[1]Hugst!$R$4:$W$4,0))))</f>
        <v>361.31121495866228</v>
      </c>
      <c r="AD155">
        <f ca="1">IF($C155-AD$1&lt;År1,0,AC154*(1-VLOOKUP($A155,[1]Hugst!$R$5:$W$9,MATCH(ROUNDUP((AD$1)/10,0)*10,[1]Hugst!$R$4:$W$4,0))))</f>
        <v>361.84158512396232</v>
      </c>
      <c r="AE155">
        <f ca="1">IF($C155-AE$1&lt;År1,0,AD154*(1-VLOOKUP($A155,[1]Hugst!$R$5:$W$9,MATCH(ROUNDUP((AE$1)/10,0)*10,[1]Hugst!$R$4:$W$4,0))))</f>
        <v>362.37462046597341</v>
      </c>
      <c r="AF155">
        <f ca="1">IF($C155-AF$1&lt;År1,0,AE154*(1-VLOOKUP($A155,[1]Hugst!$R$5:$W$9,MATCH(ROUNDUP((AF$1)/10,0)*10,[1]Hugst!$R$4:$W$4,0))))</f>
        <v>362.9103343775422</v>
      </c>
      <c r="AG155">
        <f ca="1">IF($C155-AG$1&lt;År1,0,AF154*(1-VLOOKUP($A155,[1]Hugst!$R$5:$W$9,MATCH(ROUNDUP((AG$1)/10,0)*10,[1]Hugst!$R$4:$W$4,0))))</f>
        <v>363.44874031881761</v>
      </c>
      <c r="AH155">
        <f ca="1">IF($C155-AH$1&lt;År1,0,AG154*(1-VLOOKUP($A155,[1]Hugst!$R$5:$W$9,MATCH(ROUNDUP((AH$1)/10,0)*10,[1]Hugst!$R$4:$W$4,0))))</f>
        <v>363.98985181758314</v>
      </c>
      <c r="AI155">
        <f ca="1">IF($C155-AI$1&lt;År1,0,AH154*(1-VLOOKUP($A155,[1]Hugst!$R$5:$W$9,MATCH(ROUNDUP((AI$1)/10,0)*10,[1]Hugst!$R$4:$W$4,0))))</f>
        <v>364.53368246961463</v>
      </c>
      <c r="AJ155">
        <f>IF($C155-AJ$1&lt;År1,0,AI154*(1-VLOOKUP($A155,[1]Hugst!$R$5:$W$9,MATCH(ROUNDUP((AJ$1)/10,0)*10,[1]Hugst!$R$4:$W$4,0))))</f>
        <v>0</v>
      </c>
    </row>
    <row r="156" spans="1:36" x14ac:dyDescent="0.25">
      <c r="A156" t="s">
        <v>178</v>
      </c>
      <c r="B156" t="s">
        <v>23</v>
      </c>
      <c r="C156">
        <v>2050</v>
      </c>
      <c r="D156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93.580659216854656</v>
      </c>
      <c r="E156">
        <f t="shared" ca="1" si="3"/>
        <v>0.66278851358219981</v>
      </c>
      <c r="F156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496.16388668791291</v>
      </c>
      <c r="G156">
        <f ca="1">IF($C156-G$1&lt;År1,0,F155*(1-VLOOKUP($A156,[1]Hugst!$R$5:$W$9,MATCH(ROUNDUP((G$1)/10,0)*10,[1]Hugst!$R$4:$W$4,0))))</f>
        <v>495.97135274325814</v>
      </c>
      <c r="H156">
        <f ca="1">IF($C156-H$1&lt;År1,0,G155*(1-VLOOKUP($A156,[1]Hugst!$R$5:$W$9,MATCH(ROUNDUP((H$1)/10,0)*10,[1]Hugst!$R$4:$W$4,0))))</f>
        <v>496.44397040047301</v>
      </c>
      <c r="I156">
        <f ca="1">IF($C156-I$1&lt;År1,0,H155*(1-VLOOKUP($A156,[1]Hugst!$R$5:$W$9,MATCH(ROUNDUP((I$1)/10,0)*10,[1]Hugst!$R$4:$W$4,0))))</f>
        <v>496.91896302078652</v>
      </c>
      <c r="J156">
        <f ca="1">IF($C156-J$1&lt;År1,0,I155*(1-VLOOKUP($A156,[1]Hugst!$R$5:$W$9,MATCH(ROUNDUP((J$1)/10,0)*10,[1]Hugst!$R$4:$W$4,0))))</f>
        <v>497.39634253869866</v>
      </c>
      <c r="K156">
        <f ca="1">IF($C156-K$1&lt;År1,0,J155*(1-VLOOKUP($A156,[1]Hugst!$R$5:$W$9,MATCH(ROUNDUP((K$1)/10,0)*10,[1]Hugst!$R$4:$W$4,0))))</f>
        <v>497.87612094865148</v>
      </c>
      <c r="L156">
        <f ca="1">IF($C156-L$1&lt;År1,0,K155*(1-VLOOKUP($A156,[1]Hugst!$R$5:$W$9,MATCH(ROUNDUP((L$1)/10,0)*10,[1]Hugst!$R$4:$W$4,0))))</f>
        <v>498.35831030539106</v>
      </c>
      <c r="M156">
        <f ca="1">IF($C156-M$1&lt;År1,0,L155*(1-VLOOKUP($A156,[1]Hugst!$R$5:$W$9,MATCH(ROUNDUP((M$1)/10,0)*10,[1]Hugst!$R$4:$W$4,0))))</f>
        <v>498.84292272422448</v>
      </c>
      <c r="N156">
        <f ca="1">IF($C156-N$1&lt;År1,0,M155*(1-VLOOKUP($A156,[1]Hugst!$R$5:$W$9,MATCH(ROUNDUP((N$1)/10,0)*10,[1]Hugst!$R$4:$W$4,0))))</f>
        <v>499.32997038134494</v>
      </c>
      <c r="O156">
        <f ca="1">IF($C156-O$1&lt;År1,0,N155*(1-VLOOKUP($A156,[1]Hugst!$R$5:$W$9,MATCH(ROUNDUP((O$1)/10,0)*10,[1]Hugst!$R$4:$W$4,0))))</f>
        <v>499.8194655141296</v>
      </c>
      <c r="P156">
        <f ca="1">IF($C156-P$1&lt;År1,0,O155*(1-VLOOKUP($A156,[1]Hugst!$R$5:$W$9,MATCH(ROUNDUP((P$1)/10,0)*10,[1]Hugst!$R$4:$W$4,0))))</f>
        <v>500.31142042144751</v>
      </c>
      <c r="Q156">
        <f ca="1">IF($C156-Q$1&lt;År1,0,P155*(1-VLOOKUP($A156,[1]Hugst!$R$5:$W$9,MATCH(ROUNDUP((Q$1)/10,0)*10,[1]Hugst!$R$4:$W$4,0))))</f>
        <v>500.80584746397761</v>
      </c>
      <c r="R156">
        <f ca="1">IF($C156-R$1&lt;År1,0,Q155*(1-VLOOKUP($A156,[1]Hugst!$R$5:$W$9,MATCH(ROUNDUP((R$1)/10,0)*10,[1]Hugst!$R$4:$W$4,0))))</f>
        <v>501.30275906451851</v>
      </c>
      <c r="S156">
        <f ca="1">IF($C156-S$1&lt;År1,0,R155*(1-VLOOKUP($A156,[1]Hugst!$R$5:$W$9,MATCH(ROUNDUP((S$1)/10,0)*10,[1]Hugst!$R$4:$W$4,0))))</f>
        <v>501.80216770826922</v>
      </c>
      <c r="T156">
        <f ca="1">IF($C156-T$1&lt;År1,0,S155*(1-VLOOKUP($A156,[1]Hugst!$R$5:$W$9,MATCH(ROUNDUP((T$1)/10,0)*10,[1]Hugst!$R$4:$W$4,0))))</f>
        <v>502.30408594319869</v>
      </c>
      <c r="U156">
        <f ca="1">IF($C156-U$1&lt;År1,0,T155*(1-VLOOKUP($A156,[1]Hugst!$R$5:$W$9,MATCH(ROUNDUP((U$1)/10,0)*10,[1]Hugst!$R$4:$W$4,0))))</f>
        <v>502.80852638031337</v>
      </c>
      <c r="V156">
        <f ca="1">IF($C156-V$1&lt;År1,0,U155*(1-VLOOKUP($A156,[1]Hugst!$R$5:$W$9,MATCH(ROUNDUP((V$1)/10,0)*10,[1]Hugst!$R$4:$W$4,0))))</f>
        <v>503.31550169399378</v>
      </c>
      <c r="W156">
        <f ca="1">IF($C156-W$1&lt;År1,0,V155*(1-VLOOKUP($A156,[1]Hugst!$R$5:$W$9,MATCH(ROUNDUP((W$1)/10,0)*10,[1]Hugst!$R$4:$W$4,0))))</f>
        <v>503.82502462231758</v>
      </c>
      <c r="X156">
        <f ca="1">IF($C156-X$1&lt;År1,0,W155*(1-VLOOKUP($A156,[1]Hugst!$R$5:$W$9,MATCH(ROUNDUP((X$1)/10,0)*10,[1]Hugst!$R$4:$W$4,0))))</f>
        <v>504.33710796736972</v>
      </c>
      <c r="Y156">
        <f ca="1">IF($C156-Y$1&lt;År1,0,X155*(1-VLOOKUP($A156,[1]Hugst!$R$5:$W$9,MATCH(ROUNDUP((Y$1)/10,0)*10,[1]Hugst!$R$4:$W$4,0))))</f>
        <v>504.85176459555504</v>
      </c>
      <c r="Z156">
        <f ca="1">IF($C156-Z$1&lt;År1,0,Y155*(1-VLOOKUP($A156,[1]Hugst!$R$5:$W$9,MATCH(ROUNDUP((Z$1)/10,0)*10,[1]Hugst!$R$4:$W$4,0))))</f>
        <v>359.21612054433638</v>
      </c>
      <c r="AA156">
        <f ca="1">IF($C156-AA$1&lt;År1,0,Z155*(1-VLOOKUP($A156,[1]Hugst!$R$5:$W$9,MATCH(ROUNDUP((AA$1)/10,0)*10,[1]Hugst!$R$4:$W$4,0))))</f>
        <v>359.73596259699673</v>
      </c>
      <c r="AB156">
        <f ca="1">IF($C156-AB$1&lt;År1,0,AA155*(1-VLOOKUP($A156,[1]Hugst!$R$5:$W$9,MATCH(ROUNDUP((AB$1)/10,0)*10,[1]Hugst!$R$4:$W$4,0))))</f>
        <v>360.2584169212887</v>
      </c>
      <c r="AC156">
        <f ca="1">IF($C156-AC$1&lt;År1,0,AB155*(1-VLOOKUP($A156,[1]Hugst!$R$5:$W$9,MATCH(ROUNDUP((AC$1)/10,0)*10,[1]Hugst!$R$4:$W$4,0))))</f>
        <v>360.7834966441892</v>
      </c>
      <c r="AD156">
        <f ca="1">IF($C156-AD$1&lt;År1,0,AC155*(1-VLOOKUP($A156,[1]Hugst!$R$5:$W$9,MATCH(ROUNDUP((AD$1)/10,0)*10,[1]Hugst!$R$4:$W$4,0))))</f>
        <v>361.31121495866228</v>
      </c>
      <c r="AE156">
        <f ca="1">IF($C156-AE$1&lt;År1,0,AD155*(1-VLOOKUP($A156,[1]Hugst!$R$5:$W$9,MATCH(ROUNDUP((AE$1)/10,0)*10,[1]Hugst!$R$4:$W$4,0))))</f>
        <v>361.84158512396232</v>
      </c>
      <c r="AF156">
        <f ca="1">IF($C156-AF$1&lt;År1,0,AE155*(1-VLOOKUP($A156,[1]Hugst!$R$5:$W$9,MATCH(ROUNDUP((AF$1)/10,0)*10,[1]Hugst!$R$4:$W$4,0))))</f>
        <v>362.37462046597341</v>
      </c>
      <c r="AG156">
        <f ca="1">IF($C156-AG$1&lt;År1,0,AF155*(1-VLOOKUP($A156,[1]Hugst!$R$5:$W$9,MATCH(ROUNDUP((AG$1)/10,0)*10,[1]Hugst!$R$4:$W$4,0))))</f>
        <v>362.9103343775422</v>
      </c>
      <c r="AH156">
        <f ca="1">IF($C156-AH$1&lt;År1,0,AG155*(1-VLOOKUP($A156,[1]Hugst!$R$5:$W$9,MATCH(ROUNDUP((AH$1)/10,0)*10,[1]Hugst!$R$4:$W$4,0))))</f>
        <v>363.44874031881761</v>
      </c>
      <c r="AI156">
        <f ca="1">IF($C156-AI$1&lt;År1,0,AH155*(1-VLOOKUP($A156,[1]Hugst!$R$5:$W$9,MATCH(ROUNDUP((AI$1)/10,0)*10,[1]Hugst!$R$4:$W$4,0))))</f>
        <v>363.98985181758314</v>
      </c>
      <c r="AJ156">
        <f ca="1">IF($C156-AJ$1&lt;År1,0,AI155*(1-VLOOKUP($A156,[1]Hugst!$R$5:$W$9,MATCH(ROUNDUP((AJ$1)/10,0)*10,[1]Hugst!$R$4:$W$4,0))))</f>
        <v>363.87089395603351</v>
      </c>
    </row>
    <row r="157" spans="1:36" x14ac:dyDescent="0.25">
      <c r="A157" t="s">
        <v>178</v>
      </c>
      <c r="B157" t="s">
        <v>24</v>
      </c>
      <c r="C157">
        <v>2020</v>
      </c>
      <c r="D157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31.83636959423384</v>
      </c>
      <c r="E157">
        <f t="shared" si="3"/>
        <v>0</v>
      </c>
      <c r="F157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70.681612143180047</v>
      </c>
      <c r="G157">
        <f>IF($C157-G$1&lt;År1,0,F156*(1-VLOOKUP($A157,[1]Hugst!$R$5:$W$9,MATCH(ROUNDUP((G$1)/10,0)*10,[1]Hugst!$R$4:$W$4,0))))</f>
        <v>0</v>
      </c>
      <c r="H157">
        <f>IF($C157-H$1&lt;År1,0,G156*(1-VLOOKUP($A157,[1]Hugst!$R$5:$W$9,MATCH(ROUNDUP((H$1)/10,0)*10,[1]Hugst!$R$4:$W$4,0))))</f>
        <v>0</v>
      </c>
      <c r="I157">
        <f>IF($C157-I$1&lt;År1,0,H156*(1-VLOOKUP($A157,[1]Hugst!$R$5:$W$9,MATCH(ROUNDUP((I$1)/10,0)*10,[1]Hugst!$R$4:$W$4,0))))</f>
        <v>0</v>
      </c>
      <c r="J157">
        <f>IF($C157-J$1&lt;År1,0,I156*(1-VLOOKUP($A157,[1]Hugst!$R$5:$W$9,MATCH(ROUNDUP((J$1)/10,0)*10,[1]Hugst!$R$4:$W$4,0))))</f>
        <v>0</v>
      </c>
      <c r="K157">
        <f>IF($C157-K$1&lt;År1,0,J156*(1-VLOOKUP($A157,[1]Hugst!$R$5:$W$9,MATCH(ROUNDUP((K$1)/10,0)*10,[1]Hugst!$R$4:$W$4,0))))</f>
        <v>0</v>
      </c>
      <c r="L157">
        <f>IF($C157-L$1&lt;År1,0,K156*(1-VLOOKUP($A157,[1]Hugst!$R$5:$W$9,MATCH(ROUNDUP((L$1)/10,0)*10,[1]Hugst!$R$4:$W$4,0))))</f>
        <v>0</v>
      </c>
      <c r="M157">
        <f>IF($C157-M$1&lt;År1,0,L156*(1-VLOOKUP($A157,[1]Hugst!$R$5:$W$9,MATCH(ROUNDUP((M$1)/10,0)*10,[1]Hugst!$R$4:$W$4,0))))</f>
        <v>0</v>
      </c>
      <c r="N157">
        <f>IF($C157-N$1&lt;År1,0,M156*(1-VLOOKUP($A157,[1]Hugst!$R$5:$W$9,MATCH(ROUNDUP((N$1)/10,0)*10,[1]Hugst!$R$4:$W$4,0))))</f>
        <v>0</v>
      </c>
      <c r="O157">
        <f>IF($C157-O$1&lt;År1,0,N156*(1-VLOOKUP($A157,[1]Hugst!$R$5:$W$9,MATCH(ROUNDUP((O$1)/10,0)*10,[1]Hugst!$R$4:$W$4,0))))</f>
        <v>0</v>
      </c>
      <c r="P157">
        <f>IF($C157-P$1&lt;År1,0,O156*(1-VLOOKUP($A157,[1]Hugst!$R$5:$W$9,MATCH(ROUNDUP((P$1)/10,0)*10,[1]Hugst!$R$4:$W$4,0))))</f>
        <v>0</v>
      </c>
      <c r="Q157">
        <f>IF($C157-Q$1&lt;År1,0,P156*(1-VLOOKUP($A157,[1]Hugst!$R$5:$W$9,MATCH(ROUNDUP((Q$1)/10,0)*10,[1]Hugst!$R$4:$W$4,0))))</f>
        <v>0</v>
      </c>
      <c r="R157">
        <f>IF($C157-R$1&lt;År1,0,Q156*(1-VLOOKUP($A157,[1]Hugst!$R$5:$W$9,MATCH(ROUNDUP((R$1)/10,0)*10,[1]Hugst!$R$4:$W$4,0))))</f>
        <v>0</v>
      </c>
      <c r="S157">
        <f>IF($C157-S$1&lt;År1,0,R156*(1-VLOOKUP($A157,[1]Hugst!$R$5:$W$9,MATCH(ROUNDUP((S$1)/10,0)*10,[1]Hugst!$R$4:$W$4,0))))</f>
        <v>0</v>
      </c>
      <c r="T157">
        <f>IF($C157-T$1&lt;År1,0,S156*(1-VLOOKUP($A157,[1]Hugst!$R$5:$W$9,MATCH(ROUNDUP((T$1)/10,0)*10,[1]Hugst!$R$4:$W$4,0))))</f>
        <v>0</v>
      </c>
      <c r="U157">
        <f>IF($C157-U$1&lt;År1,0,T156*(1-VLOOKUP($A157,[1]Hugst!$R$5:$W$9,MATCH(ROUNDUP((U$1)/10,0)*10,[1]Hugst!$R$4:$W$4,0))))</f>
        <v>0</v>
      </c>
      <c r="V157">
        <f>IF($C157-V$1&lt;År1,0,U156*(1-VLOOKUP($A157,[1]Hugst!$R$5:$W$9,MATCH(ROUNDUP((V$1)/10,0)*10,[1]Hugst!$R$4:$W$4,0))))</f>
        <v>0</v>
      </c>
      <c r="W157">
        <f>IF($C157-W$1&lt;År1,0,V156*(1-VLOOKUP($A157,[1]Hugst!$R$5:$W$9,MATCH(ROUNDUP((W$1)/10,0)*10,[1]Hugst!$R$4:$W$4,0))))</f>
        <v>0</v>
      </c>
      <c r="X157">
        <f>IF($C157-X$1&lt;År1,0,W156*(1-VLOOKUP($A157,[1]Hugst!$R$5:$W$9,MATCH(ROUNDUP((X$1)/10,0)*10,[1]Hugst!$R$4:$W$4,0))))</f>
        <v>0</v>
      </c>
      <c r="Y157">
        <f>IF($C157-Y$1&lt;År1,0,X156*(1-VLOOKUP($A157,[1]Hugst!$R$5:$W$9,MATCH(ROUNDUP((Y$1)/10,0)*10,[1]Hugst!$R$4:$W$4,0))))</f>
        <v>0</v>
      </c>
      <c r="Z157">
        <f>IF($C157-Z$1&lt;År1,0,Y156*(1-VLOOKUP($A157,[1]Hugst!$R$5:$W$9,MATCH(ROUNDUP((Z$1)/10,0)*10,[1]Hugst!$R$4:$W$4,0))))</f>
        <v>0</v>
      </c>
      <c r="AA157">
        <f>IF($C157-AA$1&lt;År1,0,Z156*(1-VLOOKUP($A157,[1]Hugst!$R$5:$W$9,MATCH(ROUNDUP((AA$1)/10,0)*10,[1]Hugst!$R$4:$W$4,0))))</f>
        <v>0</v>
      </c>
      <c r="AB157">
        <f>IF($C157-AB$1&lt;År1,0,AA156*(1-VLOOKUP($A157,[1]Hugst!$R$5:$W$9,MATCH(ROUNDUP((AB$1)/10,0)*10,[1]Hugst!$R$4:$W$4,0))))</f>
        <v>0</v>
      </c>
      <c r="AC157">
        <f>IF($C157-AC$1&lt;År1,0,AB156*(1-VLOOKUP($A157,[1]Hugst!$R$5:$W$9,MATCH(ROUNDUP((AC$1)/10,0)*10,[1]Hugst!$R$4:$W$4,0))))</f>
        <v>0</v>
      </c>
      <c r="AD157">
        <f>IF($C157-AD$1&lt;År1,0,AC156*(1-VLOOKUP($A157,[1]Hugst!$R$5:$W$9,MATCH(ROUNDUP((AD$1)/10,0)*10,[1]Hugst!$R$4:$W$4,0))))</f>
        <v>0</v>
      </c>
      <c r="AE157">
        <f>IF($C157-AE$1&lt;År1,0,AD156*(1-VLOOKUP($A157,[1]Hugst!$R$5:$W$9,MATCH(ROUNDUP((AE$1)/10,0)*10,[1]Hugst!$R$4:$W$4,0))))</f>
        <v>0</v>
      </c>
      <c r="AF157">
        <f>IF($C157-AF$1&lt;År1,0,AE156*(1-VLOOKUP($A157,[1]Hugst!$R$5:$W$9,MATCH(ROUNDUP((AF$1)/10,0)*10,[1]Hugst!$R$4:$W$4,0))))</f>
        <v>0</v>
      </c>
      <c r="AG157">
        <f>IF($C157-AG$1&lt;År1,0,AF156*(1-VLOOKUP($A157,[1]Hugst!$R$5:$W$9,MATCH(ROUNDUP((AG$1)/10,0)*10,[1]Hugst!$R$4:$W$4,0))))</f>
        <v>0</v>
      </c>
      <c r="AH157">
        <f>IF($C157-AH$1&lt;År1,0,AG156*(1-VLOOKUP($A157,[1]Hugst!$R$5:$W$9,MATCH(ROUNDUP((AH$1)/10,0)*10,[1]Hugst!$R$4:$W$4,0))))</f>
        <v>0</v>
      </c>
      <c r="AI157">
        <f>IF($C157-AI$1&lt;År1,0,AH156*(1-VLOOKUP($A157,[1]Hugst!$R$5:$W$9,MATCH(ROUNDUP((AI$1)/10,0)*10,[1]Hugst!$R$4:$W$4,0))))</f>
        <v>0</v>
      </c>
      <c r="AJ157">
        <f>IF($C157-AJ$1&lt;År1,0,AI156*(1-VLOOKUP($A157,[1]Hugst!$R$5:$W$9,MATCH(ROUNDUP((AJ$1)/10,0)*10,[1]Hugst!$R$4:$W$4,0))))</f>
        <v>0</v>
      </c>
    </row>
    <row r="158" spans="1:36" x14ac:dyDescent="0.25">
      <c r="A158" t="s">
        <v>178</v>
      </c>
      <c r="B158" t="s">
        <v>24</v>
      </c>
      <c r="C158">
        <v>2021</v>
      </c>
      <c r="D15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31.677187746262643</v>
      </c>
      <c r="E158">
        <f t="shared" ca="1" si="3"/>
        <v>0</v>
      </c>
      <c r="F15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70.522430295208849</v>
      </c>
      <c r="G158">
        <f ca="1">IF($C158-G$1&lt;År1,0,F157*(1-VLOOKUP($A158,[1]Hugst!$R$5:$W$9,MATCH(ROUNDUP((G$1)/10,0)*10,[1]Hugst!$R$4:$W$4,0))))</f>
        <v>70.681612143180047</v>
      </c>
      <c r="H158">
        <f>IF($C158-H$1&lt;År1,0,G157*(1-VLOOKUP($A158,[1]Hugst!$R$5:$W$9,MATCH(ROUNDUP((H$1)/10,0)*10,[1]Hugst!$R$4:$W$4,0))))</f>
        <v>0</v>
      </c>
      <c r="I158">
        <f>IF($C158-I$1&lt;År1,0,H157*(1-VLOOKUP($A158,[1]Hugst!$R$5:$W$9,MATCH(ROUNDUP((I$1)/10,0)*10,[1]Hugst!$R$4:$W$4,0))))</f>
        <v>0</v>
      </c>
      <c r="J158">
        <f>IF($C158-J$1&lt;År1,0,I157*(1-VLOOKUP($A158,[1]Hugst!$R$5:$W$9,MATCH(ROUNDUP((J$1)/10,0)*10,[1]Hugst!$R$4:$W$4,0))))</f>
        <v>0</v>
      </c>
      <c r="K158">
        <f>IF($C158-K$1&lt;År1,0,J157*(1-VLOOKUP($A158,[1]Hugst!$R$5:$W$9,MATCH(ROUNDUP((K$1)/10,0)*10,[1]Hugst!$R$4:$W$4,0))))</f>
        <v>0</v>
      </c>
      <c r="L158">
        <f>IF($C158-L$1&lt;År1,0,K157*(1-VLOOKUP($A158,[1]Hugst!$R$5:$W$9,MATCH(ROUNDUP((L$1)/10,0)*10,[1]Hugst!$R$4:$W$4,0))))</f>
        <v>0</v>
      </c>
      <c r="M158">
        <f>IF($C158-M$1&lt;År1,0,L157*(1-VLOOKUP($A158,[1]Hugst!$R$5:$W$9,MATCH(ROUNDUP((M$1)/10,0)*10,[1]Hugst!$R$4:$W$4,0))))</f>
        <v>0</v>
      </c>
      <c r="N158">
        <f>IF($C158-N$1&lt;År1,0,M157*(1-VLOOKUP($A158,[1]Hugst!$R$5:$W$9,MATCH(ROUNDUP((N$1)/10,0)*10,[1]Hugst!$R$4:$W$4,0))))</f>
        <v>0</v>
      </c>
      <c r="O158">
        <f>IF($C158-O$1&lt;År1,0,N157*(1-VLOOKUP($A158,[1]Hugst!$R$5:$W$9,MATCH(ROUNDUP((O$1)/10,0)*10,[1]Hugst!$R$4:$W$4,0))))</f>
        <v>0</v>
      </c>
      <c r="P158">
        <f>IF($C158-P$1&lt;År1,0,O157*(1-VLOOKUP($A158,[1]Hugst!$R$5:$W$9,MATCH(ROUNDUP((P$1)/10,0)*10,[1]Hugst!$R$4:$W$4,0))))</f>
        <v>0</v>
      </c>
      <c r="Q158">
        <f>IF($C158-Q$1&lt;År1,0,P157*(1-VLOOKUP($A158,[1]Hugst!$R$5:$W$9,MATCH(ROUNDUP((Q$1)/10,0)*10,[1]Hugst!$R$4:$W$4,0))))</f>
        <v>0</v>
      </c>
      <c r="R158">
        <f>IF($C158-R$1&lt;År1,0,Q157*(1-VLOOKUP($A158,[1]Hugst!$R$5:$W$9,MATCH(ROUNDUP((R$1)/10,0)*10,[1]Hugst!$R$4:$W$4,0))))</f>
        <v>0</v>
      </c>
      <c r="S158">
        <f>IF($C158-S$1&lt;År1,0,R157*(1-VLOOKUP($A158,[1]Hugst!$R$5:$W$9,MATCH(ROUNDUP((S$1)/10,0)*10,[1]Hugst!$R$4:$W$4,0))))</f>
        <v>0</v>
      </c>
      <c r="T158">
        <f>IF($C158-T$1&lt;År1,0,S157*(1-VLOOKUP($A158,[1]Hugst!$R$5:$W$9,MATCH(ROUNDUP((T$1)/10,0)*10,[1]Hugst!$R$4:$W$4,0))))</f>
        <v>0</v>
      </c>
      <c r="U158">
        <f>IF($C158-U$1&lt;År1,0,T157*(1-VLOOKUP($A158,[1]Hugst!$R$5:$W$9,MATCH(ROUNDUP((U$1)/10,0)*10,[1]Hugst!$R$4:$W$4,0))))</f>
        <v>0</v>
      </c>
      <c r="V158">
        <f>IF($C158-V$1&lt;År1,0,U157*(1-VLOOKUP($A158,[1]Hugst!$R$5:$W$9,MATCH(ROUNDUP((V$1)/10,0)*10,[1]Hugst!$R$4:$W$4,0))))</f>
        <v>0</v>
      </c>
      <c r="W158">
        <f>IF($C158-W$1&lt;År1,0,V157*(1-VLOOKUP($A158,[1]Hugst!$R$5:$W$9,MATCH(ROUNDUP((W$1)/10,0)*10,[1]Hugst!$R$4:$W$4,0))))</f>
        <v>0</v>
      </c>
      <c r="X158">
        <f>IF($C158-X$1&lt;År1,0,W157*(1-VLOOKUP($A158,[1]Hugst!$R$5:$W$9,MATCH(ROUNDUP((X$1)/10,0)*10,[1]Hugst!$R$4:$W$4,0))))</f>
        <v>0</v>
      </c>
      <c r="Y158">
        <f>IF($C158-Y$1&lt;År1,0,X157*(1-VLOOKUP($A158,[1]Hugst!$R$5:$W$9,MATCH(ROUNDUP((Y$1)/10,0)*10,[1]Hugst!$R$4:$W$4,0))))</f>
        <v>0</v>
      </c>
      <c r="Z158">
        <f>IF($C158-Z$1&lt;År1,0,Y157*(1-VLOOKUP($A158,[1]Hugst!$R$5:$W$9,MATCH(ROUNDUP((Z$1)/10,0)*10,[1]Hugst!$R$4:$W$4,0))))</f>
        <v>0</v>
      </c>
      <c r="AA158">
        <f>IF($C158-AA$1&lt;År1,0,Z157*(1-VLOOKUP($A158,[1]Hugst!$R$5:$W$9,MATCH(ROUNDUP((AA$1)/10,0)*10,[1]Hugst!$R$4:$W$4,0))))</f>
        <v>0</v>
      </c>
      <c r="AB158">
        <f>IF($C158-AB$1&lt;År1,0,AA157*(1-VLOOKUP($A158,[1]Hugst!$R$5:$W$9,MATCH(ROUNDUP((AB$1)/10,0)*10,[1]Hugst!$R$4:$W$4,0))))</f>
        <v>0</v>
      </c>
      <c r="AC158">
        <f>IF($C158-AC$1&lt;År1,0,AB157*(1-VLOOKUP($A158,[1]Hugst!$R$5:$W$9,MATCH(ROUNDUP((AC$1)/10,0)*10,[1]Hugst!$R$4:$W$4,0))))</f>
        <v>0</v>
      </c>
      <c r="AD158">
        <f>IF($C158-AD$1&lt;År1,0,AC157*(1-VLOOKUP($A158,[1]Hugst!$R$5:$W$9,MATCH(ROUNDUP((AD$1)/10,0)*10,[1]Hugst!$R$4:$W$4,0))))</f>
        <v>0</v>
      </c>
      <c r="AE158">
        <f>IF($C158-AE$1&lt;År1,0,AD157*(1-VLOOKUP($A158,[1]Hugst!$R$5:$W$9,MATCH(ROUNDUP((AE$1)/10,0)*10,[1]Hugst!$R$4:$W$4,0))))</f>
        <v>0</v>
      </c>
      <c r="AF158">
        <f>IF($C158-AF$1&lt;År1,0,AE157*(1-VLOOKUP($A158,[1]Hugst!$R$5:$W$9,MATCH(ROUNDUP((AF$1)/10,0)*10,[1]Hugst!$R$4:$W$4,0))))</f>
        <v>0</v>
      </c>
      <c r="AG158">
        <f>IF($C158-AG$1&lt;År1,0,AF157*(1-VLOOKUP($A158,[1]Hugst!$R$5:$W$9,MATCH(ROUNDUP((AG$1)/10,0)*10,[1]Hugst!$R$4:$W$4,0))))</f>
        <v>0</v>
      </c>
      <c r="AH158">
        <f>IF($C158-AH$1&lt;År1,0,AG157*(1-VLOOKUP($A158,[1]Hugst!$R$5:$W$9,MATCH(ROUNDUP((AH$1)/10,0)*10,[1]Hugst!$R$4:$W$4,0))))</f>
        <v>0</v>
      </c>
      <c r="AI158">
        <f>IF($C158-AI$1&lt;År1,0,AH157*(1-VLOOKUP($A158,[1]Hugst!$R$5:$W$9,MATCH(ROUNDUP((AI$1)/10,0)*10,[1]Hugst!$R$4:$W$4,0))))</f>
        <v>0</v>
      </c>
      <c r="AJ158">
        <f>IF($C158-AJ$1&lt;År1,0,AI157*(1-VLOOKUP($A158,[1]Hugst!$R$5:$W$9,MATCH(ROUNDUP((AJ$1)/10,0)*10,[1]Hugst!$R$4:$W$4,0))))</f>
        <v>0</v>
      </c>
    </row>
    <row r="159" spans="1:36" x14ac:dyDescent="0.25">
      <c r="A159" t="s">
        <v>178</v>
      </c>
      <c r="B159" t="s">
        <v>24</v>
      </c>
      <c r="C159">
        <v>2022</v>
      </c>
      <c r="D159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31.518801807531425</v>
      </c>
      <c r="E159">
        <f t="shared" ca="1" si="3"/>
        <v>0</v>
      </c>
      <c r="F15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70.364044356477635</v>
      </c>
      <c r="G159">
        <f ca="1">IF($C159-G$1&lt;År1,0,F158*(1-VLOOKUP($A159,[1]Hugst!$R$5:$W$9,MATCH(ROUNDUP((G$1)/10,0)*10,[1]Hugst!$R$4:$W$4,0))))</f>
        <v>70.522430295208849</v>
      </c>
      <c r="H159">
        <f ca="1">IF($C159-H$1&lt;År1,0,G158*(1-VLOOKUP($A159,[1]Hugst!$R$5:$W$9,MATCH(ROUNDUP((H$1)/10,0)*10,[1]Hugst!$R$4:$W$4,0))))</f>
        <v>70.681612143180047</v>
      </c>
      <c r="I159">
        <f>IF($C159-I$1&lt;År1,0,H158*(1-VLOOKUP($A159,[1]Hugst!$R$5:$W$9,MATCH(ROUNDUP((I$1)/10,0)*10,[1]Hugst!$R$4:$W$4,0))))</f>
        <v>0</v>
      </c>
      <c r="J159">
        <f>IF($C159-J$1&lt;År1,0,I158*(1-VLOOKUP($A159,[1]Hugst!$R$5:$W$9,MATCH(ROUNDUP((J$1)/10,0)*10,[1]Hugst!$R$4:$W$4,0))))</f>
        <v>0</v>
      </c>
      <c r="K159">
        <f>IF($C159-K$1&lt;År1,0,J158*(1-VLOOKUP($A159,[1]Hugst!$R$5:$W$9,MATCH(ROUNDUP((K$1)/10,0)*10,[1]Hugst!$R$4:$W$4,0))))</f>
        <v>0</v>
      </c>
      <c r="L159">
        <f>IF($C159-L$1&lt;År1,0,K158*(1-VLOOKUP($A159,[1]Hugst!$R$5:$W$9,MATCH(ROUNDUP((L$1)/10,0)*10,[1]Hugst!$R$4:$W$4,0))))</f>
        <v>0</v>
      </c>
      <c r="M159">
        <f>IF($C159-M$1&lt;År1,0,L158*(1-VLOOKUP($A159,[1]Hugst!$R$5:$W$9,MATCH(ROUNDUP((M$1)/10,0)*10,[1]Hugst!$R$4:$W$4,0))))</f>
        <v>0</v>
      </c>
      <c r="N159">
        <f>IF($C159-N$1&lt;År1,0,M158*(1-VLOOKUP($A159,[1]Hugst!$R$5:$W$9,MATCH(ROUNDUP((N$1)/10,0)*10,[1]Hugst!$R$4:$W$4,0))))</f>
        <v>0</v>
      </c>
      <c r="O159">
        <f>IF($C159-O$1&lt;År1,0,N158*(1-VLOOKUP($A159,[1]Hugst!$R$5:$W$9,MATCH(ROUNDUP((O$1)/10,0)*10,[1]Hugst!$R$4:$W$4,0))))</f>
        <v>0</v>
      </c>
      <c r="P159">
        <f>IF($C159-P$1&lt;År1,0,O158*(1-VLOOKUP($A159,[1]Hugst!$R$5:$W$9,MATCH(ROUNDUP((P$1)/10,0)*10,[1]Hugst!$R$4:$W$4,0))))</f>
        <v>0</v>
      </c>
      <c r="Q159">
        <f>IF($C159-Q$1&lt;År1,0,P158*(1-VLOOKUP($A159,[1]Hugst!$R$5:$W$9,MATCH(ROUNDUP((Q$1)/10,0)*10,[1]Hugst!$R$4:$W$4,0))))</f>
        <v>0</v>
      </c>
      <c r="R159">
        <f>IF($C159-R$1&lt;År1,0,Q158*(1-VLOOKUP($A159,[1]Hugst!$R$5:$W$9,MATCH(ROUNDUP((R$1)/10,0)*10,[1]Hugst!$R$4:$W$4,0))))</f>
        <v>0</v>
      </c>
      <c r="S159">
        <f>IF($C159-S$1&lt;År1,0,R158*(1-VLOOKUP($A159,[1]Hugst!$R$5:$W$9,MATCH(ROUNDUP((S$1)/10,0)*10,[1]Hugst!$R$4:$W$4,0))))</f>
        <v>0</v>
      </c>
      <c r="T159">
        <f>IF($C159-T$1&lt;År1,0,S158*(1-VLOOKUP($A159,[1]Hugst!$R$5:$W$9,MATCH(ROUNDUP((T$1)/10,0)*10,[1]Hugst!$R$4:$W$4,0))))</f>
        <v>0</v>
      </c>
      <c r="U159">
        <f>IF($C159-U$1&lt;År1,0,T158*(1-VLOOKUP($A159,[1]Hugst!$R$5:$W$9,MATCH(ROUNDUP((U$1)/10,0)*10,[1]Hugst!$R$4:$W$4,0))))</f>
        <v>0</v>
      </c>
      <c r="V159">
        <f>IF($C159-V$1&lt;År1,0,U158*(1-VLOOKUP($A159,[1]Hugst!$R$5:$W$9,MATCH(ROUNDUP((V$1)/10,0)*10,[1]Hugst!$R$4:$W$4,0))))</f>
        <v>0</v>
      </c>
      <c r="W159">
        <f>IF($C159-W$1&lt;År1,0,V158*(1-VLOOKUP($A159,[1]Hugst!$R$5:$W$9,MATCH(ROUNDUP((W$1)/10,0)*10,[1]Hugst!$R$4:$W$4,0))))</f>
        <v>0</v>
      </c>
      <c r="X159">
        <f>IF($C159-X$1&lt;År1,0,W158*(1-VLOOKUP($A159,[1]Hugst!$R$5:$W$9,MATCH(ROUNDUP((X$1)/10,0)*10,[1]Hugst!$R$4:$W$4,0))))</f>
        <v>0</v>
      </c>
      <c r="Y159">
        <f>IF($C159-Y$1&lt;År1,0,X158*(1-VLOOKUP($A159,[1]Hugst!$R$5:$W$9,MATCH(ROUNDUP((Y$1)/10,0)*10,[1]Hugst!$R$4:$W$4,0))))</f>
        <v>0</v>
      </c>
      <c r="Z159">
        <f>IF($C159-Z$1&lt;År1,0,Y158*(1-VLOOKUP($A159,[1]Hugst!$R$5:$W$9,MATCH(ROUNDUP((Z$1)/10,0)*10,[1]Hugst!$R$4:$W$4,0))))</f>
        <v>0</v>
      </c>
      <c r="AA159">
        <f>IF($C159-AA$1&lt;År1,0,Z158*(1-VLOOKUP($A159,[1]Hugst!$R$5:$W$9,MATCH(ROUNDUP((AA$1)/10,0)*10,[1]Hugst!$R$4:$W$4,0))))</f>
        <v>0</v>
      </c>
      <c r="AB159">
        <f>IF($C159-AB$1&lt;År1,0,AA158*(1-VLOOKUP($A159,[1]Hugst!$R$5:$W$9,MATCH(ROUNDUP((AB$1)/10,0)*10,[1]Hugst!$R$4:$W$4,0))))</f>
        <v>0</v>
      </c>
      <c r="AC159">
        <f>IF($C159-AC$1&lt;År1,0,AB158*(1-VLOOKUP($A159,[1]Hugst!$R$5:$W$9,MATCH(ROUNDUP((AC$1)/10,0)*10,[1]Hugst!$R$4:$W$4,0))))</f>
        <v>0</v>
      </c>
      <c r="AD159">
        <f>IF($C159-AD$1&lt;År1,0,AC158*(1-VLOOKUP($A159,[1]Hugst!$R$5:$W$9,MATCH(ROUNDUP((AD$1)/10,0)*10,[1]Hugst!$R$4:$W$4,0))))</f>
        <v>0</v>
      </c>
      <c r="AE159">
        <f>IF($C159-AE$1&lt;År1,0,AD158*(1-VLOOKUP($A159,[1]Hugst!$R$5:$W$9,MATCH(ROUNDUP((AE$1)/10,0)*10,[1]Hugst!$R$4:$W$4,0))))</f>
        <v>0</v>
      </c>
      <c r="AF159">
        <f>IF($C159-AF$1&lt;År1,0,AE158*(1-VLOOKUP($A159,[1]Hugst!$R$5:$W$9,MATCH(ROUNDUP((AF$1)/10,0)*10,[1]Hugst!$R$4:$W$4,0))))</f>
        <v>0</v>
      </c>
      <c r="AG159">
        <f>IF($C159-AG$1&lt;År1,0,AF158*(1-VLOOKUP($A159,[1]Hugst!$R$5:$W$9,MATCH(ROUNDUP((AG$1)/10,0)*10,[1]Hugst!$R$4:$W$4,0))))</f>
        <v>0</v>
      </c>
      <c r="AH159">
        <f>IF($C159-AH$1&lt;År1,0,AG158*(1-VLOOKUP($A159,[1]Hugst!$R$5:$W$9,MATCH(ROUNDUP((AH$1)/10,0)*10,[1]Hugst!$R$4:$W$4,0))))</f>
        <v>0</v>
      </c>
      <c r="AI159">
        <f>IF($C159-AI$1&lt;År1,0,AH158*(1-VLOOKUP($A159,[1]Hugst!$R$5:$W$9,MATCH(ROUNDUP((AI$1)/10,0)*10,[1]Hugst!$R$4:$W$4,0))))</f>
        <v>0</v>
      </c>
      <c r="AJ159">
        <f>IF($C159-AJ$1&lt;År1,0,AI158*(1-VLOOKUP($A159,[1]Hugst!$R$5:$W$9,MATCH(ROUNDUP((AJ$1)/10,0)*10,[1]Hugst!$R$4:$W$4,0))))</f>
        <v>0</v>
      </c>
    </row>
    <row r="160" spans="1:36" x14ac:dyDescent="0.25">
      <c r="A160" t="s">
        <v>178</v>
      </c>
      <c r="B160" t="s">
        <v>24</v>
      </c>
      <c r="C160">
        <v>2023</v>
      </c>
      <c r="D160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31.36120779849297</v>
      </c>
      <c r="E160">
        <f t="shared" ca="1" si="3"/>
        <v>0</v>
      </c>
      <c r="F160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70.206450347439187</v>
      </c>
      <c r="G160">
        <f ca="1">IF($C160-G$1&lt;År1,0,F159*(1-VLOOKUP($A160,[1]Hugst!$R$5:$W$9,MATCH(ROUNDUP((G$1)/10,0)*10,[1]Hugst!$R$4:$W$4,0))))</f>
        <v>70.364044356477635</v>
      </c>
      <c r="H160">
        <f ca="1">IF($C160-H$1&lt;År1,0,G159*(1-VLOOKUP($A160,[1]Hugst!$R$5:$W$9,MATCH(ROUNDUP((H$1)/10,0)*10,[1]Hugst!$R$4:$W$4,0))))</f>
        <v>70.522430295208849</v>
      </c>
      <c r="I160">
        <f ca="1">IF($C160-I$1&lt;År1,0,H159*(1-VLOOKUP($A160,[1]Hugst!$R$5:$W$9,MATCH(ROUNDUP((I$1)/10,0)*10,[1]Hugst!$R$4:$W$4,0))))</f>
        <v>70.681612143180047</v>
      </c>
      <c r="J160">
        <f>IF($C160-J$1&lt;År1,0,I159*(1-VLOOKUP($A160,[1]Hugst!$R$5:$W$9,MATCH(ROUNDUP((J$1)/10,0)*10,[1]Hugst!$R$4:$W$4,0))))</f>
        <v>0</v>
      </c>
      <c r="K160">
        <f>IF($C160-K$1&lt;År1,0,J159*(1-VLOOKUP($A160,[1]Hugst!$R$5:$W$9,MATCH(ROUNDUP((K$1)/10,0)*10,[1]Hugst!$R$4:$W$4,0))))</f>
        <v>0</v>
      </c>
      <c r="L160">
        <f>IF($C160-L$1&lt;År1,0,K159*(1-VLOOKUP($A160,[1]Hugst!$R$5:$W$9,MATCH(ROUNDUP((L$1)/10,0)*10,[1]Hugst!$R$4:$W$4,0))))</f>
        <v>0</v>
      </c>
      <c r="M160">
        <f>IF($C160-M$1&lt;År1,0,L159*(1-VLOOKUP($A160,[1]Hugst!$R$5:$W$9,MATCH(ROUNDUP((M$1)/10,0)*10,[1]Hugst!$R$4:$W$4,0))))</f>
        <v>0</v>
      </c>
      <c r="N160">
        <f>IF($C160-N$1&lt;År1,0,M159*(1-VLOOKUP($A160,[1]Hugst!$R$5:$W$9,MATCH(ROUNDUP((N$1)/10,0)*10,[1]Hugst!$R$4:$W$4,0))))</f>
        <v>0</v>
      </c>
      <c r="O160">
        <f>IF($C160-O$1&lt;År1,0,N159*(1-VLOOKUP($A160,[1]Hugst!$R$5:$W$9,MATCH(ROUNDUP((O$1)/10,0)*10,[1]Hugst!$R$4:$W$4,0))))</f>
        <v>0</v>
      </c>
      <c r="P160">
        <f>IF($C160-P$1&lt;År1,0,O159*(1-VLOOKUP($A160,[1]Hugst!$R$5:$W$9,MATCH(ROUNDUP((P$1)/10,0)*10,[1]Hugst!$R$4:$W$4,0))))</f>
        <v>0</v>
      </c>
      <c r="Q160">
        <f>IF($C160-Q$1&lt;År1,0,P159*(1-VLOOKUP($A160,[1]Hugst!$R$5:$W$9,MATCH(ROUNDUP((Q$1)/10,0)*10,[1]Hugst!$R$4:$W$4,0))))</f>
        <v>0</v>
      </c>
      <c r="R160">
        <f>IF($C160-R$1&lt;År1,0,Q159*(1-VLOOKUP($A160,[1]Hugst!$R$5:$W$9,MATCH(ROUNDUP((R$1)/10,0)*10,[1]Hugst!$R$4:$W$4,0))))</f>
        <v>0</v>
      </c>
      <c r="S160">
        <f>IF($C160-S$1&lt;År1,0,R159*(1-VLOOKUP($A160,[1]Hugst!$R$5:$W$9,MATCH(ROUNDUP((S$1)/10,0)*10,[1]Hugst!$R$4:$W$4,0))))</f>
        <v>0</v>
      </c>
      <c r="T160">
        <f>IF($C160-T$1&lt;År1,0,S159*(1-VLOOKUP($A160,[1]Hugst!$R$5:$W$9,MATCH(ROUNDUP((T$1)/10,0)*10,[1]Hugst!$R$4:$W$4,0))))</f>
        <v>0</v>
      </c>
      <c r="U160">
        <f>IF($C160-U$1&lt;År1,0,T159*(1-VLOOKUP($A160,[1]Hugst!$R$5:$W$9,MATCH(ROUNDUP((U$1)/10,0)*10,[1]Hugst!$R$4:$W$4,0))))</f>
        <v>0</v>
      </c>
      <c r="V160">
        <f>IF($C160-V$1&lt;År1,0,U159*(1-VLOOKUP($A160,[1]Hugst!$R$5:$W$9,MATCH(ROUNDUP((V$1)/10,0)*10,[1]Hugst!$R$4:$W$4,0))))</f>
        <v>0</v>
      </c>
      <c r="W160">
        <f>IF($C160-W$1&lt;År1,0,V159*(1-VLOOKUP($A160,[1]Hugst!$R$5:$W$9,MATCH(ROUNDUP((W$1)/10,0)*10,[1]Hugst!$R$4:$W$4,0))))</f>
        <v>0</v>
      </c>
      <c r="X160">
        <f>IF($C160-X$1&lt;År1,0,W159*(1-VLOOKUP($A160,[1]Hugst!$R$5:$W$9,MATCH(ROUNDUP((X$1)/10,0)*10,[1]Hugst!$R$4:$W$4,0))))</f>
        <v>0</v>
      </c>
      <c r="Y160">
        <f>IF($C160-Y$1&lt;År1,0,X159*(1-VLOOKUP($A160,[1]Hugst!$R$5:$W$9,MATCH(ROUNDUP((Y$1)/10,0)*10,[1]Hugst!$R$4:$W$4,0))))</f>
        <v>0</v>
      </c>
      <c r="Z160">
        <f>IF($C160-Z$1&lt;År1,0,Y159*(1-VLOOKUP($A160,[1]Hugst!$R$5:$W$9,MATCH(ROUNDUP((Z$1)/10,0)*10,[1]Hugst!$R$4:$W$4,0))))</f>
        <v>0</v>
      </c>
      <c r="AA160">
        <f>IF($C160-AA$1&lt;År1,0,Z159*(1-VLOOKUP($A160,[1]Hugst!$R$5:$W$9,MATCH(ROUNDUP((AA$1)/10,0)*10,[1]Hugst!$R$4:$W$4,0))))</f>
        <v>0</v>
      </c>
      <c r="AB160">
        <f>IF($C160-AB$1&lt;År1,0,AA159*(1-VLOOKUP($A160,[1]Hugst!$R$5:$W$9,MATCH(ROUNDUP((AB$1)/10,0)*10,[1]Hugst!$R$4:$W$4,0))))</f>
        <v>0</v>
      </c>
      <c r="AC160">
        <f>IF($C160-AC$1&lt;År1,0,AB159*(1-VLOOKUP($A160,[1]Hugst!$R$5:$W$9,MATCH(ROUNDUP((AC$1)/10,0)*10,[1]Hugst!$R$4:$W$4,0))))</f>
        <v>0</v>
      </c>
      <c r="AD160">
        <f>IF($C160-AD$1&lt;År1,0,AC159*(1-VLOOKUP($A160,[1]Hugst!$R$5:$W$9,MATCH(ROUNDUP((AD$1)/10,0)*10,[1]Hugst!$R$4:$W$4,0))))</f>
        <v>0</v>
      </c>
      <c r="AE160">
        <f>IF($C160-AE$1&lt;År1,0,AD159*(1-VLOOKUP($A160,[1]Hugst!$R$5:$W$9,MATCH(ROUNDUP((AE$1)/10,0)*10,[1]Hugst!$R$4:$W$4,0))))</f>
        <v>0</v>
      </c>
      <c r="AF160">
        <f>IF($C160-AF$1&lt;År1,0,AE159*(1-VLOOKUP($A160,[1]Hugst!$R$5:$W$9,MATCH(ROUNDUP((AF$1)/10,0)*10,[1]Hugst!$R$4:$W$4,0))))</f>
        <v>0</v>
      </c>
      <c r="AG160">
        <f>IF($C160-AG$1&lt;År1,0,AF159*(1-VLOOKUP($A160,[1]Hugst!$R$5:$W$9,MATCH(ROUNDUP((AG$1)/10,0)*10,[1]Hugst!$R$4:$W$4,0))))</f>
        <v>0</v>
      </c>
      <c r="AH160">
        <f>IF($C160-AH$1&lt;År1,0,AG159*(1-VLOOKUP($A160,[1]Hugst!$R$5:$W$9,MATCH(ROUNDUP((AH$1)/10,0)*10,[1]Hugst!$R$4:$W$4,0))))</f>
        <v>0</v>
      </c>
      <c r="AI160">
        <f>IF($C160-AI$1&lt;År1,0,AH159*(1-VLOOKUP($A160,[1]Hugst!$R$5:$W$9,MATCH(ROUNDUP((AI$1)/10,0)*10,[1]Hugst!$R$4:$W$4,0))))</f>
        <v>0</v>
      </c>
      <c r="AJ160">
        <f>IF($C160-AJ$1&lt;År1,0,AI159*(1-VLOOKUP($A160,[1]Hugst!$R$5:$W$9,MATCH(ROUNDUP((AJ$1)/10,0)*10,[1]Hugst!$R$4:$W$4,0))))</f>
        <v>0</v>
      </c>
    </row>
    <row r="161" spans="1:36" x14ac:dyDescent="0.25">
      <c r="A161" t="s">
        <v>178</v>
      </c>
      <c r="B161" t="s">
        <v>24</v>
      </c>
      <c r="C161">
        <v>2024</v>
      </c>
      <c r="D161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31.204401759501366</v>
      </c>
      <c r="E161">
        <f t="shared" ca="1" si="3"/>
        <v>0</v>
      </c>
      <c r="F161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70.049644308447569</v>
      </c>
      <c r="G161">
        <f ca="1">IF($C161-G$1&lt;År1,0,F160*(1-VLOOKUP($A161,[1]Hugst!$R$5:$W$9,MATCH(ROUNDUP((G$1)/10,0)*10,[1]Hugst!$R$4:$W$4,0))))</f>
        <v>70.206450347439187</v>
      </c>
      <c r="H161">
        <f ca="1">IF($C161-H$1&lt;År1,0,G160*(1-VLOOKUP($A161,[1]Hugst!$R$5:$W$9,MATCH(ROUNDUP((H$1)/10,0)*10,[1]Hugst!$R$4:$W$4,0))))</f>
        <v>70.364044356477635</v>
      </c>
      <c r="I161">
        <f ca="1">IF($C161-I$1&lt;År1,0,H160*(1-VLOOKUP($A161,[1]Hugst!$R$5:$W$9,MATCH(ROUNDUP((I$1)/10,0)*10,[1]Hugst!$R$4:$W$4,0))))</f>
        <v>70.522430295208849</v>
      </c>
      <c r="J161">
        <f ca="1">IF($C161-J$1&lt;År1,0,I160*(1-VLOOKUP($A161,[1]Hugst!$R$5:$W$9,MATCH(ROUNDUP((J$1)/10,0)*10,[1]Hugst!$R$4:$W$4,0))))</f>
        <v>70.681612143180047</v>
      </c>
      <c r="K161">
        <f>IF($C161-K$1&lt;År1,0,J160*(1-VLOOKUP($A161,[1]Hugst!$R$5:$W$9,MATCH(ROUNDUP((K$1)/10,0)*10,[1]Hugst!$R$4:$W$4,0))))</f>
        <v>0</v>
      </c>
      <c r="L161">
        <f>IF($C161-L$1&lt;År1,0,K160*(1-VLOOKUP($A161,[1]Hugst!$R$5:$W$9,MATCH(ROUNDUP((L$1)/10,0)*10,[1]Hugst!$R$4:$W$4,0))))</f>
        <v>0</v>
      </c>
      <c r="M161">
        <f>IF($C161-M$1&lt;År1,0,L160*(1-VLOOKUP($A161,[1]Hugst!$R$5:$W$9,MATCH(ROUNDUP((M$1)/10,0)*10,[1]Hugst!$R$4:$W$4,0))))</f>
        <v>0</v>
      </c>
      <c r="N161">
        <f>IF($C161-N$1&lt;År1,0,M160*(1-VLOOKUP($A161,[1]Hugst!$R$5:$W$9,MATCH(ROUNDUP((N$1)/10,0)*10,[1]Hugst!$R$4:$W$4,0))))</f>
        <v>0</v>
      </c>
      <c r="O161">
        <f>IF($C161-O$1&lt;År1,0,N160*(1-VLOOKUP($A161,[1]Hugst!$R$5:$W$9,MATCH(ROUNDUP((O$1)/10,0)*10,[1]Hugst!$R$4:$W$4,0))))</f>
        <v>0</v>
      </c>
      <c r="P161">
        <f>IF($C161-P$1&lt;År1,0,O160*(1-VLOOKUP($A161,[1]Hugst!$R$5:$W$9,MATCH(ROUNDUP((P$1)/10,0)*10,[1]Hugst!$R$4:$W$4,0))))</f>
        <v>0</v>
      </c>
      <c r="Q161">
        <f>IF($C161-Q$1&lt;År1,0,P160*(1-VLOOKUP($A161,[1]Hugst!$R$5:$W$9,MATCH(ROUNDUP((Q$1)/10,0)*10,[1]Hugst!$R$4:$W$4,0))))</f>
        <v>0</v>
      </c>
      <c r="R161">
        <f>IF($C161-R$1&lt;År1,0,Q160*(1-VLOOKUP($A161,[1]Hugst!$R$5:$W$9,MATCH(ROUNDUP((R$1)/10,0)*10,[1]Hugst!$R$4:$W$4,0))))</f>
        <v>0</v>
      </c>
      <c r="S161">
        <f>IF($C161-S$1&lt;År1,0,R160*(1-VLOOKUP($A161,[1]Hugst!$R$5:$W$9,MATCH(ROUNDUP((S$1)/10,0)*10,[1]Hugst!$R$4:$W$4,0))))</f>
        <v>0</v>
      </c>
      <c r="T161">
        <f>IF($C161-T$1&lt;År1,0,S160*(1-VLOOKUP($A161,[1]Hugst!$R$5:$W$9,MATCH(ROUNDUP((T$1)/10,0)*10,[1]Hugst!$R$4:$W$4,0))))</f>
        <v>0</v>
      </c>
      <c r="U161">
        <f>IF($C161-U$1&lt;År1,0,T160*(1-VLOOKUP($A161,[1]Hugst!$R$5:$W$9,MATCH(ROUNDUP((U$1)/10,0)*10,[1]Hugst!$R$4:$W$4,0))))</f>
        <v>0</v>
      </c>
      <c r="V161">
        <f>IF($C161-V$1&lt;År1,0,U160*(1-VLOOKUP($A161,[1]Hugst!$R$5:$W$9,MATCH(ROUNDUP((V$1)/10,0)*10,[1]Hugst!$R$4:$W$4,0))))</f>
        <v>0</v>
      </c>
      <c r="W161">
        <f>IF($C161-W$1&lt;År1,0,V160*(1-VLOOKUP($A161,[1]Hugst!$R$5:$W$9,MATCH(ROUNDUP((W$1)/10,0)*10,[1]Hugst!$R$4:$W$4,0))))</f>
        <v>0</v>
      </c>
      <c r="X161">
        <f>IF($C161-X$1&lt;År1,0,W160*(1-VLOOKUP($A161,[1]Hugst!$R$5:$W$9,MATCH(ROUNDUP((X$1)/10,0)*10,[1]Hugst!$R$4:$W$4,0))))</f>
        <v>0</v>
      </c>
      <c r="Y161">
        <f>IF($C161-Y$1&lt;År1,0,X160*(1-VLOOKUP($A161,[1]Hugst!$R$5:$W$9,MATCH(ROUNDUP((Y$1)/10,0)*10,[1]Hugst!$R$4:$W$4,0))))</f>
        <v>0</v>
      </c>
      <c r="Z161">
        <f>IF($C161-Z$1&lt;År1,0,Y160*(1-VLOOKUP($A161,[1]Hugst!$R$5:$W$9,MATCH(ROUNDUP((Z$1)/10,0)*10,[1]Hugst!$R$4:$W$4,0))))</f>
        <v>0</v>
      </c>
      <c r="AA161">
        <f>IF($C161-AA$1&lt;År1,0,Z160*(1-VLOOKUP($A161,[1]Hugst!$R$5:$W$9,MATCH(ROUNDUP((AA$1)/10,0)*10,[1]Hugst!$R$4:$W$4,0))))</f>
        <v>0</v>
      </c>
      <c r="AB161">
        <f>IF($C161-AB$1&lt;År1,0,AA160*(1-VLOOKUP($A161,[1]Hugst!$R$5:$W$9,MATCH(ROUNDUP((AB$1)/10,0)*10,[1]Hugst!$R$4:$W$4,0))))</f>
        <v>0</v>
      </c>
      <c r="AC161">
        <f>IF($C161-AC$1&lt;År1,0,AB160*(1-VLOOKUP($A161,[1]Hugst!$R$5:$W$9,MATCH(ROUNDUP((AC$1)/10,0)*10,[1]Hugst!$R$4:$W$4,0))))</f>
        <v>0</v>
      </c>
      <c r="AD161">
        <f>IF($C161-AD$1&lt;År1,0,AC160*(1-VLOOKUP($A161,[1]Hugst!$R$5:$W$9,MATCH(ROUNDUP((AD$1)/10,0)*10,[1]Hugst!$R$4:$W$4,0))))</f>
        <v>0</v>
      </c>
      <c r="AE161">
        <f>IF($C161-AE$1&lt;År1,0,AD160*(1-VLOOKUP($A161,[1]Hugst!$R$5:$W$9,MATCH(ROUNDUP((AE$1)/10,0)*10,[1]Hugst!$R$4:$W$4,0))))</f>
        <v>0</v>
      </c>
      <c r="AF161">
        <f>IF($C161-AF$1&lt;År1,0,AE160*(1-VLOOKUP($A161,[1]Hugst!$R$5:$W$9,MATCH(ROUNDUP((AF$1)/10,0)*10,[1]Hugst!$R$4:$W$4,0))))</f>
        <v>0</v>
      </c>
      <c r="AG161">
        <f>IF($C161-AG$1&lt;År1,0,AF160*(1-VLOOKUP($A161,[1]Hugst!$R$5:$W$9,MATCH(ROUNDUP((AG$1)/10,0)*10,[1]Hugst!$R$4:$W$4,0))))</f>
        <v>0</v>
      </c>
      <c r="AH161">
        <f>IF($C161-AH$1&lt;År1,0,AG160*(1-VLOOKUP($A161,[1]Hugst!$R$5:$W$9,MATCH(ROUNDUP((AH$1)/10,0)*10,[1]Hugst!$R$4:$W$4,0))))</f>
        <v>0</v>
      </c>
      <c r="AI161">
        <f>IF($C161-AI$1&lt;År1,0,AH160*(1-VLOOKUP($A161,[1]Hugst!$R$5:$W$9,MATCH(ROUNDUP((AI$1)/10,0)*10,[1]Hugst!$R$4:$W$4,0))))</f>
        <v>0</v>
      </c>
      <c r="AJ161">
        <f>IF($C161-AJ$1&lt;År1,0,AI160*(1-VLOOKUP($A161,[1]Hugst!$R$5:$W$9,MATCH(ROUNDUP((AJ$1)/10,0)*10,[1]Hugst!$R$4:$W$4,0))))</f>
        <v>0</v>
      </c>
    </row>
    <row r="162" spans="1:36" x14ac:dyDescent="0.25">
      <c r="A162" t="s">
        <v>178</v>
      </c>
      <c r="B162" t="s">
        <v>24</v>
      </c>
      <c r="C162">
        <v>2025</v>
      </c>
      <c r="D162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31.048379750703305</v>
      </c>
      <c r="E162">
        <f t="shared" ca="1" si="3"/>
        <v>0</v>
      </c>
      <c r="F162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69.893622299649508</v>
      </c>
      <c r="G162">
        <f ca="1">IF($C162-G$1&lt;År1,0,F161*(1-VLOOKUP($A162,[1]Hugst!$R$5:$W$9,MATCH(ROUNDUP((G$1)/10,0)*10,[1]Hugst!$R$4:$W$4,0))))</f>
        <v>70.049644308447569</v>
      </c>
      <c r="H162">
        <f ca="1">IF($C162-H$1&lt;År1,0,G161*(1-VLOOKUP($A162,[1]Hugst!$R$5:$W$9,MATCH(ROUNDUP((H$1)/10,0)*10,[1]Hugst!$R$4:$W$4,0))))</f>
        <v>70.206450347439187</v>
      </c>
      <c r="I162">
        <f ca="1">IF($C162-I$1&lt;År1,0,H161*(1-VLOOKUP($A162,[1]Hugst!$R$5:$W$9,MATCH(ROUNDUP((I$1)/10,0)*10,[1]Hugst!$R$4:$W$4,0))))</f>
        <v>70.364044356477635</v>
      </c>
      <c r="J162">
        <f ca="1">IF($C162-J$1&lt;År1,0,I161*(1-VLOOKUP($A162,[1]Hugst!$R$5:$W$9,MATCH(ROUNDUP((J$1)/10,0)*10,[1]Hugst!$R$4:$W$4,0))))</f>
        <v>70.522430295208849</v>
      </c>
      <c r="K162">
        <f ca="1">IF($C162-K$1&lt;År1,0,J161*(1-VLOOKUP($A162,[1]Hugst!$R$5:$W$9,MATCH(ROUNDUP((K$1)/10,0)*10,[1]Hugst!$R$4:$W$4,0))))</f>
        <v>70.681612143180047</v>
      </c>
      <c r="L162">
        <f>IF($C162-L$1&lt;År1,0,K161*(1-VLOOKUP($A162,[1]Hugst!$R$5:$W$9,MATCH(ROUNDUP((L$1)/10,0)*10,[1]Hugst!$R$4:$W$4,0))))</f>
        <v>0</v>
      </c>
      <c r="M162">
        <f>IF($C162-M$1&lt;År1,0,L161*(1-VLOOKUP($A162,[1]Hugst!$R$5:$W$9,MATCH(ROUNDUP((M$1)/10,0)*10,[1]Hugst!$R$4:$W$4,0))))</f>
        <v>0</v>
      </c>
      <c r="N162">
        <f>IF($C162-N$1&lt;År1,0,M161*(1-VLOOKUP($A162,[1]Hugst!$R$5:$W$9,MATCH(ROUNDUP((N$1)/10,0)*10,[1]Hugst!$R$4:$W$4,0))))</f>
        <v>0</v>
      </c>
      <c r="O162">
        <f>IF($C162-O$1&lt;År1,0,N161*(1-VLOOKUP($A162,[1]Hugst!$R$5:$W$9,MATCH(ROUNDUP((O$1)/10,0)*10,[1]Hugst!$R$4:$W$4,0))))</f>
        <v>0</v>
      </c>
      <c r="P162">
        <f>IF($C162-P$1&lt;År1,0,O161*(1-VLOOKUP($A162,[1]Hugst!$R$5:$W$9,MATCH(ROUNDUP((P$1)/10,0)*10,[1]Hugst!$R$4:$W$4,0))))</f>
        <v>0</v>
      </c>
      <c r="Q162">
        <f>IF($C162-Q$1&lt;År1,0,P161*(1-VLOOKUP($A162,[1]Hugst!$R$5:$W$9,MATCH(ROUNDUP((Q$1)/10,0)*10,[1]Hugst!$R$4:$W$4,0))))</f>
        <v>0</v>
      </c>
      <c r="R162">
        <f>IF($C162-R$1&lt;År1,0,Q161*(1-VLOOKUP($A162,[1]Hugst!$R$5:$W$9,MATCH(ROUNDUP((R$1)/10,0)*10,[1]Hugst!$R$4:$W$4,0))))</f>
        <v>0</v>
      </c>
      <c r="S162">
        <f>IF($C162-S$1&lt;År1,0,R161*(1-VLOOKUP($A162,[1]Hugst!$R$5:$W$9,MATCH(ROUNDUP((S$1)/10,0)*10,[1]Hugst!$R$4:$W$4,0))))</f>
        <v>0</v>
      </c>
      <c r="T162">
        <f>IF($C162-T$1&lt;År1,0,S161*(1-VLOOKUP($A162,[1]Hugst!$R$5:$W$9,MATCH(ROUNDUP((T$1)/10,0)*10,[1]Hugst!$R$4:$W$4,0))))</f>
        <v>0</v>
      </c>
      <c r="U162">
        <f>IF($C162-U$1&lt;År1,0,T161*(1-VLOOKUP($A162,[1]Hugst!$R$5:$W$9,MATCH(ROUNDUP((U$1)/10,0)*10,[1]Hugst!$R$4:$W$4,0))))</f>
        <v>0</v>
      </c>
      <c r="V162">
        <f>IF($C162-V$1&lt;År1,0,U161*(1-VLOOKUP($A162,[1]Hugst!$R$5:$W$9,MATCH(ROUNDUP((V$1)/10,0)*10,[1]Hugst!$R$4:$W$4,0))))</f>
        <v>0</v>
      </c>
      <c r="W162">
        <f>IF($C162-W$1&lt;År1,0,V161*(1-VLOOKUP($A162,[1]Hugst!$R$5:$W$9,MATCH(ROUNDUP((W$1)/10,0)*10,[1]Hugst!$R$4:$W$4,0))))</f>
        <v>0</v>
      </c>
      <c r="X162">
        <f>IF($C162-X$1&lt;År1,0,W161*(1-VLOOKUP($A162,[1]Hugst!$R$5:$W$9,MATCH(ROUNDUP((X$1)/10,0)*10,[1]Hugst!$R$4:$W$4,0))))</f>
        <v>0</v>
      </c>
      <c r="Y162">
        <f>IF($C162-Y$1&lt;År1,0,X161*(1-VLOOKUP($A162,[1]Hugst!$R$5:$W$9,MATCH(ROUNDUP((Y$1)/10,0)*10,[1]Hugst!$R$4:$W$4,0))))</f>
        <v>0</v>
      </c>
      <c r="Z162">
        <f>IF($C162-Z$1&lt;År1,0,Y161*(1-VLOOKUP($A162,[1]Hugst!$R$5:$W$9,MATCH(ROUNDUP((Z$1)/10,0)*10,[1]Hugst!$R$4:$W$4,0))))</f>
        <v>0</v>
      </c>
      <c r="AA162">
        <f>IF($C162-AA$1&lt;År1,0,Z161*(1-VLOOKUP($A162,[1]Hugst!$R$5:$W$9,MATCH(ROUNDUP((AA$1)/10,0)*10,[1]Hugst!$R$4:$W$4,0))))</f>
        <v>0</v>
      </c>
      <c r="AB162">
        <f>IF($C162-AB$1&lt;År1,0,AA161*(1-VLOOKUP($A162,[1]Hugst!$R$5:$W$9,MATCH(ROUNDUP((AB$1)/10,0)*10,[1]Hugst!$R$4:$W$4,0))))</f>
        <v>0</v>
      </c>
      <c r="AC162">
        <f>IF($C162-AC$1&lt;År1,0,AB161*(1-VLOOKUP($A162,[1]Hugst!$R$5:$W$9,MATCH(ROUNDUP((AC$1)/10,0)*10,[1]Hugst!$R$4:$W$4,0))))</f>
        <v>0</v>
      </c>
      <c r="AD162">
        <f>IF($C162-AD$1&lt;År1,0,AC161*(1-VLOOKUP($A162,[1]Hugst!$R$5:$W$9,MATCH(ROUNDUP((AD$1)/10,0)*10,[1]Hugst!$R$4:$W$4,0))))</f>
        <v>0</v>
      </c>
      <c r="AE162">
        <f>IF($C162-AE$1&lt;År1,0,AD161*(1-VLOOKUP($A162,[1]Hugst!$R$5:$W$9,MATCH(ROUNDUP((AE$1)/10,0)*10,[1]Hugst!$R$4:$W$4,0))))</f>
        <v>0</v>
      </c>
      <c r="AF162">
        <f>IF($C162-AF$1&lt;År1,0,AE161*(1-VLOOKUP($A162,[1]Hugst!$R$5:$W$9,MATCH(ROUNDUP((AF$1)/10,0)*10,[1]Hugst!$R$4:$W$4,0))))</f>
        <v>0</v>
      </c>
      <c r="AG162">
        <f>IF($C162-AG$1&lt;År1,0,AF161*(1-VLOOKUP($A162,[1]Hugst!$R$5:$W$9,MATCH(ROUNDUP((AG$1)/10,0)*10,[1]Hugst!$R$4:$W$4,0))))</f>
        <v>0</v>
      </c>
      <c r="AH162">
        <f>IF($C162-AH$1&lt;År1,0,AG161*(1-VLOOKUP($A162,[1]Hugst!$R$5:$W$9,MATCH(ROUNDUP((AH$1)/10,0)*10,[1]Hugst!$R$4:$W$4,0))))</f>
        <v>0</v>
      </c>
      <c r="AI162">
        <f>IF($C162-AI$1&lt;År1,0,AH161*(1-VLOOKUP($A162,[1]Hugst!$R$5:$W$9,MATCH(ROUNDUP((AI$1)/10,0)*10,[1]Hugst!$R$4:$W$4,0))))</f>
        <v>0</v>
      </c>
      <c r="AJ162">
        <f>IF($C162-AJ$1&lt;År1,0,AI161*(1-VLOOKUP($A162,[1]Hugst!$R$5:$W$9,MATCH(ROUNDUP((AJ$1)/10,0)*10,[1]Hugst!$R$4:$W$4,0))))</f>
        <v>0</v>
      </c>
    </row>
    <row r="163" spans="1:36" x14ac:dyDescent="0.25">
      <c r="A163" t="s">
        <v>178</v>
      </c>
      <c r="B163" t="s">
        <v>24</v>
      </c>
      <c r="C163">
        <v>2026</v>
      </c>
      <c r="D163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30.893137851951167</v>
      </c>
      <c r="E163">
        <f t="shared" ca="1" si="3"/>
        <v>0</v>
      </c>
      <c r="F163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69.73838040089737</v>
      </c>
      <c r="G163">
        <f ca="1">IF($C163-G$1&lt;År1,0,F162*(1-VLOOKUP($A163,[1]Hugst!$R$5:$W$9,MATCH(ROUNDUP((G$1)/10,0)*10,[1]Hugst!$R$4:$W$4,0))))</f>
        <v>69.893622299649508</v>
      </c>
      <c r="H163">
        <f ca="1">IF($C163-H$1&lt;År1,0,G162*(1-VLOOKUP($A163,[1]Hugst!$R$5:$W$9,MATCH(ROUNDUP((H$1)/10,0)*10,[1]Hugst!$R$4:$W$4,0))))</f>
        <v>70.049644308447569</v>
      </c>
      <c r="I163">
        <f ca="1">IF($C163-I$1&lt;År1,0,H162*(1-VLOOKUP($A163,[1]Hugst!$R$5:$W$9,MATCH(ROUNDUP((I$1)/10,0)*10,[1]Hugst!$R$4:$W$4,0))))</f>
        <v>70.206450347439187</v>
      </c>
      <c r="J163">
        <f ca="1">IF($C163-J$1&lt;År1,0,I162*(1-VLOOKUP($A163,[1]Hugst!$R$5:$W$9,MATCH(ROUNDUP((J$1)/10,0)*10,[1]Hugst!$R$4:$W$4,0))))</f>
        <v>70.364044356477635</v>
      </c>
      <c r="K163">
        <f ca="1">IF($C163-K$1&lt;År1,0,J162*(1-VLOOKUP($A163,[1]Hugst!$R$5:$W$9,MATCH(ROUNDUP((K$1)/10,0)*10,[1]Hugst!$R$4:$W$4,0))))</f>
        <v>70.522430295208849</v>
      </c>
      <c r="L163">
        <f ca="1">IF($C163-L$1&lt;År1,0,K162*(1-VLOOKUP($A163,[1]Hugst!$R$5:$W$9,MATCH(ROUNDUP((L$1)/10,0)*10,[1]Hugst!$R$4:$W$4,0))))</f>
        <v>70.681612143180047</v>
      </c>
      <c r="M163">
        <f>IF($C163-M$1&lt;År1,0,L162*(1-VLOOKUP($A163,[1]Hugst!$R$5:$W$9,MATCH(ROUNDUP((M$1)/10,0)*10,[1]Hugst!$R$4:$W$4,0))))</f>
        <v>0</v>
      </c>
      <c r="N163">
        <f>IF($C163-N$1&lt;År1,0,M162*(1-VLOOKUP($A163,[1]Hugst!$R$5:$W$9,MATCH(ROUNDUP((N$1)/10,0)*10,[1]Hugst!$R$4:$W$4,0))))</f>
        <v>0</v>
      </c>
      <c r="O163">
        <f>IF($C163-O$1&lt;År1,0,N162*(1-VLOOKUP($A163,[1]Hugst!$R$5:$W$9,MATCH(ROUNDUP((O$1)/10,0)*10,[1]Hugst!$R$4:$W$4,0))))</f>
        <v>0</v>
      </c>
      <c r="P163">
        <f>IF($C163-P$1&lt;År1,0,O162*(1-VLOOKUP($A163,[1]Hugst!$R$5:$W$9,MATCH(ROUNDUP((P$1)/10,0)*10,[1]Hugst!$R$4:$W$4,0))))</f>
        <v>0</v>
      </c>
      <c r="Q163">
        <f>IF($C163-Q$1&lt;År1,0,P162*(1-VLOOKUP($A163,[1]Hugst!$R$5:$W$9,MATCH(ROUNDUP((Q$1)/10,0)*10,[1]Hugst!$R$4:$W$4,0))))</f>
        <v>0</v>
      </c>
      <c r="R163">
        <f>IF($C163-R$1&lt;År1,0,Q162*(1-VLOOKUP($A163,[1]Hugst!$R$5:$W$9,MATCH(ROUNDUP((R$1)/10,0)*10,[1]Hugst!$R$4:$W$4,0))))</f>
        <v>0</v>
      </c>
      <c r="S163">
        <f>IF($C163-S$1&lt;År1,0,R162*(1-VLOOKUP($A163,[1]Hugst!$R$5:$W$9,MATCH(ROUNDUP((S$1)/10,0)*10,[1]Hugst!$R$4:$W$4,0))))</f>
        <v>0</v>
      </c>
      <c r="T163">
        <f>IF($C163-T$1&lt;År1,0,S162*(1-VLOOKUP($A163,[1]Hugst!$R$5:$W$9,MATCH(ROUNDUP((T$1)/10,0)*10,[1]Hugst!$R$4:$W$4,0))))</f>
        <v>0</v>
      </c>
      <c r="U163">
        <f>IF($C163-U$1&lt;År1,0,T162*(1-VLOOKUP($A163,[1]Hugst!$R$5:$W$9,MATCH(ROUNDUP((U$1)/10,0)*10,[1]Hugst!$R$4:$W$4,0))))</f>
        <v>0</v>
      </c>
      <c r="V163">
        <f>IF($C163-V$1&lt;År1,0,U162*(1-VLOOKUP($A163,[1]Hugst!$R$5:$W$9,MATCH(ROUNDUP((V$1)/10,0)*10,[1]Hugst!$R$4:$W$4,0))))</f>
        <v>0</v>
      </c>
      <c r="W163">
        <f>IF($C163-W$1&lt;År1,0,V162*(1-VLOOKUP($A163,[1]Hugst!$R$5:$W$9,MATCH(ROUNDUP((W$1)/10,0)*10,[1]Hugst!$R$4:$W$4,0))))</f>
        <v>0</v>
      </c>
      <c r="X163">
        <f>IF($C163-X$1&lt;År1,0,W162*(1-VLOOKUP($A163,[1]Hugst!$R$5:$W$9,MATCH(ROUNDUP((X$1)/10,0)*10,[1]Hugst!$R$4:$W$4,0))))</f>
        <v>0</v>
      </c>
      <c r="Y163">
        <f>IF($C163-Y$1&lt;År1,0,X162*(1-VLOOKUP($A163,[1]Hugst!$R$5:$W$9,MATCH(ROUNDUP((Y$1)/10,0)*10,[1]Hugst!$R$4:$W$4,0))))</f>
        <v>0</v>
      </c>
      <c r="Z163">
        <f>IF($C163-Z$1&lt;År1,0,Y162*(1-VLOOKUP($A163,[1]Hugst!$R$5:$W$9,MATCH(ROUNDUP((Z$1)/10,0)*10,[1]Hugst!$R$4:$W$4,0))))</f>
        <v>0</v>
      </c>
      <c r="AA163">
        <f>IF($C163-AA$1&lt;År1,0,Z162*(1-VLOOKUP($A163,[1]Hugst!$R$5:$W$9,MATCH(ROUNDUP((AA$1)/10,0)*10,[1]Hugst!$R$4:$W$4,0))))</f>
        <v>0</v>
      </c>
      <c r="AB163">
        <f>IF($C163-AB$1&lt;År1,0,AA162*(1-VLOOKUP($A163,[1]Hugst!$R$5:$W$9,MATCH(ROUNDUP((AB$1)/10,0)*10,[1]Hugst!$R$4:$W$4,0))))</f>
        <v>0</v>
      </c>
      <c r="AC163">
        <f>IF($C163-AC$1&lt;År1,0,AB162*(1-VLOOKUP($A163,[1]Hugst!$R$5:$W$9,MATCH(ROUNDUP((AC$1)/10,0)*10,[1]Hugst!$R$4:$W$4,0))))</f>
        <v>0</v>
      </c>
      <c r="AD163">
        <f>IF($C163-AD$1&lt;År1,0,AC162*(1-VLOOKUP($A163,[1]Hugst!$R$5:$W$9,MATCH(ROUNDUP((AD$1)/10,0)*10,[1]Hugst!$R$4:$W$4,0))))</f>
        <v>0</v>
      </c>
      <c r="AE163">
        <f>IF($C163-AE$1&lt;År1,0,AD162*(1-VLOOKUP($A163,[1]Hugst!$R$5:$W$9,MATCH(ROUNDUP((AE$1)/10,0)*10,[1]Hugst!$R$4:$W$4,0))))</f>
        <v>0</v>
      </c>
      <c r="AF163">
        <f>IF($C163-AF$1&lt;År1,0,AE162*(1-VLOOKUP($A163,[1]Hugst!$R$5:$W$9,MATCH(ROUNDUP((AF$1)/10,0)*10,[1]Hugst!$R$4:$W$4,0))))</f>
        <v>0</v>
      </c>
      <c r="AG163">
        <f>IF($C163-AG$1&lt;År1,0,AF162*(1-VLOOKUP($A163,[1]Hugst!$R$5:$W$9,MATCH(ROUNDUP((AG$1)/10,0)*10,[1]Hugst!$R$4:$W$4,0))))</f>
        <v>0</v>
      </c>
      <c r="AH163">
        <f>IF($C163-AH$1&lt;År1,0,AG162*(1-VLOOKUP($A163,[1]Hugst!$R$5:$W$9,MATCH(ROUNDUP((AH$1)/10,0)*10,[1]Hugst!$R$4:$W$4,0))))</f>
        <v>0</v>
      </c>
      <c r="AI163">
        <f>IF($C163-AI$1&lt;År1,0,AH162*(1-VLOOKUP($A163,[1]Hugst!$R$5:$W$9,MATCH(ROUNDUP((AI$1)/10,0)*10,[1]Hugst!$R$4:$W$4,0))))</f>
        <v>0</v>
      </c>
      <c r="AJ163">
        <f>IF($C163-AJ$1&lt;År1,0,AI162*(1-VLOOKUP($A163,[1]Hugst!$R$5:$W$9,MATCH(ROUNDUP((AJ$1)/10,0)*10,[1]Hugst!$R$4:$W$4,0))))</f>
        <v>0</v>
      </c>
    </row>
    <row r="164" spans="1:36" x14ac:dyDescent="0.25">
      <c r="A164" t="s">
        <v>178</v>
      </c>
      <c r="B164" t="s">
        <v>24</v>
      </c>
      <c r="C164">
        <v>2027</v>
      </c>
      <c r="D164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30.738672162689909</v>
      </c>
      <c r="E164">
        <f t="shared" ca="1" si="3"/>
        <v>0</v>
      </c>
      <c r="F164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69.583914711636112</v>
      </c>
      <c r="G164">
        <f ca="1">IF($C164-G$1&lt;År1,0,F163*(1-VLOOKUP($A164,[1]Hugst!$R$5:$W$9,MATCH(ROUNDUP((G$1)/10,0)*10,[1]Hugst!$R$4:$W$4,0))))</f>
        <v>69.73838040089737</v>
      </c>
      <c r="H164">
        <f ca="1">IF($C164-H$1&lt;År1,0,G163*(1-VLOOKUP($A164,[1]Hugst!$R$5:$W$9,MATCH(ROUNDUP((H$1)/10,0)*10,[1]Hugst!$R$4:$W$4,0))))</f>
        <v>69.893622299649508</v>
      </c>
      <c r="I164">
        <f ca="1">IF($C164-I$1&lt;År1,0,H163*(1-VLOOKUP($A164,[1]Hugst!$R$5:$W$9,MATCH(ROUNDUP((I$1)/10,0)*10,[1]Hugst!$R$4:$W$4,0))))</f>
        <v>70.049644308447569</v>
      </c>
      <c r="J164">
        <f ca="1">IF($C164-J$1&lt;År1,0,I163*(1-VLOOKUP($A164,[1]Hugst!$R$5:$W$9,MATCH(ROUNDUP((J$1)/10,0)*10,[1]Hugst!$R$4:$W$4,0))))</f>
        <v>70.206450347439187</v>
      </c>
      <c r="K164">
        <f ca="1">IF($C164-K$1&lt;År1,0,J163*(1-VLOOKUP($A164,[1]Hugst!$R$5:$W$9,MATCH(ROUNDUP((K$1)/10,0)*10,[1]Hugst!$R$4:$W$4,0))))</f>
        <v>70.364044356477635</v>
      </c>
      <c r="L164">
        <f ca="1">IF($C164-L$1&lt;År1,0,K163*(1-VLOOKUP($A164,[1]Hugst!$R$5:$W$9,MATCH(ROUNDUP((L$1)/10,0)*10,[1]Hugst!$R$4:$W$4,0))))</f>
        <v>70.522430295208849</v>
      </c>
      <c r="M164">
        <f ca="1">IF($C164-M$1&lt;År1,0,L163*(1-VLOOKUP($A164,[1]Hugst!$R$5:$W$9,MATCH(ROUNDUP((M$1)/10,0)*10,[1]Hugst!$R$4:$W$4,0))))</f>
        <v>70.681612143180047</v>
      </c>
      <c r="N164">
        <f>IF($C164-N$1&lt;År1,0,M163*(1-VLOOKUP($A164,[1]Hugst!$R$5:$W$9,MATCH(ROUNDUP((N$1)/10,0)*10,[1]Hugst!$R$4:$W$4,0))))</f>
        <v>0</v>
      </c>
      <c r="O164">
        <f>IF($C164-O$1&lt;År1,0,N163*(1-VLOOKUP($A164,[1]Hugst!$R$5:$W$9,MATCH(ROUNDUP((O$1)/10,0)*10,[1]Hugst!$R$4:$W$4,0))))</f>
        <v>0</v>
      </c>
      <c r="P164">
        <f>IF($C164-P$1&lt;År1,0,O163*(1-VLOOKUP($A164,[1]Hugst!$R$5:$W$9,MATCH(ROUNDUP((P$1)/10,0)*10,[1]Hugst!$R$4:$W$4,0))))</f>
        <v>0</v>
      </c>
      <c r="Q164">
        <f>IF($C164-Q$1&lt;År1,0,P163*(1-VLOOKUP($A164,[1]Hugst!$R$5:$W$9,MATCH(ROUNDUP((Q$1)/10,0)*10,[1]Hugst!$R$4:$W$4,0))))</f>
        <v>0</v>
      </c>
      <c r="R164">
        <f>IF($C164-R$1&lt;År1,0,Q163*(1-VLOOKUP($A164,[1]Hugst!$R$5:$W$9,MATCH(ROUNDUP((R$1)/10,0)*10,[1]Hugst!$R$4:$W$4,0))))</f>
        <v>0</v>
      </c>
      <c r="S164">
        <f>IF($C164-S$1&lt;År1,0,R163*(1-VLOOKUP($A164,[1]Hugst!$R$5:$W$9,MATCH(ROUNDUP((S$1)/10,0)*10,[1]Hugst!$R$4:$W$4,0))))</f>
        <v>0</v>
      </c>
      <c r="T164">
        <f>IF($C164-T$1&lt;År1,0,S163*(1-VLOOKUP($A164,[1]Hugst!$R$5:$W$9,MATCH(ROUNDUP((T$1)/10,0)*10,[1]Hugst!$R$4:$W$4,0))))</f>
        <v>0</v>
      </c>
      <c r="U164">
        <f>IF($C164-U$1&lt;År1,0,T163*(1-VLOOKUP($A164,[1]Hugst!$R$5:$W$9,MATCH(ROUNDUP((U$1)/10,0)*10,[1]Hugst!$R$4:$W$4,0))))</f>
        <v>0</v>
      </c>
      <c r="V164">
        <f>IF($C164-V$1&lt;År1,0,U163*(1-VLOOKUP($A164,[1]Hugst!$R$5:$W$9,MATCH(ROUNDUP((V$1)/10,0)*10,[1]Hugst!$R$4:$W$4,0))))</f>
        <v>0</v>
      </c>
      <c r="W164">
        <f>IF($C164-W$1&lt;År1,0,V163*(1-VLOOKUP($A164,[1]Hugst!$R$5:$W$9,MATCH(ROUNDUP((W$1)/10,0)*10,[1]Hugst!$R$4:$W$4,0))))</f>
        <v>0</v>
      </c>
      <c r="X164">
        <f>IF($C164-X$1&lt;År1,0,W163*(1-VLOOKUP($A164,[1]Hugst!$R$5:$W$9,MATCH(ROUNDUP((X$1)/10,0)*10,[1]Hugst!$R$4:$W$4,0))))</f>
        <v>0</v>
      </c>
      <c r="Y164">
        <f>IF($C164-Y$1&lt;År1,0,X163*(1-VLOOKUP($A164,[1]Hugst!$R$5:$W$9,MATCH(ROUNDUP((Y$1)/10,0)*10,[1]Hugst!$R$4:$W$4,0))))</f>
        <v>0</v>
      </c>
      <c r="Z164">
        <f>IF($C164-Z$1&lt;År1,0,Y163*(1-VLOOKUP($A164,[1]Hugst!$R$5:$W$9,MATCH(ROUNDUP((Z$1)/10,0)*10,[1]Hugst!$R$4:$W$4,0))))</f>
        <v>0</v>
      </c>
      <c r="AA164">
        <f>IF($C164-AA$1&lt;År1,0,Z163*(1-VLOOKUP($A164,[1]Hugst!$R$5:$W$9,MATCH(ROUNDUP((AA$1)/10,0)*10,[1]Hugst!$R$4:$W$4,0))))</f>
        <v>0</v>
      </c>
      <c r="AB164">
        <f>IF($C164-AB$1&lt;År1,0,AA163*(1-VLOOKUP($A164,[1]Hugst!$R$5:$W$9,MATCH(ROUNDUP((AB$1)/10,0)*10,[1]Hugst!$R$4:$W$4,0))))</f>
        <v>0</v>
      </c>
      <c r="AC164">
        <f>IF($C164-AC$1&lt;År1,0,AB163*(1-VLOOKUP($A164,[1]Hugst!$R$5:$W$9,MATCH(ROUNDUP((AC$1)/10,0)*10,[1]Hugst!$R$4:$W$4,0))))</f>
        <v>0</v>
      </c>
      <c r="AD164">
        <f>IF($C164-AD$1&lt;År1,0,AC163*(1-VLOOKUP($A164,[1]Hugst!$R$5:$W$9,MATCH(ROUNDUP((AD$1)/10,0)*10,[1]Hugst!$R$4:$W$4,0))))</f>
        <v>0</v>
      </c>
      <c r="AE164">
        <f>IF($C164-AE$1&lt;År1,0,AD163*(1-VLOOKUP($A164,[1]Hugst!$R$5:$W$9,MATCH(ROUNDUP((AE$1)/10,0)*10,[1]Hugst!$R$4:$W$4,0))))</f>
        <v>0</v>
      </c>
      <c r="AF164">
        <f>IF($C164-AF$1&lt;År1,0,AE163*(1-VLOOKUP($A164,[1]Hugst!$R$5:$W$9,MATCH(ROUNDUP((AF$1)/10,0)*10,[1]Hugst!$R$4:$W$4,0))))</f>
        <v>0</v>
      </c>
      <c r="AG164">
        <f>IF($C164-AG$1&lt;År1,0,AF163*(1-VLOOKUP($A164,[1]Hugst!$R$5:$W$9,MATCH(ROUNDUP((AG$1)/10,0)*10,[1]Hugst!$R$4:$W$4,0))))</f>
        <v>0</v>
      </c>
      <c r="AH164">
        <f>IF($C164-AH$1&lt;År1,0,AG163*(1-VLOOKUP($A164,[1]Hugst!$R$5:$W$9,MATCH(ROUNDUP((AH$1)/10,0)*10,[1]Hugst!$R$4:$W$4,0))))</f>
        <v>0</v>
      </c>
      <c r="AI164">
        <f>IF($C164-AI$1&lt;År1,0,AH163*(1-VLOOKUP($A164,[1]Hugst!$R$5:$W$9,MATCH(ROUNDUP((AI$1)/10,0)*10,[1]Hugst!$R$4:$W$4,0))))</f>
        <v>0</v>
      </c>
      <c r="AJ164">
        <f>IF($C164-AJ$1&lt;År1,0,AI163*(1-VLOOKUP($A164,[1]Hugst!$R$5:$W$9,MATCH(ROUNDUP((AJ$1)/10,0)*10,[1]Hugst!$R$4:$W$4,0))))</f>
        <v>0</v>
      </c>
    </row>
    <row r="165" spans="1:36" x14ac:dyDescent="0.25">
      <c r="A165" t="s">
        <v>178</v>
      </c>
      <c r="B165" t="s">
        <v>24</v>
      </c>
      <c r="C165">
        <v>2028</v>
      </c>
      <c r="D165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30.584978801877185</v>
      </c>
      <c r="E165">
        <f t="shared" ca="1" si="3"/>
        <v>0</v>
      </c>
      <c r="F165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69.430221350823388</v>
      </c>
      <c r="G165">
        <f ca="1">IF($C165-G$1&lt;År1,0,F164*(1-VLOOKUP($A165,[1]Hugst!$R$5:$W$9,MATCH(ROUNDUP((G$1)/10,0)*10,[1]Hugst!$R$4:$W$4,0))))</f>
        <v>69.583914711636112</v>
      </c>
      <c r="H165">
        <f ca="1">IF($C165-H$1&lt;År1,0,G164*(1-VLOOKUP($A165,[1]Hugst!$R$5:$W$9,MATCH(ROUNDUP((H$1)/10,0)*10,[1]Hugst!$R$4:$W$4,0))))</f>
        <v>69.73838040089737</v>
      </c>
      <c r="I165">
        <f ca="1">IF($C165-I$1&lt;År1,0,H164*(1-VLOOKUP($A165,[1]Hugst!$R$5:$W$9,MATCH(ROUNDUP((I$1)/10,0)*10,[1]Hugst!$R$4:$W$4,0))))</f>
        <v>69.893622299649508</v>
      </c>
      <c r="J165">
        <f ca="1">IF($C165-J$1&lt;År1,0,I164*(1-VLOOKUP($A165,[1]Hugst!$R$5:$W$9,MATCH(ROUNDUP((J$1)/10,0)*10,[1]Hugst!$R$4:$W$4,0))))</f>
        <v>70.049644308447569</v>
      </c>
      <c r="K165">
        <f ca="1">IF($C165-K$1&lt;År1,0,J164*(1-VLOOKUP($A165,[1]Hugst!$R$5:$W$9,MATCH(ROUNDUP((K$1)/10,0)*10,[1]Hugst!$R$4:$W$4,0))))</f>
        <v>70.206450347439187</v>
      </c>
      <c r="L165">
        <f ca="1">IF($C165-L$1&lt;År1,0,K164*(1-VLOOKUP($A165,[1]Hugst!$R$5:$W$9,MATCH(ROUNDUP((L$1)/10,0)*10,[1]Hugst!$R$4:$W$4,0))))</f>
        <v>70.364044356477635</v>
      </c>
      <c r="M165">
        <f ca="1">IF($C165-M$1&lt;År1,0,L164*(1-VLOOKUP($A165,[1]Hugst!$R$5:$W$9,MATCH(ROUNDUP((M$1)/10,0)*10,[1]Hugst!$R$4:$W$4,0))))</f>
        <v>70.522430295208849</v>
      </c>
      <c r="N165">
        <f ca="1">IF($C165-N$1&lt;År1,0,M164*(1-VLOOKUP($A165,[1]Hugst!$R$5:$W$9,MATCH(ROUNDUP((N$1)/10,0)*10,[1]Hugst!$R$4:$W$4,0))))</f>
        <v>70.681612143180047</v>
      </c>
      <c r="O165">
        <f>IF($C165-O$1&lt;År1,0,N164*(1-VLOOKUP($A165,[1]Hugst!$R$5:$W$9,MATCH(ROUNDUP((O$1)/10,0)*10,[1]Hugst!$R$4:$W$4,0))))</f>
        <v>0</v>
      </c>
      <c r="P165">
        <f>IF($C165-P$1&lt;År1,0,O164*(1-VLOOKUP($A165,[1]Hugst!$R$5:$W$9,MATCH(ROUNDUP((P$1)/10,0)*10,[1]Hugst!$R$4:$W$4,0))))</f>
        <v>0</v>
      </c>
      <c r="Q165">
        <f>IF($C165-Q$1&lt;År1,0,P164*(1-VLOOKUP($A165,[1]Hugst!$R$5:$W$9,MATCH(ROUNDUP((Q$1)/10,0)*10,[1]Hugst!$R$4:$W$4,0))))</f>
        <v>0</v>
      </c>
      <c r="R165">
        <f>IF($C165-R$1&lt;År1,0,Q164*(1-VLOOKUP($A165,[1]Hugst!$R$5:$W$9,MATCH(ROUNDUP((R$1)/10,0)*10,[1]Hugst!$R$4:$W$4,0))))</f>
        <v>0</v>
      </c>
      <c r="S165">
        <f>IF($C165-S$1&lt;År1,0,R164*(1-VLOOKUP($A165,[1]Hugst!$R$5:$W$9,MATCH(ROUNDUP((S$1)/10,0)*10,[1]Hugst!$R$4:$W$4,0))))</f>
        <v>0</v>
      </c>
      <c r="T165">
        <f>IF($C165-T$1&lt;År1,0,S164*(1-VLOOKUP($A165,[1]Hugst!$R$5:$W$9,MATCH(ROUNDUP((T$1)/10,0)*10,[1]Hugst!$R$4:$W$4,0))))</f>
        <v>0</v>
      </c>
      <c r="U165">
        <f>IF($C165-U$1&lt;År1,0,T164*(1-VLOOKUP($A165,[1]Hugst!$R$5:$W$9,MATCH(ROUNDUP((U$1)/10,0)*10,[1]Hugst!$R$4:$W$4,0))))</f>
        <v>0</v>
      </c>
      <c r="V165">
        <f>IF($C165-V$1&lt;År1,0,U164*(1-VLOOKUP($A165,[1]Hugst!$R$5:$W$9,MATCH(ROUNDUP((V$1)/10,0)*10,[1]Hugst!$R$4:$W$4,0))))</f>
        <v>0</v>
      </c>
      <c r="W165">
        <f>IF($C165-W$1&lt;År1,0,V164*(1-VLOOKUP($A165,[1]Hugst!$R$5:$W$9,MATCH(ROUNDUP((W$1)/10,0)*10,[1]Hugst!$R$4:$W$4,0))))</f>
        <v>0</v>
      </c>
      <c r="X165">
        <f>IF($C165-X$1&lt;År1,0,W164*(1-VLOOKUP($A165,[1]Hugst!$R$5:$W$9,MATCH(ROUNDUP((X$1)/10,0)*10,[1]Hugst!$R$4:$W$4,0))))</f>
        <v>0</v>
      </c>
      <c r="Y165">
        <f>IF($C165-Y$1&lt;År1,0,X164*(1-VLOOKUP($A165,[1]Hugst!$R$5:$W$9,MATCH(ROUNDUP((Y$1)/10,0)*10,[1]Hugst!$R$4:$W$4,0))))</f>
        <v>0</v>
      </c>
      <c r="Z165">
        <f>IF($C165-Z$1&lt;År1,0,Y164*(1-VLOOKUP($A165,[1]Hugst!$R$5:$W$9,MATCH(ROUNDUP((Z$1)/10,0)*10,[1]Hugst!$R$4:$W$4,0))))</f>
        <v>0</v>
      </c>
      <c r="AA165">
        <f>IF($C165-AA$1&lt;År1,0,Z164*(1-VLOOKUP($A165,[1]Hugst!$R$5:$W$9,MATCH(ROUNDUP((AA$1)/10,0)*10,[1]Hugst!$R$4:$W$4,0))))</f>
        <v>0</v>
      </c>
      <c r="AB165">
        <f>IF($C165-AB$1&lt;År1,0,AA164*(1-VLOOKUP($A165,[1]Hugst!$R$5:$W$9,MATCH(ROUNDUP((AB$1)/10,0)*10,[1]Hugst!$R$4:$W$4,0))))</f>
        <v>0</v>
      </c>
      <c r="AC165">
        <f>IF($C165-AC$1&lt;År1,0,AB164*(1-VLOOKUP($A165,[1]Hugst!$R$5:$W$9,MATCH(ROUNDUP((AC$1)/10,0)*10,[1]Hugst!$R$4:$W$4,0))))</f>
        <v>0</v>
      </c>
      <c r="AD165">
        <f>IF($C165-AD$1&lt;År1,0,AC164*(1-VLOOKUP($A165,[1]Hugst!$R$5:$W$9,MATCH(ROUNDUP((AD$1)/10,0)*10,[1]Hugst!$R$4:$W$4,0))))</f>
        <v>0</v>
      </c>
      <c r="AE165">
        <f>IF($C165-AE$1&lt;År1,0,AD164*(1-VLOOKUP($A165,[1]Hugst!$R$5:$W$9,MATCH(ROUNDUP((AE$1)/10,0)*10,[1]Hugst!$R$4:$W$4,0))))</f>
        <v>0</v>
      </c>
      <c r="AF165">
        <f>IF($C165-AF$1&lt;År1,0,AE164*(1-VLOOKUP($A165,[1]Hugst!$R$5:$W$9,MATCH(ROUNDUP((AF$1)/10,0)*10,[1]Hugst!$R$4:$W$4,0))))</f>
        <v>0</v>
      </c>
      <c r="AG165">
        <f>IF($C165-AG$1&lt;År1,0,AF164*(1-VLOOKUP($A165,[1]Hugst!$R$5:$W$9,MATCH(ROUNDUP((AG$1)/10,0)*10,[1]Hugst!$R$4:$W$4,0))))</f>
        <v>0</v>
      </c>
      <c r="AH165">
        <f>IF($C165-AH$1&lt;År1,0,AG164*(1-VLOOKUP($A165,[1]Hugst!$R$5:$W$9,MATCH(ROUNDUP((AH$1)/10,0)*10,[1]Hugst!$R$4:$W$4,0))))</f>
        <v>0</v>
      </c>
      <c r="AI165">
        <f>IF($C165-AI$1&lt;År1,0,AH164*(1-VLOOKUP($A165,[1]Hugst!$R$5:$W$9,MATCH(ROUNDUP((AI$1)/10,0)*10,[1]Hugst!$R$4:$W$4,0))))</f>
        <v>0</v>
      </c>
      <c r="AJ165">
        <f>IF($C165-AJ$1&lt;År1,0,AI164*(1-VLOOKUP($A165,[1]Hugst!$R$5:$W$9,MATCH(ROUNDUP((AJ$1)/10,0)*10,[1]Hugst!$R$4:$W$4,0))))</f>
        <v>0</v>
      </c>
    </row>
    <row r="166" spans="1:36" x14ac:dyDescent="0.25">
      <c r="A166" t="s">
        <v>178</v>
      </c>
      <c r="B166" t="s">
        <v>24</v>
      </c>
      <c r="C166">
        <v>2029</v>
      </c>
      <c r="D166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30.432053907867498</v>
      </c>
      <c r="E166">
        <f t="shared" ca="1" si="3"/>
        <v>0</v>
      </c>
      <c r="F166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69.277296456813701</v>
      </c>
      <c r="G166">
        <f ca="1">IF($C166-G$1&lt;År1,0,F165*(1-VLOOKUP($A166,[1]Hugst!$R$5:$W$9,MATCH(ROUNDUP((G$1)/10,0)*10,[1]Hugst!$R$4:$W$4,0))))</f>
        <v>69.430221350823388</v>
      </c>
      <c r="H166">
        <f ca="1">IF($C166-H$1&lt;År1,0,G165*(1-VLOOKUP($A166,[1]Hugst!$R$5:$W$9,MATCH(ROUNDUP((H$1)/10,0)*10,[1]Hugst!$R$4:$W$4,0))))</f>
        <v>69.583914711636112</v>
      </c>
      <c r="I166">
        <f ca="1">IF($C166-I$1&lt;År1,0,H165*(1-VLOOKUP($A166,[1]Hugst!$R$5:$W$9,MATCH(ROUNDUP((I$1)/10,0)*10,[1]Hugst!$R$4:$W$4,0))))</f>
        <v>69.73838040089737</v>
      </c>
      <c r="J166">
        <f ca="1">IF($C166-J$1&lt;År1,0,I165*(1-VLOOKUP($A166,[1]Hugst!$R$5:$W$9,MATCH(ROUNDUP((J$1)/10,0)*10,[1]Hugst!$R$4:$W$4,0))))</f>
        <v>69.893622299649508</v>
      </c>
      <c r="K166">
        <f ca="1">IF($C166-K$1&lt;År1,0,J165*(1-VLOOKUP($A166,[1]Hugst!$R$5:$W$9,MATCH(ROUNDUP((K$1)/10,0)*10,[1]Hugst!$R$4:$W$4,0))))</f>
        <v>70.049644308447569</v>
      </c>
      <c r="L166">
        <f ca="1">IF($C166-L$1&lt;År1,0,K165*(1-VLOOKUP($A166,[1]Hugst!$R$5:$W$9,MATCH(ROUNDUP((L$1)/10,0)*10,[1]Hugst!$R$4:$W$4,0))))</f>
        <v>70.206450347439187</v>
      </c>
      <c r="M166">
        <f ca="1">IF($C166-M$1&lt;År1,0,L165*(1-VLOOKUP($A166,[1]Hugst!$R$5:$W$9,MATCH(ROUNDUP((M$1)/10,0)*10,[1]Hugst!$R$4:$W$4,0))))</f>
        <v>70.364044356477635</v>
      </c>
      <c r="N166">
        <f ca="1">IF($C166-N$1&lt;År1,0,M165*(1-VLOOKUP($A166,[1]Hugst!$R$5:$W$9,MATCH(ROUNDUP((N$1)/10,0)*10,[1]Hugst!$R$4:$W$4,0))))</f>
        <v>70.522430295208849</v>
      </c>
      <c r="O166">
        <f ca="1">IF($C166-O$1&lt;År1,0,N165*(1-VLOOKUP($A166,[1]Hugst!$R$5:$W$9,MATCH(ROUNDUP((O$1)/10,0)*10,[1]Hugst!$R$4:$W$4,0))))</f>
        <v>70.681612143180047</v>
      </c>
      <c r="P166">
        <f>IF($C166-P$1&lt;År1,0,O165*(1-VLOOKUP($A166,[1]Hugst!$R$5:$W$9,MATCH(ROUNDUP((P$1)/10,0)*10,[1]Hugst!$R$4:$W$4,0))))</f>
        <v>0</v>
      </c>
      <c r="Q166">
        <f>IF($C166-Q$1&lt;År1,0,P165*(1-VLOOKUP($A166,[1]Hugst!$R$5:$W$9,MATCH(ROUNDUP((Q$1)/10,0)*10,[1]Hugst!$R$4:$W$4,0))))</f>
        <v>0</v>
      </c>
      <c r="R166">
        <f>IF($C166-R$1&lt;År1,0,Q165*(1-VLOOKUP($A166,[1]Hugst!$R$5:$W$9,MATCH(ROUNDUP((R$1)/10,0)*10,[1]Hugst!$R$4:$W$4,0))))</f>
        <v>0</v>
      </c>
      <c r="S166">
        <f>IF($C166-S$1&lt;År1,0,R165*(1-VLOOKUP($A166,[1]Hugst!$R$5:$W$9,MATCH(ROUNDUP((S$1)/10,0)*10,[1]Hugst!$R$4:$W$4,0))))</f>
        <v>0</v>
      </c>
      <c r="T166">
        <f>IF($C166-T$1&lt;År1,0,S165*(1-VLOOKUP($A166,[1]Hugst!$R$5:$W$9,MATCH(ROUNDUP((T$1)/10,0)*10,[1]Hugst!$R$4:$W$4,0))))</f>
        <v>0</v>
      </c>
      <c r="U166">
        <f>IF($C166-U$1&lt;År1,0,T165*(1-VLOOKUP($A166,[1]Hugst!$R$5:$W$9,MATCH(ROUNDUP((U$1)/10,0)*10,[1]Hugst!$R$4:$W$4,0))))</f>
        <v>0</v>
      </c>
      <c r="V166">
        <f>IF($C166-V$1&lt;År1,0,U165*(1-VLOOKUP($A166,[1]Hugst!$R$5:$W$9,MATCH(ROUNDUP((V$1)/10,0)*10,[1]Hugst!$R$4:$W$4,0))))</f>
        <v>0</v>
      </c>
      <c r="W166">
        <f>IF($C166-W$1&lt;År1,0,V165*(1-VLOOKUP($A166,[1]Hugst!$R$5:$W$9,MATCH(ROUNDUP((W$1)/10,0)*10,[1]Hugst!$R$4:$W$4,0))))</f>
        <v>0</v>
      </c>
      <c r="X166">
        <f>IF($C166-X$1&lt;År1,0,W165*(1-VLOOKUP($A166,[1]Hugst!$R$5:$W$9,MATCH(ROUNDUP((X$1)/10,0)*10,[1]Hugst!$R$4:$W$4,0))))</f>
        <v>0</v>
      </c>
      <c r="Y166">
        <f>IF($C166-Y$1&lt;År1,0,X165*(1-VLOOKUP($A166,[1]Hugst!$R$5:$W$9,MATCH(ROUNDUP((Y$1)/10,0)*10,[1]Hugst!$R$4:$W$4,0))))</f>
        <v>0</v>
      </c>
      <c r="Z166">
        <f>IF($C166-Z$1&lt;År1,0,Y165*(1-VLOOKUP($A166,[1]Hugst!$R$5:$W$9,MATCH(ROUNDUP((Z$1)/10,0)*10,[1]Hugst!$R$4:$W$4,0))))</f>
        <v>0</v>
      </c>
      <c r="AA166">
        <f>IF($C166-AA$1&lt;År1,0,Z165*(1-VLOOKUP($A166,[1]Hugst!$R$5:$W$9,MATCH(ROUNDUP((AA$1)/10,0)*10,[1]Hugst!$R$4:$W$4,0))))</f>
        <v>0</v>
      </c>
      <c r="AB166">
        <f>IF($C166-AB$1&lt;År1,0,AA165*(1-VLOOKUP($A166,[1]Hugst!$R$5:$W$9,MATCH(ROUNDUP((AB$1)/10,0)*10,[1]Hugst!$R$4:$W$4,0))))</f>
        <v>0</v>
      </c>
      <c r="AC166">
        <f>IF($C166-AC$1&lt;År1,0,AB165*(1-VLOOKUP($A166,[1]Hugst!$R$5:$W$9,MATCH(ROUNDUP((AC$1)/10,0)*10,[1]Hugst!$R$4:$W$4,0))))</f>
        <v>0</v>
      </c>
      <c r="AD166">
        <f>IF($C166-AD$1&lt;År1,0,AC165*(1-VLOOKUP($A166,[1]Hugst!$R$5:$W$9,MATCH(ROUNDUP((AD$1)/10,0)*10,[1]Hugst!$R$4:$W$4,0))))</f>
        <v>0</v>
      </c>
      <c r="AE166">
        <f>IF($C166-AE$1&lt;År1,0,AD165*(1-VLOOKUP($A166,[1]Hugst!$R$5:$W$9,MATCH(ROUNDUP((AE$1)/10,0)*10,[1]Hugst!$R$4:$W$4,0))))</f>
        <v>0</v>
      </c>
      <c r="AF166">
        <f>IF($C166-AF$1&lt;År1,0,AE165*(1-VLOOKUP($A166,[1]Hugst!$R$5:$W$9,MATCH(ROUNDUP((AF$1)/10,0)*10,[1]Hugst!$R$4:$W$4,0))))</f>
        <v>0</v>
      </c>
      <c r="AG166">
        <f>IF($C166-AG$1&lt;År1,0,AF165*(1-VLOOKUP($A166,[1]Hugst!$R$5:$W$9,MATCH(ROUNDUP((AG$1)/10,0)*10,[1]Hugst!$R$4:$W$4,0))))</f>
        <v>0</v>
      </c>
      <c r="AH166">
        <f>IF($C166-AH$1&lt;År1,0,AG165*(1-VLOOKUP($A166,[1]Hugst!$R$5:$W$9,MATCH(ROUNDUP((AH$1)/10,0)*10,[1]Hugst!$R$4:$W$4,0))))</f>
        <v>0</v>
      </c>
      <c r="AI166">
        <f>IF($C166-AI$1&lt;År1,0,AH165*(1-VLOOKUP($A166,[1]Hugst!$R$5:$W$9,MATCH(ROUNDUP((AI$1)/10,0)*10,[1]Hugst!$R$4:$W$4,0))))</f>
        <v>0</v>
      </c>
      <c r="AJ166">
        <f>IF($C166-AJ$1&lt;År1,0,AI165*(1-VLOOKUP($A166,[1]Hugst!$R$5:$W$9,MATCH(ROUNDUP((AJ$1)/10,0)*10,[1]Hugst!$R$4:$W$4,0))))</f>
        <v>0</v>
      </c>
    </row>
    <row r="167" spans="1:36" x14ac:dyDescent="0.25">
      <c r="A167" t="s">
        <v>178</v>
      </c>
      <c r="B167" t="s">
        <v>24</v>
      </c>
      <c r="C167">
        <v>2030</v>
      </c>
      <c r="D167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30.279893638328929</v>
      </c>
      <c r="E167">
        <f t="shared" ca="1" si="3"/>
        <v>0</v>
      </c>
      <c r="F167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69.125136187275132</v>
      </c>
      <c r="G167">
        <f ca="1">IF($C167-G$1&lt;År1,0,F166*(1-VLOOKUP($A167,[1]Hugst!$R$5:$W$9,MATCH(ROUNDUP((G$1)/10,0)*10,[1]Hugst!$R$4:$W$4,0))))</f>
        <v>69.277296456813701</v>
      </c>
      <c r="H167">
        <f ca="1">IF($C167-H$1&lt;År1,0,G166*(1-VLOOKUP($A167,[1]Hugst!$R$5:$W$9,MATCH(ROUNDUP((H$1)/10,0)*10,[1]Hugst!$R$4:$W$4,0))))</f>
        <v>69.430221350823388</v>
      </c>
      <c r="I167">
        <f ca="1">IF($C167-I$1&lt;År1,0,H166*(1-VLOOKUP($A167,[1]Hugst!$R$5:$W$9,MATCH(ROUNDUP((I$1)/10,0)*10,[1]Hugst!$R$4:$W$4,0))))</f>
        <v>69.583914711636112</v>
      </c>
      <c r="J167">
        <f ca="1">IF($C167-J$1&lt;År1,0,I166*(1-VLOOKUP($A167,[1]Hugst!$R$5:$W$9,MATCH(ROUNDUP((J$1)/10,0)*10,[1]Hugst!$R$4:$W$4,0))))</f>
        <v>69.73838040089737</v>
      </c>
      <c r="K167">
        <f ca="1">IF($C167-K$1&lt;År1,0,J166*(1-VLOOKUP($A167,[1]Hugst!$R$5:$W$9,MATCH(ROUNDUP((K$1)/10,0)*10,[1]Hugst!$R$4:$W$4,0))))</f>
        <v>69.893622299649508</v>
      </c>
      <c r="L167">
        <f ca="1">IF($C167-L$1&lt;År1,0,K166*(1-VLOOKUP($A167,[1]Hugst!$R$5:$W$9,MATCH(ROUNDUP((L$1)/10,0)*10,[1]Hugst!$R$4:$W$4,0))))</f>
        <v>70.049644308447569</v>
      </c>
      <c r="M167">
        <f ca="1">IF($C167-M$1&lt;År1,0,L166*(1-VLOOKUP($A167,[1]Hugst!$R$5:$W$9,MATCH(ROUNDUP((M$1)/10,0)*10,[1]Hugst!$R$4:$W$4,0))))</f>
        <v>70.206450347439187</v>
      </c>
      <c r="N167">
        <f ca="1">IF($C167-N$1&lt;År1,0,M166*(1-VLOOKUP($A167,[1]Hugst!$R$5:$W$9,MATCH(ROUNDUP((N$1)/10,0)*10,[1]Hugst!$R$4:$W$4,0))))</f>
        <v>70.364044356477635</v>
      </c>
      <c r="O167">
        <f ca="1">IF($C167-O$1&lt;År1,0,N166*(1-VLOOKUP($A167,[1]Hugst!$R$5:$W$9,MATCH(ROUNDUP((O$1)/10,0)*10,[1]Hugst!$R$4:$W$4,0))))</f>
        <v>70.522430295208849</v>
      </c>
      <c r="P167">
        <f ca="1">IF($C167-P$1&lt;År1,0,O166*(1-VLOOKUP($A167,[1]Hugst!$R$5:$W$9,MATCH(ROUNDUP((P$1)/10,0)*10,[1]Hugst!$R$4:$W$4,0))))</f>
        <v>70.681612143180047</v>
      </c>
      <c r="Q167">
        <f>IF($C167-Q$1&lt;År1,0,P166*(1-VLOOKUP($A167,[1]Hugst!$R$5:$W$9,MATCH(ROUNDUP((Q$1)/10,0)*10,[1]Hugst!$R$4:$W$4,0))))</f>
        <v>0</v>
      </c>
      <c r="R167">
        <f>IF($C167-R$1&lt;År1,0,Q166*(1-VLOOKUP($A167,[1]Hugst!$R$5:$W$9,MATCH(ROUNDUP((R$1)/10,0)*10,[1]Hugst!$R$4:$W$4,0))))</f>
        <v>0</v>
      </c>
      <c r="S167">
        <f>IF($C167-S$1&lt;År1,0,R166*(1-VLOOKUP($A167,[1]Hugst!$R$5:$W$9,MATCH(ROUNDUP((S$1)/10,0)*10,[1]Hugst!$R$4:$W$4,0))))</f>
        <v>0</v>
      </c>
      <c r="T167">
        <f>IF($C167-T$1&lt;År1,0,S166*(1-VLOOKUP($A167,[1]Hugst!$R$5:$W$9,MATCH(ROUNDUP((T$1)/10,0)*10,[1]Hugst!$R$4:$W$4,0))))</f>
        <v>0</v>
      </c>
      <c r="U167">
        <f>IF($C167-U$1&lt;År1,0,T166*(1-VLOOKUP($A167,[1]Hugst!$R$5:$W$9,MATCH(ROUNDUP((U$1)/10,0)*10,[1]Hugst!$R$4:$W$4,0))))</f>
        <v>0</v>
      </c>
      <c r="V167">
        <f>IF($C167-V$1&lt;År1,0,U166*(1-VLOOKUP($A167,[1]Hugst!$R$5:$W$9,MATCH(ROUNDUP((V$1)/10,0)*10,[1]Hugst!$R$4:$W$4,0))))</f>
        <v>0</v>
      </c>
      <c r="W167">
        <f>IF($C167-W$1&lt;År1,0,V166*(1-VLOOKUP($A167,[1]Hugst!$R$5:$W$9,MATCH(ROUNDUP((W$1)/10,0)*10,[1]Hugst!$R$4:$W$4,0))))</f>
        <v>0</v>
      </c>
      <c r="X167">
        <f>IF($C167-X$1&lt;År1,0,W166*(1-VLOOKUP($A167,[1]Hugst!$R$5:$W$9,MATCH(ROUNDUP((X$1)/10,0)*10,[1]Hugst!$R$4:$W$4,0))))</f>
        <v>0</v>
      </c>
      <c r="Y167">
        <f>IF($C167-Y$1&lt;År1,0,X166*(1-VLOOKUP($A167,[1]Hugst!$R$5:$W$9,MATCH(ROUNDUP((Y$1)/10,0)*10,[1]Hugst!$R$4:$W$4,0))))</f>
        <v>0</v>
      </c>
      <c r="Z167">
        <f>IF($C167-Z$1&lt;År1,0,Y166*(1-VLOOKUP($A167,[1]Hugst!$R$5:$W$9,MATCH(ROUNDUP((Z$1)/10,0)*10,[1]Hugst!$R$4:$W$4,0))))</f>
        <v>0</v>
      </c>
      <c r="AA167">
        <f>IF($C167-AA$1&lt;År1,0,Z166*(1-VLOOKUP($A167,[1]Hugst!$R$5:$W$9,MATCH(ROUNDUP((AA$1)/10,0)*10,[1]Hugst!$R$4:$W$4,0))))</f>
        <v>0</v>
      </c>
      <c r="AB167">
        <f>IF($C167-AB$1&lt;År1,0,AA166*(1-VLOOKUP($A167,[1]Hugst!$R$5:$W$9,MATCH(ROUNDUP((AB$1)/10,0)*10,[1]Hugst!$R$4:$W$4,0))))</f>
        <v>0</v>
      </c>
      <c r="AC167">
        <f>IF($C167-AC$1&lt;År1,0,AB166*(1-VLOOKUP($A167,[1]Hugst!$R$5:$W$9,MATCH(ROUNDUP((AC$1)/10,0)*10,[1]Hugst!$R$4:$W$4,0))))</f>
        <v>0</v>
      </c>
      <c r="AD167">
        <f>IF($C167-AD$1&lt;År1,0,AC166*(1-VLOOKUP($A167,[1]Hugst!$R$5:$W$9,MATCH(ROUNDUP((AD$1)/10,0)*10,[1]Hugst!$R$4:$W$4,0))))</f>
        <v>0</v>
      </c>
      <c r="AE167">
        <f>IF($C167-AE$1&lt;År1,0,AD166*(1-VLOOKUP($A167,[1]Hugst!$R$5:$W$9,MATCH(ROUNDUP((AE$1)/10,0)*10,[1]Hugst!$R$4:$W$4,0))))</f>
        <v>0</v>
      </c>
      <c r="AF167">
        <f>IF($C167-AF$1&lt;År1,0,AE166*(1-VLOOKUP($A167,[1]Hugst!$R$5:$W$9,MATCH(ROUNDUP((AF$1)/10,0)*10,[1]Hugst!$R$4:$W$4,0))))</f>
        <v>0</v>
      </c>
      <c r="AG167">
        <f>IF($C167-AG$1&lt;År1,0,AF166*(1-VLOOKUP($A167,[1]Hugst!$R$5:$W$9,MATCH(ROUNDUP((AG$1)/10,0)*10,[1]Hugst!$R$4:$W$4,0))))</f>
        <v>0</v>
      </c>
      <c r="AH167">
        <f>IF($C167-AH$1&lt;År1,0,AG166*(1-VLOOKUP($A167,[1]Hugst!$R$5:$W$9,MATCH(ROUNDUP((AH$1)/10,0)*10,[1]Hugst!$R$4:$W$4,0))))</f>
        <v>0</v>
      </c>
      <c r="AI167">
        <f>IF($C167-AI$1&lt;År1,0,AH166*(1-VLOOKUP($A167,[1]Hugst!$R$5:$W$9,MATCH(ROUNDUP((AI$1)/10,0)*10,[1]Hugst!$R$4:$W$4,0))))</f>
        <v>0</v>
      </c>
      <c r="AJ167">
        <f>IF($C167-AJ$1&lt;År1,0,AI166*(1-VLOOKUP($A167,[1]Hugst!$R$5:$W$9,MATCH(ROUNDUP((AJ$1)/10,0)*10,[1]Hugst!$R$4:$W$4,0))))</f>
        <v>0</v>
      </c>
    </row>
    <row r="168" spans="1:36" x14ac:dyDescent="0.25">
      <c r="A168" t="s">
        <v>178</v>
      </c>
      <c r="B168" t="s">
        <v>24</v>
      </c>
      <c r="C168">
        <v>2031</v>
      </c>
      <c r="D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30.128494170135696</v>
      </c>
      <c r="E168">
        <f t="shared" ca="1" si="3"/>
        <v>0</v>
      </c>
      <c r="F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91.171018175622692</v>
      </c>
      <c r="G168">
        <f ca="1">IF($C168-G$1&lt;År1,0,F167*(1-VLOOKUP($A168,[1]Hugst!$R$5:$W$9,MATCH(ROUNDUP((G$1)/10,0)*10,[1]Hugst!$R$4:$W$4,0))))</f>
        <v>69.125136187275132</v>
      </c>
      <c r="H168">
        <f ca="1">IF($C168-H$1&lt;År1,0,G167*(1-VLOOKUP($A168,[1]Hugst!$R$5:$W$9,MATCH(ROUNDUP((H$1)/10,0)*10,[1]Hugst!$R$4:$W$4,0))))</f>
        <v>69.277296456813701</v>
      </c>
      <c r="I168">
        <f ca="1">IF($C168-I$1&lt;År1,0,H167*(1-VLOOKUP($A168,[1]Hugst!$R$5:$W$9,MATCH(ROUNDUP((I$1)/10,0)*10,[1]Hugst!$R$4:$W$4,0))))</f>
        <v>69.430221350823388</v>
      </c>
      <c r="J168">
        <f ca="1">IF($C168-J$1&lt;År1,0,I167*(1-VLOOKUP($A168,[1]Hugst!$R$5:$W$9,MATCH(ROUNDUP((J$1)/10,0)*10,[1]Hugst!$R$4:$W$4,0))))</f>
        <v>69.583914711636112</v>
      </c>
      <c r="K168">
        <f ca="1">IF($C168-K$1&lt;År1,0,J167*(1-VLOOKUP($A168,[1]Hugst!$R$5:$W$9,MATCH(ROUNDUP((K$1)/10,0)*10,[1]Hugst!$R$4:$W$4,0))))</f>
        <v>69.73838040089737</v>
      </c>
      <c r="L168">
        <f ca="1">IF($C168-L$1&lt;År1,0,K167*(1-VLOOKUP($A168,[1]Hugst!$R$5:$W$9,MATCH(ROUNDUP((L$1)/10,0)*10,[1]Hugst!$R$4:$W$4,0))))</f>
        <v>69.893622299649508</v>
      </c>
      <c r="M168">
        <f ca="1">IF($C168-M$1&lt;År1,0,L167*(1-VLOOKUP($A168,[1]Hugst!$R$5:$W$9,MATCH(ROUNDUP((M$1)/10,0)*10,[1]Hugst!$R$4:$W$4,0))))</f>
        <v>70.049644308447569</v>
      </c>
      <c r="N168">
        <f ca="1">IF($C168-N$1&lt;År1,0,M167*(1-VLOOKUP($A168,[1]Hugst!$R$5:$W$9,MATCH(ROUNDUP((N$1)/10,0)*10,[1]Hugst!$R$4:$W$4,0))))</f>
        <v>70.206450347439187</v>
      </c>
      <c r="O168">
        <f ca="1">IF($C168-O$1&lt;År1,0,N167*(1-VLOOKUP($A168,[1]Hugst!$R$5:$W$9,MATCH(ROUNDUP((O$1)/10,0)*10,[1]Hugst!$R$4:$W$4,0))))</f>
        <v>70.364044356477635</v>
      </c>
      <c r="P168">
        <f ca="1">IF($C168-P$1&lt;År1,0,O167*(1-VLOOKUP($A168,[1]Hugst!$R$5:$W$9,MATCH(ROUNDUP((P$1)/10,0)*10,[1]Hugst!$R$4:$W$4,0))))</f>
        <v>70.522430295208849</v>
      </c>
      <c r="Q168">
        <f ca="1">IF($C168-Q$1&lt;År1,0,P167*(1-VLOOKUP($A168,[1]Hugst!$R$5:$W$9,MATCH(ROUNDUP((Q$1)/10,0)*10,[1]Hugst!$R$4:$W$4,0))))</f>
        <v>70.681612143180047</v>
      </c>
      <c r="R168">
        <f>IF($C168-R$1&lt;År1,0,Q167*(1-VLOOKUP($A168,[1]Hugst!$R$5:$W$9,MATCH(ROUNDUP((R$1)/10,0)*10,[1]Hugst!$R$4:$W$4,0))))</f>
        <v>0</v>
      </c>
      <c r="S168">
        <f>IF($C168-S$1&lt;År1,0,R167*(1-VLOOKUP($A168,[1]Hugst!$R$5:$W$9,MATCH(ROUNDUP((S$1)/10,0)*10,[1]Hugst!$R$4:$W$4,0))))</f>
        <v>0</v>
      </c>
      <c r="T168">
        <f>IF($C168-T$1&lt;År1,0,S167*(1-VLOOKUP($A168,[1]Hugst!$R$5:$W$9,MATCH(ROUNDUP((T$1)/10,0)*10,[1]Hugst!$R$4:$W$4,0))))</f>
        <v>0</v>
      </c>
      <c r="U168">
        <f>IF($C168-U$1&lt;År1,0,T167*(1-VLOOKUP($A168,[1]Hugst!$R$5:$W$9,MATCH(ROUNDUP((U$1)/10,0)*10,[1]Hugst!$R$4:$W$4,0))))</f>
        <v>0</v>
      </c>
      <c r="V168">
        <f>IF($C168-V$1&lt;År1,0,U167*(1-VLOOKUP($A168,[1]Hugst!$R$5:$W$9,MATCH(ROUNDUP((V$1)/10,0)*10,[1]Hugst!$R$4:$W$4,0))))</f>
        <v>0</v>
      </c>
      <c r="W168">
        <f>IF($C168-W$1&lt;År1,0,V167*(1-VLOOKUP($A168,[1]Hugst!$R$5:$W$9,MATCH(ROUNDUP((W$1)/10,0)*10,[1]Hugst!$R$4:$W$4,0))))</f>
        <v>0</v>
      </c>
      <c r="X168">
        <f>IF($C168-X$1&lt;År1,0,W167*(1-VLOOKUP($A168,[1]Hugst!$R$5:$W$9,MATCH(ROUNDUP((X$1)/10,0)*10,[1]Hugst!$R$4:$W$4,0))))</f>
        <v>0</v>
      </c>
      <c r="Y168">
        <f>IF($C168-Y$1&lt;År1,0,X167*(1-VLOOKUP($A168,[1]Hugst!$R$5:$W$9,MATCH(ROUNDUP((Y$1)/10,0)*10,[1]Hugst!$R$4:$W$4,0))))</f>
        <v>0</v>
      </c>
      <c r="Z168">
        <f>IF($C168-Z$1&lt;År1,0,Y167*(1-VLOOKUP($A168,[1]Hugst!$R$5:$W$9,MATCH(ROUNDUP((Z$1)/10,0)*10,[1]Hugst!$R$4:$W$4,0))))</f>
        <v>0</v>
      </c>
      <c r="AA168">
        <f>IF($C168-AA$1&lt;År1,0,Z167*(1-VLOOKUP($A168,[1]Hugst!$R$5:$W$9,MATCH(ROUNDUP((AA$1)/10,0)*10,[1]Hugst!$R$4:$W$4,0))))</f>
        <v>0</v>
      </c>
      <c r="AB168">
        <f>IF($C168-AB$1&lt;År1,0,AA167*(1-VLOOKUP($A168,[1]Hugst!$R$5:$W$9,MATCH(ROUNDUP((AB$1)/10,0)*10,[1]Hugst!$R$4:$W$4,0))))</f>
        <v>0</v>
      </c>
      <c r="AC168">
        <f>IF($C168-AC$1&lt;År1,0,AB167*(1-VLOOKUP($A168,[1]Hugst!$R$5:$W$9,MATCH(ROUNDUP((AC$1)/10,0)*10,[1]Hugst!$R$4:$W$4,0))))</f>
        <v>0</v>
      </c>
      <c r="AD168">
        <f>IF($C168-AD$1&lt;År1,0,AC167*(1-VLOOKUP($A168,[1]Hugst!$R$5:$W$9,MATCH(ROUNDUP((AD$1)/10,0)*10,[1]Hugst!$R$4:$W$4,0))))</f>
        <v>0</v>
      </c>
      <c r="AE168">
        <f>IF($C168-AE$1&lt;År1,0,AD167*(1-VLOOKUP($A168,[1]Hugst!$R$5:$W$9,MATCH(ROUNDUP((AE$1)/10,0)*10,[1]Hugst!$R$4:$W$4,0))))</f>
        <v>0</v>
      </c>
      <c r="AF168">
        <f>IF($C168-AF$1&lt;År1,0,AE167*(1-VLOOKUP($A168,[1]Hugst!$R$5:$W$9,MATCH(ROUNDUP((AF$1)/10,0)*10,[1]Hugst!$R$4:$W$4,0))))</f>
        <v>0</v>
      </c>
      <c r="AG168">
        <f>IF($C168-AG$1&lt;År1,0,AF167*(1-VLOOKUP($A168,[1]Hugst!$R$5:$W$9,MATCH(ROUNDUP((AG$1)/10,0)*10,[1]Hugst!$R$4:$W$4,0))))</f>
        <v>0</v>
      </c>
      <c r="AH168">
        <f>IF($C168-AH$1&lt;År1,0,AG167*(1-VLOOKUP($A168,[1]Hugst!$R$5:$W$9,MATCH(ROUNDUP((AH$1)/10,0)*10,[1]Hugst!$R$4:$W$4,0))))</f>
        <v>0</v>
      </c>
      <c r="AI168">
        <f>IF($C168-AI$1&lt;År1,0,AH167*(1-VLOOKUP($A168,[1]Hugst!$R$5:$W$9,MATCH(ROUNDUP((AI$1)/10,0)*10,[1]Hugst!$R$4:$W$4,0))))</f>
        <v>0</v>
      </c>
      <c r="AJ168">
        <f>IF($C168-AJ$1&lt;År1,0,AI167*(1-VLOOKUP($A168,[1]Hugst!$R$5:$W$9,MATCH(ROUNDUP((AJ$1)/10,0)*10,[1]Hugst!$R$4:$W$4,0))))</f>
        <v>0</v>
      </c>
    </row>
    <row r="169" spans="1:36" x14ac:dyDescent="0.25">
      <c r="A169" t="s">
        <v>178</v>
      </c>
      <c r="B169" t="s">
        <v>24</v>
      </c>
      <c r="C169">
        <v>2032</v>
      </c>
      <c r="D169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29.977851699286134</v>
      </c>
      <c r="E169">
        <f t="shared" ca="1" si="3"/>
        <v>0</v>
      </c>
      <c r="F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91.02037570477313</v>
      </c>
      <c r="G169">
        <f ca="1">IF($C169-G$1&lt;År1,0,F168*(1-VLOOKUP($A169,[1]Hugst!$R$5:$W$9,MATCH(ROUNDUP((G$1)/10,0)*10,[1]Hugst!$R$4:$W$4,0))))</f>
        <v>91.171018175622692</v>
      </c>
      <c r="H169">
        <f ca="1">IF($C169-H$1&lt;År1,0,G168*(1-VLOOKUP($A169,[1]Hugst!$R$5:$W$9,MATCH(ROUNDUP((H$1)/10,0)*10,[1]Hugst!$R$4:$W$4,0))))</f>
        <v>69.125136187275132</v>
      </c>
      <c r="I169">
        <f ca="1">IF($C169-I$1&lt;År1,0,H168*(1-VLOOKUP($A169,[1]Hugst!$R$5:$W$9,MATCH(ROUNDUP((I$1)/10,0)*10,[1]Hugst!$R$4:$W$4,0))))</f>
        <v>69.277296456813701</v>
      </c>
      <c r="J169">
        <f ca="1">IF($C169-J$1&lt;År1,0,I168*(1-VLOOKUP($A169,[1]Hugst!$R$5:$W$9,MATCH(ROUNDUP((J$1)/10,0)*10,[1]Hugst!$R$4:$W$4,0))))</f>
        <v>69.430221350823388</v>
      </c>
      <c r="K169">
        <f ca="1">IF($C169-K$1&lt;År1,0,J168*(1-VLOOKUP($A169,[1]Hugst!$R$5:$W$9,MATCH(ROUNDUP((K$1)/10,0)*10,[1]Hugst!$R$4:$W$4,0))))</f>
        <v>69.583914711636112</v>
      </c>
      <c r="L169">
        <f ca="1">IF($C169-L$1&lt;År1,0,K168*(1-VLOOKUP($A169,[1]Hugst!$R$5:$W$9,MATCH(ROUNDUP((L$1)/10,0)*10,[1]Hugst!$R$4:$W$4,0))))</f>
        <v>69.73838040089737</v>
      </c>
      <c r="M169">
        <f ca="1">IF($C169-M$1&lt;År1,0,L168*(1-VLOOKUP($A169,[1]Hugst!$R$5:$W$9,MATCH(ROUNDUP((M$1)/10,0)*10,[1]Hugst!$R$4:$W$4,0))))</f>
        <v>69.893622299649508</v>
      </c>
      <c r="N169">
        <f ca="1">IF($C169-N$1&lt;År1,0,M168*(1-VLOOKUP($A169,[1]Hugst!$R$5:$W$9,MATCH(ROUNDUP((N$1)/10,0)*10,[1]Hugst!$R$4:$W$4,0))))</f>
        <v>70.049644308447569</v>
      </c>
      <c r="O169">
        <f ca="1">IF($C169-O$1&lt;År1,0,N168*(1-VLOOKUP($A169,[1]Hugst!$R$5:$W$9,MATCH(ROUNDUP((O$1)/10,0)*10,[1]Hugst!$R$4:$W$4,0))))</f>
        <v>70.206450347439187</v>
      </c>
      <c r="P169">
        <f ca="1">IF($C169-P$1&lt;År1,0,O168*(1-VLOOKUP($A169,[1]Hugst!$R$5:$W$9,MATCH(ROUNDUP((P$1)/10,0)*10,[1]Hugst!$R$4:$W$4,0))))</f>
        <v>70.364044356477635</v>
      </c>
      <c r="Q169">
        <f ca="1">IF($C169-Q$1&lt;År1,0,P168*(1-VLOOKUP($A169,[1]Hugst!$R$5:$W$9,MATCH(ROUNDUP((Q$1)/10,0)*10,[1]Hugst!$R$4:$W$4,0))))</f>
        <v>70.522430295208849</v>
      </c>
      <c r="R169">
        <f ca="1">IF($C169-R$1&lt;År1,0,Q168*(1-VLOOKUP($A169,[1]Hugst!$R$5:$W$9,MATCH(ROUNDUP((R$1)/10,0)*10,[1]Hugst!$R$4:$W$4,0))))</f>
        <v>70.681612143180047</v>
      </c>
      <c r="S169">
        <f>IF($C169-S$1&lt;År1,0,R168*(1-VLOOKUP($A169,[1]Hugst!$R$5:$W$9,MATCH(ROUNDUP((S$1)/10,0)*10,[1]Hugst!$R$4:$W$4,0))))</f>
        <v>0</v>
      </c>
      <c r="T169">
        <f>IF($C169-T$1&lt;År1,0,S168*(1-VLOOKUP($A169,[1]Hugst!$R$5:$W$9,MATCH(ROUNDUP((T$1)/10,0)*10,[1]Hugst!$R$4:$W$4,0))))</f>
        <v>0</v>
      </c>
      <c r="U169">
        <f>IF($C169-U$1&lt;År1,0,T168*(1-VLOOKUP($A169,[1]Hugst!$R$5:$W$9,MATCH(ROUNDUP((U$1)/10,0)*10,[1]Hugst!$R$4:$W$4,0))))</f>
        <v>0</v>
      </c>
      <c r="V169">
        <f>IF($C169-V$1&lt;År1,0,U168*(1-VLOOKUP($A169,[1]Hugst!$R$5:$W$9,MATCH(ROUNDUP((V$1)/10,0)*10,[1]Hugst!$R$4:$W$4,0))))</f>
        <v>0</v>
      </c>
      <c r="W169">
        <f>IF($C169-W$1&lt;År1,0,V168*(1-VLOOKUP($A169,[1]Hugst!$R$5:$W$9,MATCH(ROUNDUP((W$1)/10,0)*10,[1]Hugst!$R$4:$W$4,0))))</f>
        <v>0</v>
      </c>
      <c r="X169">
        <f>IF($C169-X$1&lt;År1,0,W168*(1-VLOOKUP($A169,[1]Hugst!$R$5:$W$9,MATCH(ROUNDUP((X$1)/10,0)*10,[1]Hugst!$R$4:$W$4,0))))</f>
        <v>0</v>
      </c>
      <c r="Y169">
        <f>IF($C169-Y$1&lt;År1,0,X168*(1-VLOOKUP($A169,[1]Hugst!$R$5:$W$9,MATCH(ROUNDUP((Y$1)/10,0)*10,[1]Hugst!$R$4:$W$4,0))))</f>
        <v>0</v>
      </c>
      <c r="Z169">
        <f>IF($C169-Z$1&lt;År1,0,Y168*(1-VLOOKUP($A169,[1]Hugst!$R$5:$W$9,MATCH(ROUNDUP((Z$1)/10,0)*10,[1]Hugst!$R$4:$W$4,0))))</f>
        <v>0</v>
      </c>
      <c r="AA169">
        <f>IF($C169-AA$1&lt;År1,0,Z168*(1-VLOOKUP($A169,[1]Hugst!$R$5:$W$9,MATCH(ROUNDUP((AA$1)/10,0)*10,[1]Hugst!$R$4:$W$4,0))))</f>
        <v>0</v>
      </c>
      <c r="AB169">
        <f>IF($C169-AB$1&lt;År1,0,AA168*(1-VLOOKUP($A169,[1]Hugst!$R$5:$W$9,MATCH(ROUNDUP((AB$1)/10,0)*10,[1]Hugst!$R$4:$W$4,0))))</f>
        <v>0</v>
      </c>
      <c r="AC169">
        <f>IF($C169-AC$1&lt;År1,0,AB168*(1-VLOOKUP($A169,[1]Hugst!$R$5:$W$9,MATCH(ROUNDUP((AC$1)/10,0)*10,[1]Hugst!$R$4:$W$4,0))))</f>
        <v>0</v>
      </c>
      <c r="AD169">
        <f>IF($C169-AD$1&lt;År1,0,AC168*(1-VLOOKUP($A169,[1]Hugst!$R$5:$W$9,MATCH(ROUNDUP((AD$1)/10,0)*10,[1]Hugst!$R$4:$W$4,0))))</f>
        <v>0</v>
      </c>
      <c r="AE169">
        <f>IF($C169-AE$1&lt;År1,0,AD168*(1-VLOOKUP($A169,[1]Hugst!$R$5:$W$9,MATCH(ROUNDUP((AE$1)/10,0)*10,[1]Hugst!$R$4:$W$4,0))))</f>
        <v>0</v>
      </c>
      <c r="AF169">
        <f>IF($C169-AF$1&lt;År1,0,AE168*(1-VLOOKUP($A169,[1]Hugst!$R$5:$W$9,MATCH(ROUNDUP((AF$1)/10,0)*10,[1]Hugst!$R$4:$W$4,0))))</f>
        <v>0</v>
      </c>
      <c r="AG169">
        <f>IF($C169-AG$1&lt;År1,0,AF168*(1-VLOOKUP($A169,[1]Hugst!$R$5:$W$9,MATCH(ROUNDUP((AG$1)/10,0)*10,[1]Hugst!$R$4:$W$4,0))))</f>
        <v>0</v>
      </c>
      <c r="AH169">
        <f>IF($C169-AH$1&lt;År1,0,AG168*(1-VLOOKUP($A169,[1]Hugst!$R$5:$W$9,MATCH(ROUNDUP((AH$1)/10,0)*10,[1]Hugst!$R$4:$W$4,0))))</f>
        <v>0</v>
      </c>
      <c r="AI169">
        <f>IF($C169-AI$1&lt;År1,0,AH168*(1-VLOOKUP($A169,[1]Hugst!$R$5:$W$9,MATCH(ROUNDUP((AI$1)/10,0)*10,[1]Hugst!$R$4:$W$4,0))))</f>
        <v>0</v>
      </c>
      <c r="AJ169">
        <f>IF($C169-AJ$1&lt;År1,0,AI168*(1-VLOOKUP($A169,[1]Hugst!$R$5:$W$9,MATCH(ROUNDUP((AJ$1)/10,0)*10,[1]Hugst!$R$4:$W$4,0))))</f>
        <v>0</v>
      </c>
    </row>
    <row r="170" spans="1:36" x14ac:dyDescent="0.25">
      <c r="A170" t="s">
        <v>178</v>
      </c>
      <c r="B170" t="s">
        <v>24</v>
      </c>
      <c r="C170">
        <v>2033</v>
      </c>
      <c r="D170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29.827962440789236</v>
      </c>
      <c r="E170">
        <f t="shared" ca="1" si="3"/>
        <v>0</v>
      </c>
      <c r="F170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90.870486446276232</v>
      </c>
      <c r="G170">
        <f ca="1">IF($C170-G$1&lt;År1,0,F169*(1-VLOOKUP($A170,[1]Hugst!$R$5:$W$9,MATCH(ROUNDUP((G$1)/10,0)*10,[1]Hugst!$R$4:$W$4,0))))</f>
        <v>91.02037570477313</v>
      </c>
      <c r="H170">
        <f ca="1">IF($C170-H$1&lt;År1,0,G169*(1-VLOOKUP($A170,[1]Hugst!$R$5:$W$9,MATCH(ROUNDUP((H$1)/10,0)*10,[1]Hugst!$R$4:$W$4,0))))</f>
        <v>91.171018175622692</v>
      </c>
      <c r="I170">
        <f ca="1">IF($C170-I$1&lt;År1,0,H169*(1-VLOOKUP($A170,[1]Hugst!$R$5:$W$9,MATCH(ROUNDUP((I$1)/10,0)*10,[1]Hugst!$R$4:$W$4,0))))</f>
        <v>69.125136187275132</v>
      </c>
      <c r="J170">
        <f ca="1">IF($C170-J$1&lt;År1,0,I169*(1-VLOOKUP($A170,[1]Hugst!$R$5:$W$9,MATCH(ROUNDUP((J$1)/10,0)*10,[1]Hugst!$R$4:$W$4,0))))</f>
        <v>69.277296456813701</v>
      </c>
      <c r="K170">
        <f ca="1">IF($C170-K$1&lt;År1,0,J169*(1-VLOOKUP($A170,[1]Hugst!$R$5:$W$9,MATCH(ROUNDUP((K$1)/10,0)*10,[1]Hugst!$R$4:$W$4,0))))</f>
        <v>69.430221350823388</v>
      </c>
      <c r="L170">
        <f ca="1">IF($C170-L$1&lt;År1,0,K169*(1-VLOOKUP($A170,[1]Hugst!$R$5:$W$9,MATCH(ROUNDUP((L$1)/10,0)*10,[1]Hugst!$R$4:$W$4,0))))</f>
        <v>69.583914711636112</v>
      </c>
      <c r="M170">
        <f ca="1">IF($C170-M$1&lt;År1,0,L169*(1-VLOOKUP($A170,[1]Hugst!$R$5:$W$9,MATCH(ROUNDUP((M$1)/10,0)*10,[1]Hugst!$R$4:$W$4,0))))</f>
        <v>69.73838040089737</v>
      </c>
      <c r="N170">
        <f ca="1">IF($C170-N$1&lt;År1,0,M169*(1-VLOOKUP($A170,[1]Hugst!$R$5:$W$9,MATCH(ROUNDUP((N$1)/10,0)*10,[1]Hugst!$R$4:$W$4,0))))</f>
        <v>69.893622299649508</v>
      </c>
      <c r="O170">
        <f ca="1">IF($C170-O$1&lt;År1,0,N169*(1-VLOOKUP($A170,[1]Hugst!$R$5:$W$9,MATCH(ROUNDUP((O$1)/10,0)*10,[1]Hugst!$R$4:$W$4,0))))</f>
        <v>70.049644308447569</v>
      </c>
      <c r="P170">
        <f ca="1">IF($C170-P$1&lt;År1,0,O169*(1-VLOOKUP($A170,[1]Hugst!$R$5:$W$9,MATCH(ROUNDUP((P$1)/10,0)*10,[1]Hugst!$R$4:$W$4,0))))</f>
        <v>70.206450347439187</v>
      </c>
      <c r="Q170">
        <f ca="1">IF($C170-Q$1&lt;År1,0,P169*(1-VLOOKUP($A170,[1]Hugst!$R$5:$W$9,MATCH(ROUNDUP((Q$1)/10,0)*10,[1]Hugst!$R$4:$W$4,0))))</f>
        <v>70.364044356477635</v>
      </c>
      <c r="R170">
        <f ca="1">IF($C170-R$1&lt;År1,0,Q169*(1-VLOOKUP($A170,[1]Hugst!$R$5:$W$9,MATCH(ROUNDUP((R$1)/10,0)*10,[1]Hugst!$R$4:$W$4,0))))</f>
        <v>70.522430295208849</v>
      </c>
      <c r="S170">
        <f ca="1">IF($C170-S$1&lt;År1,0,R169*(1-VLOOKUP($A170,[1]Hugst!$R$5:$W$9,MATCH(ROUNDUP((S$1)/10,0)*10,[1]Hugst!$R$4:$W$4,0))))</f>
        <v>70.681612143180047</v>
      </c>
      <c r="T170">
        <f>IF($C170-T$1&lt;År1,0,S169*(1-VLOOKUP($A170,[1]Hugst!$R$5:$W$9,MATCH(ROUNDUP((T$1)/10,0)*10,[1]Hugst!$R$4:$W$4,0))))</f>
        <v>0</v>
      </c>
      <c r="U170">
        <f>IF($C170-U$1&lt;År1,0,T169*(1-VLOOKUP($A170,[1]Hugst!$R$5:$W$9,MATCH(ROUNDUP((U$1)/10,0)*10,[1]Hugst!$R$4:$W$4,0))))</f>
        <v>0</v>
      </c>
      <c r="V170">
        <f>IF($C170-V$1&lt;År1,0,U169*(1-VLOOKUP($A170,[1]Hugst!$R$5:$W$9,MATCH(ROUNDUP((V$1)/10,0)*10,[1]Hugst!$R$4:$W$4,0))))</f>
        <v>0</v>
      </c>
      <c r="W170">
        <f>IF($C170-W$1&lt;År1,0,V169*(1-VLOOKUP($A170,[1]Hugst!$R$5:$W$9,MATCH(ROUNDUP((W$1)/10,0)*10,[1]Hugst!$R$4:$W$4,0))))</f>
        <v>0</v>
      </c>
      <c r="X170">
        <f>IF($C170-X$1&lt;År1,0,W169*(1-VLOOKUP($A170,[1]Hugst!$R$5:$W$9,MATCH(ROUNDUP((X$1)/10,0)*10,[1]Hugst!$R$4:$W$4,0))))</f>
        <v>0</v>
      </c>
      <c r="Y170">
        <f>IF($C170-Y$1&lt;År1,0,X169*(1-VLOOKUP($A170,[1]Hugst!$R$5:$W$9,MATCH(ROUNDUP((Y$1)/10,0)*10,[1]Hugst!$R$4:$W$4,0))))</f>
        <v>0</v>
      </c>
      <c r="Z170">
        <f>IF($C170-Z$1&lt;År1,0,Y169*(1-VLOOKUP($A170,[1]Hugst!$R$5:$W$9,MATCH(ROUNDUP((Z$1)/10,0)*10,[1]Hugst!$R$4:$W$4,0))))</f>
        <v>0</v>
      </c>
      <c r="AA170">
        <f>IF($C170-AA$1&lt;År1,0,Z169*(1-VLOOKUP($A170,[1]Hugst!$R$5:$W$9,MATCH(ROUNDUP((AA$1)/10,0)*10,[1]Hugst!$R$4:$W$4,0))))</f>
        <v>0</v>
      </c>
      <c r="AB170">
        <f>IF($C170-AB$1&lt;År1,0,AA169*(1-VLOOKUP($A170,[1]Hugst!$R$5:$W$9,MATCH(ROUNDUP((AB$1)/10,0)*10,[1]Hugst!$R$4:$W$4,0))))</f>
        <v>0</v>
      </c>
      <c r="AC170">
        <f>IF($C170-AC$1&lt;År1,0,AB169*(1-VLOOKUP($A170,[1]Hugst!$R$5:$W$9,MATCH(ROUNDUP((AC$1)/10,0)*10,[1]Hugst!$R$4:$W$4,0))))</f>
        <v>0</v>
      </c>
      <c r="AD170">
        <f>IF($C170-AD$1&lt;År1,0,AC169*(1-VLOOKUP($A170,[1]Hugst!$R$5:$W$9,MATCH(ROUNDUP((AD$1)/10,0)*10,[1]Hugst!$R$4:$W$4,0))))</f>
        <v>0</v>
      </c>
      <c r="AE170">
        <f>IF($C170-AE$1&lt;År1,0,AD169*(1-VLOOKUP($A170,[1]Hugst!$R$5:$W$9,MATCH(ROUNDUP((AE$1)/10,0)*10,[1]Hugst!$R$4:$W$4,0))))</f>
        <v>0</v>
      </c>
      <c r="AF170">
        <f>IF($C170-AF$1&lt;År1,0,AE169*(1-VLOOKUP($A170,[1]Hugst!$R$5:$W$9,MATCH(ROUNDUP((AF$1)/10,0)*10,[1]Hugst!$R$4:$W$4,0))))</f>
        <v>0</v>
      </c>
      <c r="AG170">
        <f>IF($C170-AG$1&lt;År1,0,AF169*(1-VLOOKUP($A170,[1]Hugst!$R$5:$W$9,MATCH(ROUNDUP((AG$1)/10,0)*10,[1]Hugst!$R$4:$W$4,0))))</f>
        <v>0</v>
      </c>
      <c r="AH170">
        <f>IF($C170-AH$1&lt;År1,0,AG169*(1-VLOOKUP($A170,[1]Hugst!$R$5:$W$9,MATCH(ROUNDUP((AH$1)/10,0)*10,[1]Hugst!$R$4:$W$4,0))))</f>
        <v>0</v>
      </c>
      <c r="AI170">
        <f>IF($C170-AI$1&lt;År1,0,AH169*(1-VLOOKUP($A170,[1]Hugst!$R$5:$W$9,MATCH(ROUNDUP((AI$1)/10,0)*10,[1]Hugst!$R$4:$W$4,0))))</f>
        <v>0</v>
      </c>
      <c r="AJ170">
        <f>IF($C170-AJ$1&lt;År1,0,AI169*(1-VLOOKUP($A170,[1]Hugst!$R$5:$W$9,MATCH(ROUNDUP((AJ$1)/10,0)*10,[1]Hugst!$R$4:$W$4,0))))</f>
        <v>0</v>
      </c>
    </row>
    <row r="171" spans="1:36" x14ac:dyDescent="0.25">
      <c r="A171" t="s">
        <v>178</v>
      </c>
      <c r="B171" t="s">
        <v>24</v>
      </c>
      <c r="C171">
        <v>2034</v>
      </c>
      <c r="D171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29.678822628585465</v>
      </c>
      <c r="E171">
        <f t="shared" ca="1" si="3"/>
        <v>0</v>
      </c>
      <c r="F171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90.721346634072461</v>
      </c>
      <c r="G171">
        <f ca="1">IF($C171-G$1&lt;År1,0,F170*(1-VLOOKUP($A171,[1]Hugst!$R$5:$W$9,MATCH(ROUNDUP((G$1)/10,0)*10,[1]Hugst!$R$4:$W$4,0))))</f>
        <v>90.870486446276232</v>
      </c>
      <c r="H171">
        <f ca="1">IF($C171-H$1&lt;År1,0,G170*(1-VLOOKUP($A171,[1]Hugst!$R$5:$W$9,MATCH(ROUNDUP((H$1)/10,0)*10,[1]Hugst!$R$4:$W$4,0))))</f>
        <v>91.02037570477313</v>
      </c>
      <c r="I171">
        <f ca="1">IF($C171-I$1&lt;År1,0,H170*(1-VLOOKUP($A171,[1]Hugst!$R$5:$W$9,MATCH(ROUNDUP((I$1)/10,0)*10,[1]Hugst!$R$4:$W$4,0))))</f>
        <v>91.171018175622692</v>
      </c>
      <c r="J171">
        <f ca="1">IF($C171-J$1&lt;År1,0,I170*(1-VLOOKUP($A171,[1]Hugst!$R$5:$W$9,MATCH(ROUNDUP((J$1)/10,0)*10,[1]Hugst!$R$4:$W$4,0))))</f>
        <v>69.125136187275132</v>
      </c>
      <c r="K171">
        <f ca="1">IF($C171-K$1&lt;År1,0,J170*(1-VLOOKUP($A171,[1]Hugst!$R$5:$W$9,MATCH(ROUNDUP((K$1)/10,0)*10,[1]Hugst!$R$4:$W$4,0))))</f>
        <v>69.277296456813701</v>
      </c>
      <c r="L171">
        <f ca="1">IF($C171-L$1&lt;År1,0,K170*(1-VLOOKUP($A171,[1]Hugst!$R$5:$W$9,MATCH(ROUNDUP((L$1)/10,0)*10,[1]Hugst!$R$4:$W$4,0))))</f>
        <v>69.430221350823388</v>
      </c>
      <c r="M171">
        <f ca="1">IF($C171-M$1&lt;År1,0,L170*(1-VLOOKUP($A171,[1]Hugst!$R$5:$W$9,MATCH(ROUNDUP((M$1)/10,0)*10,[1]Hugst!$R$4:$W$4,0))))</f>
        <v>69.583914711636112</v>
      </c>
      <c r="N171">
        <f ca="1">IF($C171-N$1&lt;År1,0,M170*(1-VLOOKUP($A171,[1]Hugst!$R$5:$W$9,MATCH(ROUNDUP((N$1)/10,0)*10,[1]Hugst!$R$4:$W$4,0))))</f>
        <v>69.73838040089737</v>
      </c>
      <c r="O171">
        <f ca="1">IF($C171-O$1&lt;År1,0,N170*(1-VLOOKUP($A171,[1]Hugst!$R$5:$W$9,MATCH(ROUNDUP((O$1)/10,0)*10,[1]Hugst!$R$4:$W$4,0))))</f>
        <v>69.893622299649508</v>
      </c>
      <c r="P171">
        <f ca="1">IF($C171-P$1&lt;År1,0,O170*(1-VLOOKUP($A171,[1]Hugst!$R$5:$W$9,MATCH(ROUNDUP((P$1)/10,0)*10,[1]Hugst!$R$4:$W$4,0))))</f>
        <v>70.049644308447569</v>
      </c>
      <c r="Q171">
        <f ca="1">IF($C171-Q$1&lt;År1,0,P170*(1-VLOOKUP($A171,[1]Hugst!$R$5:$W$9,MATCH(ROUNDUP((Q$1)/10,0)*10,[1]Hugst!$R$4:$W$4,0))))</f>
        <v>70.206450347439187</v>
      </c>
      <c r="R171">
        <f ca="1">IF($C171-R$1&lt;År1,0,Q170*(1-VLOOKUP($A171,[1]Hugst!$R$5:$W$9,MATCH(ROUNDUP((R$1)/10,0)*10,[1]Hugst!$R$4:$W$4,0))))</f>
        <v>70.364044356477635</v>
      </c>
      <c r="S171">
        <f ca="1">IF($C171-S$1&lt;År1,0,R170*(1-VLOOKUP($A171,[1]Hugst!$R$5:$W$9,MATCH(ROUNDUP((S$1)/10,0)*10,[1]Hugst!$R$4:$W$4,0))))</f>
        <v>70.522430295208849</v>
      </c>
      <c r="T171">
        <f ca="1">IF($C171-T$1&lt;År1,0,S170*(1-VLOOKUP($A171,[1]Hugst!$R$5:$W$9,MATCH(ROUNDUP((T$1)/10,0)*10,[1]Hugst!$R$4:$W$4,0))))</f>
        <v>70.681612143180047</v>
      </c>
      <c r="U171">
        <f>IF($C171-U$1&lt;År1,0,T170*(1-VLOOKUP($A171,[1]Hugst!$R$5:$W$9,MATCH(ROUNDUP((U$1)/10,0)*10,[1]Hugst!$R$4:$W$4,0))))</f>
        <v>0</v>
      </c>
      <c r="V171">
        <f>IF($C171-V$1&lt;År1,0,U170*(1-VLOOKUP($A171,[1]Hugst!$R$5:$W$9,MATCH(ROUNDUP((V$1)/10,0)*10,[1]Hugst!$R$4:$W$4,0))))</f>
        <v>0</v>
      </c>
      <c r="W171">
        <f>IF($C171-W$1&lt;År1,0,V170*(1-VLOOKUP($A171,[1]Hugst!$R$5:$W$9,MATCH(ROUNDUP((W$1)/10,0)*10,[1]Hugst!$R$4:$W$4,0))))</f>
        <v>0</v>
      </c>
      <c r="X171">
        <f>IF($C171-X$1&lt;År1,0,W170*(1-VLOOKUP($A171,[1]Hugst!$R$5:$W$9,MATCH(ROUNDUP((X$1)/10,0)*10,[1]Hugst!$R$4:$W$4,0))))</f>
        <v>0</v>
      </c>
      <c r="Y171">
        <f>IF($C171-Y$1&lt;År1,0,X170*(1-VLOOKUP($A171,[1]Hugst!$R$5:$W$9,MATCH(ROUNDUP((Y$1)/10,0)*10,[1]Hugst!$R$4:$W$4,0))))</f>
        <v>0</v>
      </c>
      <c r="Z171">
        <f>IF($C171-Z$1&lt;År1,0,Y170*(1-VLOOKUP($A171,[1]Hugst!$R$5:$W$9,MATCH(ROUNDUP((Z$1)/10,0)*10,[1]Hugst!$R$4:$W$4,0))))</f>
        <v>0</v>
      </c>
      <c r="AA171">
        <f>IF($C171-AA$1&lt;År1,0,Z170*(1-VLOOKUP($A171,[1]Hugst!$R$5:$W$9,MATCH(ROUNDUP((AA$1)/10,0)*10,[1]Hugst!$R$4:$W$4,0))))</f>
        <v>0</v>
      </c>
      <c r="AB171">
        <f>IF($C171-AB$1&lt;År1,0,AA170*(1-VLOOKUP($A171,[1]Hugst!$R$5:$W$9,MATCH(ROUNDUP((AB$1)/10,0)*10,[1]Hugst!$R$4:$W$4,0))))</f>
        <v>0</v>
      </c>
      <c r="AC171">
        <f>IF($C171-AC$1&lt;År1,0,AB170*(1-VLOOKUP($A171,[1]Hugst!$R$5:$W$9,MATCH(ROUNDUP((AC$1)/10,0)*10,[1]Hugst!$R$4:$W$4,0))))</f>
        <v>0</v>
      </c>
      <c r="AD171">
        <f>IF($C171-AD$1&lt;År1,0,AC170*(1-VLOOKUP($A171,[1]Hugst!$R$5:$W$9,MATCH(ROUNDUP((AD$1)/10,0)*10,[1]Hugst!$R$4:$W$4,0))))</f>
        <v>0</v>
      </c>
      <c r="AE171">
        <f>IF($C171-AE$1&lt;År1,0,AD170*(1-VLOOKUP($A171,[1]Hugst!$R$5:$W$9,MATCH(ROUNDUP((AE$1)/10,0)*10,[1]Hugst!$R$4:$W$4,0))))</f>
        <v>0</v>
      </c>
      <c r="AF171">
        <f>IF($C171-AF$1&lt;År1,0,AE170*(1-VLOOKUP($A171,[1]Hugst!$R$5:$W$9,MATCH(ROUNDUP((AF$1)/10,0)*10,[1]Hugst!$R$4:$W$4,0))))</f>
        <v>0</v>
      </c>
      <c r="AG171">
        <f>IF($C171-AG$1&lt;År1,0,AF170*(1-VLOOKUP($A171,[1]Hugst!$R$5:$W$9,MATCH(ROUNDUP((AG$1)/10,0)*10,[1]Hugst!$R$4:$W$4,0))))</f>
        <v>0</v>
      </c>
      <c r="AH171">
        <f>IF($C171-AH$1&lt;År1,0,AG170*(1-VLOOKUP($A171,[1]Hugst!$R$5:$W$9,MATCH(ROUNDUP((AH$1)/10,0)*10,[1]Hugst!$R$4:$W$4,0))))</f>
        <v>0</v>
      </c>
      <c r="AI171">
        <f>IF($C171-AI$1&lt;År1,0,AH170*(1-VLOOKUP($A171,[1]Hugst!$R$5:$W$9,MATCH(ROUNDUP((AI$1)/10,0)*10,[1]Hugst!$R$4:$W$4,0))))</f>
        <v>0</v>
      </c>
      <c r="AJ171">
        <f>IF($C171-AJ$1&lt;År1,0,AI170*(1-VLOOKUP($A171,[1]Hugst!$R$5:$W$9,MATCH(ROUNDUP((AJ$1)/10,0)*10,[1]Hugst!$R$4:$W$4,0))))</f>
        <v>0</v>
      </c>
    </row>
    <row r="172" spans="1:36" x14ac:dyDescent="0.25">
      <c r="A172" t="s">
        <v>178</v>
      </c>
      <c r="B172" t="s">
        <v>24</v>
      </c>
      <c r="C172">
        <v>2035</v>
      </c>
      <c r="D172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29.530428515443077</v>
      </c>
      <c r="E172">
        <f t="shared" ca="1" si="3"/>
        <v>0</v>
      </c>
      <c r="F172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90.572952520930073</v>
      </c>
      <c r="G172">
        <f ca="1">IF($C172-G$1&lt;År1,0,F171*(1-VLOOKUP($A172,[1]Hugst!$R$5:$W$9,MATCH(ROUNDUP((G$1)/10,0)*10,[1]Hugst!$R$4:$W$4,0))))</f>
        <v>90.721346634072461</v>
      </c>
      <c r="H172">
        <f ca="1">IF($C172-H$1&lt;År1,0,G171*(1-VLOOKUP($A172,[1]Hugst!$R$5:$W$9,MATCH(ROUNDUP((H$1)/10,0)*10,[1]Hugst!$R$4:$W$4,0))))</f>
        <v>90.870486446276232</v>
      </c>
      <c r="I172">
        <f ca="1">IF($C172-I$1&lt;År1,0,H171*(1-VLOOKUP($A172,[1]Hugst!$R$5:$W$9,MATCH(ROUNDUP((I$1)/10,0)*10,[1]Hugst!$R$4:$W$4,0))))</f>
        <v>91.02037570477313</v>
      </c>
      <c r="J172">
        <f ca="1">IF($C172-J$1&lt;År1,0,I171*(1-VLOOKUP($A172,[1]Hugst!$R$5:$W$9,MATCH(ROUNDUP((J$1)/10,0)*10,[1]Hugst!$R$4:$W$4,0))))</f>
        <v>91.171018175622692</v>
      </c>
      <c r="K172">
        <f ca="1">IF($C172-K$1&lt;År1,0,J171*(1-VLOOKUP($A172,[1]Hugst!$R$5:$W$9,MATCH(ROUNDUP((K$1)/10,0)*10,[1]Hugst!$R$4:$W$4,0))))</f>
        <v>69.125136187275132</v>
      </c>
      <c r="L172">
        <f ca="1">IF($C172-L$1&lt;År1,0,K171*(1-VLOOKUP($A172,[1]Hugst!$R$5:$W$9,MATCH(ROUNDUP((L$1)/10,0)*10,[1]Hugst!$R$4:$W$4,0))))</f>
        <v>69.277296456813701</v>
      </c>
      <c r="M172">
        <f ca="1">IF($C172-M$1&lt;År1,0,L171*(1-VLOOKUP($A172,[1]Hugst!$R$5:$W$9,MATCH(ROUNDUP((M$1)/10,0)*10,[1]Hugst!$R$4:$W$4,0))))</f>
        <v>69.430221350823388</v>
      </c>
      <c r="N172">
        <f ca="1">IF($C172-N$1&lt;År1,0,M171*(1-VLOOKUP($A172,[1]Hugst!$R$5:$W$9,MATCH(ROUNDUP((N$1)/10,0)*10,[1]Hugst!$R$4:$W$4,0))))</f>
        <v>69.583914711636112</v>
      </c>
      <c r="O172">
        <f ca="1">IF($C172-O$1&lt;År1,0,N171*(1-VLOOKUP($A172,[1]Hugst!$R$5:$W$9,MATCH(ROUNDUP((O$1)/10,0)*10,[1]Hugst!$R$4:$W$4,0))))</f>
        <v>69.73838040089737</v>
      </c>
      <c r="P172">
        <f ca="1">IF($C172-P$1&lt;År1,0,O171*(1-VLOOKUP($A172,[1]Hugst!$R$5:$W$9,MATCH(ROUNDUP((P$1)/10,0)*10,[1]Hugst!$R$4:$W$4,0))))</f>
        <v>69.893622299649508</v>
      </c>
      <c r="Q172">
        <f ca="1">IF($C172-Q$1&lt;År1,0,P171*(1-VLOOKUP($A172,[1]Hugst!$R$5:$W$9,MATCH(ROUNDUP((Q$1)/10,0)*10,[1]Hugst!$R$4:$W$4,0))))</f>
        <v>70.049644308447569</v>
      </c>
      <c r="R172">
        <f ca="1">IF($C172-R$1&lt;År1,0,Q171*(1-VLOOKUP($A172,[1]Hugst!$R$5:$W$9,MATCH(ROUNDUP((R$1)/10,0)*10,[1]Hugst!$R$4:$W$4,0))))</f>
        <v>70.206450347439187</v>
      </c>
      <c r="S172">
        <f ca="1">IF($C172-S$1&lt;År1,0,R171*(1-VLOOKUP($A172,[1]Hugst!$R$5:$W$9,MATCH(ROUNDUP((S$1)/10,0)*10,[1]Hugst!$R$4:$W$4,0))))</f>
        <v>70.364044356477635</v>
      </c>
      <c r="T172">
        <f ca="1">IF($C172-T$1&lt;År1,0,S171*(1-VLOOKUP($A172,[1]Hugst!$R$5:$W$9,MATCH(ROUNDUP((T$1)/10,0)*10,[1]Hugst!$R$4:$W$4,0))))</f>
        <v>70.522430295208849</v>
      </c>
      <c r="U172">
        <f ca="1">IF($C172-U$1&lt;År1,0,T171*(1-VLOOKUP($A172,[1]Hugst!$R$5:$W$9,MATCH(ROUNDUP((U$1)/10,0)*10,[1]Hugst!$R$4:$W$4,0))))</f>
        <v>70.681612143180047</v>
      </c>
      <c r="V172">
        <f>IF($C172-V$1&lt;År1,0,U171*(1-VLOOKUP($A172,[1]Hugst!$R$5:$W$9,MATCH(ROUNDUP((V$1)/10,0)*10,[1]Hugst!$R$4:$W$4,0))))</f>
        <v>0</v>
      </c>
      <c r="W172">
        <f>IF($C172-W$1&lt;År1,0,V171*(1-VLOOKUP($A172,[1]Hugst!$R$5:$W$9,MATCH(ROUNDUP((W$1)/10,0)*10,[1]Hugst!$R$4:$W$4,0))))</f>
        <v>0</v>
      </c>
      <c r="X172">
        <f>IF($C172-X$1&lt;År1,0,W171*(1-VLOOKUP($A172,[1]Hugst!$R$5:$W$9,MATCH(ROUNDUP((X$1)/10,0)*10,[1]Hugst!$R$4:$W$4,0))))</f>
        <v>0</v>
      </c>
      <c r="Y172">
        <f>IF($C172-Y$1&lt;År1,0,X171*(1-VLOOKUP($A172,[1]Hugst!$R$5:$W$9,MATCH(ROUNDUP((Y$1)/10,0)*10,[1]Hugst!$R$4:$W$4,0))))</f>
        <v>0</v>
      </c>
      <c r="Z172">
        <f>IF($C172-Z$1&lt;År1,0,Y171*(1-VLOOKUP($A172,[1]Hugst!$R$5:$W$9,MATCH(ROUNDUP((Z$1)/10,0)*10,[1]Hugst!$R$4:$W$4,0))))</f>
        <v>0</v>
      </c>
      <c r="AA172">
        <f>IF($C172-AA$1&lt;År1,0,Z171*(1-VLOOKUP($A172,[1]Hugst!$R$5:$W$9,MATCH(ROUNDUP((AA$1)/10,0)*10,[1]Hugst!$R$4:$W$4,0))))</f>
        <v>0</v>
      </c>
      <c r="AB172">
        <f>IF($C172-AB$1&lt;År1,0,AA171*(1-VLOOKUP($A172,[1]Hugst!$R$5:$W$9,MATCH(ROUNDUP((AB$1)/10,0)*10,[1]Hugst!$R$4:$W$4,0))))</f>
        <v>0</v>
      </c>
      <c r="AC172">
        <f>IF($C172-AC$1&lt;År1,0,AB171*(1-VLOOKUP($A172,[1]Hugst!$R$5:$W$9,MATCH(ROUNDUP((AC$1)/10,0)*10,[1]Hugst!$R$4:$W$4,0))))</f>
        <v>0</v>
      </c>
      <c r="AD172">
        <f>IF($C172-AD$1&lt;År1,0,AC171*(1-VLOOKUP($A172,[1]Hugst!$R$5:$W$9,MATCH(ROUNDUP((AD$1)/10,0)*10,[1]Hugst!$R$4:$W$4,0))))</f>
        <v>0</v>
      </c>
      <c r="AE172">
        <f>IF($C172-AE$1&lt;År1,0,AD171*(1-VLOOKUP($A172,[1]Hugst!$R$5:$W$9,MATCH(ROUNDUP((AE$1)/10,0)*10,[1]Hugst!$R$4:$W$4,0))))</f>
        <v>0</v>
      </c>
      <c r="AF172">
        <f>IF($C172-AF$1&lt;År1,0,AE171*(1-VLOOKUP($A172,[1]Hugst!$R$5:$W$9,MATCH(ROUNDUP((AF$1)/10,0)*10,[1]Hugst!$R$4:$W$4,0))))</f>
        <v>0</v>
      </c>
      <c r="AG172">
        <f>IF($C172-AG$1&lt;År1,0,AF171*(1-VLOOKUP($A172,[1]Hugst!$R$5:$W$9,MATCH(ROUNDUP((AG$1)/10,0)*10,[1]Hugst!$R$4:$W$4,0))))</f>
        <v>0</v>
      </c>
      <c r="AH172">
        <f>IF($C172-AH$1&lt;År1,0,AG171*(1-VLOOKUP($A172,[1]Hugst!$R$5:$W$9,MATCH(ROUNDUP((AH$1)/10,0)*10,[1]Hugst!$R$4:$W$4,0))))</f>
        <v>0</v>
      </c>
      <c r="AI172">
        <f>IF($C172-AI$1&lt;År1,0,AH171*(1-VLOOKUP($A172,[1]Hugst!$R$5:$W$9,MATCH(ROUNDUP((AI$1)/10,0)*10,[1]Hugst!$R$4:$W$4,0))))</f>
        <v>0</v>
      </c>
      <c r="AJ172">
        <f>IF($C172-AJ$1&lt;År1,0,AI171*(1-VLOOKUP($A172,[1]Hugst!$R$5:$W$9,MATCH(ROUNDUP((AJ$1)/10,0)*10,[1]Hugst!$R$4:$W$4,0))))</f>
        <v>0</v>
      </c>
    </row>
    <row r="173" spans="1:36" x14ac:dyDescent="0.25">
      <c r="A173" t="s">
        <v>178</v>
      </c>
      <c r="B173" t="s">
        <v>24</v>
      </c>
      <c r="C173">
        <v>2036</v>
      </c>
      <c r="D173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29.382776372865237</v>
      </c>
      <c r="E173">
        <f t="shared" ca="1" si="3"/>
        <v>0</v>
      </c>
      <c r="F173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90.425300378352233</v>
      </c>
      <c r="G173">
        <f ca="1">IF($C173-G$1&lt;År1,0,F172*(1-VLOOKUP($A173,[1]Hugst!$R$5:$W$9,MATCH(ROUNDUP((G$1)/10,0)*10,[1]Hugst!$R$4:$W$4,0))))</f>
        <v>90.572952520930073</v>
      </c>
      <c r="H173">
        <f ca="1">IF($C173-H$1&lt;År1,0,G172*(1-VLOOKUP($A173,[1]Hugst!$R$5:$W$9,MATCH(ROUNDUP((H$1)/10,0)*10,[1]Hugst!$R$4:$W$4,0))))</f>
        <v>90.721346634072461</v>
      </c>
      <c r="I173">
        <f ca="1">IF($C173-I$1&lt;År1,0,H172*(1-VLOOKUP($A173,[1]Hugst!$R$5:$W$9,MATCH(ROUNDUP((I$1)/10,0)*10,[1]Hugst!$R$4:$W$4,0))))</f>
        <v>90.870486446276232</v>
      </c>
      <c r="J173">
        <f ca="1">IF($C173-J$1&lt;År1,0,I172*(1-VLOOKUP($A173,[1]Hugst!$R$5:$W$9,MATCH(ROUNDUP((J$1)/10,0)*10,[1]Hugst!$R$4:$W$4,0))))</f>
        <v>91.02037570477313</v>
      </c>
      <c r="K173">
        <f ca="1">IF($C173-K$1&lt;År1,0,J172*(1-VLOOKUP($A173,[1]Hugst!$R$5:$W$9,MATCH(ROUNDUP((K$1)/10,0)*10,[1]Hugst!$R$4:$W$4,0))))</f>
        <v>91.171018175622692</v>
      </c>
      <c r="L173">
        <f ca="1">IF($C173-L$1&lt;År1,0,K172*(1-VLOOKUP($A173,[1]Hugst!$R$5:$W$9,MATCH(ROUNDUP((L$1)/10,0)*10,[1]Hugst!$R$4:$W$4,0))))</f>
        <v>69.125136187275132</v>
      </c>
      <c r="M173">
        <f ca="1">IF($C173-M$1&lt;År1,0,L172*(1-VLOOKUP($A173,[1]Hugst!$R$5:$W$9,MATCH(ROUNDUP((M$1)/10,0)*10,[1]Hugst!$R$4:$W$4,0))))</f>
        <v>69.277296456813701</v>
      </c>
      <c r="N173">
        <f ca="1">IF($C173-N$1&lt;År1,0,M172*(1-VLOOKUP($A173,[1]Hugst!$R$5:$W$9,MATCH(ROUNDUP((N$1)/10,0)*10,[1]Hugst!$R$4:$W$4,0))))</f>
        <v>69.430221350823388</v>
      </c>
      <c r="O173">
        <f ca="1">IF($C173-O$1&lt;År1,0,N172*(1-VLOOKUP($A173,[1]Hugst!$R$5:$W$9,MATCH(ROUNDUP((O$1)/10,0)*10,[1]Hugst!$R$4:$W$4,0))))</f>
        <v>69.583914711636112</v>
      </c>
      <c r="P173">
        <f ca="1">IF($C173-P$1&lt;År1,0,O172*(1-VLOOKUP($A173,[1]Hugst!$R$5:$W$9,MATCH(ROUNDUP((P$1)/10,0)*10,[1]Hugst!$R$4:$W$4,0))))</f>
        <v>69.73838040089737</v>
      </c>
      <c r="Q173">
        <f ca="1">IF($C173-Q$1&lt;År1,0,P172*(1-VLOOKUP($A173,[1]Hugst!$R$5:$W$9,MATCH(ROUNDUP((Q$1)/10,0)*10,[1]Hugst!$R$4:$W$4,0))))</f>
        <v>69.893622299649508</v>
      </c>
      <c r="R173">
        <f ca="1">IF($C173-R$1&lt;År1,0,Q172*(1-VLOOKUP($A173,[1]Hugst!$R$5:$W$9,MATCH(ROUNDUP((R$1)/10,0)*10,[1]Hugst!$R$4:$W$4,0))))</f>
        <v>70.049644308447569</v>
      </c>
      <c r="S173">
        <f ca="1">IF($C173-S$1&lt;År1,0,R172*(1-VLOOKUP($A173,[1]Hugst!$R$5:$W$9,MATCH(ROUNDUP((S$1)/10,0)*10,[1]Hugst!$R$4:$W$4,0))))</f>
        <v>70.206450347439187</v>
      </c>
      <c r="T173">
        <f ca="1">IF($C173-T$1&lt;År1,0,S172*(1-VLOOKUP($A173,[1]Hugst!$R$5:$W$9,MATCH(ROUNDUP((T$1)/10,0)*10,[1]Hugst!$R$4:$W$4,0))))</f>
        <v>70.364044356477635</v>
      </c>
      <c r="U173">
        <f ca="1">IF($C173-U$1&lt;År1,0,T172*(1-VLOOKUP($A173,[1]Hugst!$R$5:$W$9,MATCH(ROUNDUP((U$1)/10,0)*10,[1]Hugst!$R$4:$W$4,0))))</f>
        <v>70.522430295208849</v>
      </c>
      <c r="V173">
        <f ca="1">IF($C173-V$1&lt;År1,0,U172*(1-VLOOKUP($A173,[1]Hugst!$R$5:$W$9,MATCH(ROUNDUP((V$1)/10,0)*10,[1]Hugst!$R$4:$W$4,0))))</f>
        <v>70.681612143180047</v>
      </c>
      <c r="W173">
        <f>IF($C173-W$1&lt;År1,0,V172*(1-VLOOKUP($A173,[1]Hugst!$R$5:$W$9,MATCH(ROUNDUP((W$1)/10,0)*10,[1]Hugst!$R$4:$W$4,0))))</f>
        <v>0</v>
      </c>
      <c r="X173">
        <f>IF($C173-X$1&lt;År1,0,W172*(1-VLOOKUP($A173,[1]Hugst!$R$5:$W$9,MATCH(ROUNDUP((X$1)/10,0)*10,[1]Hugst!$R$4:$W$4,0))))</f>
        <v>0</v>
      </c>
      <c r="Y173">
        <f>IF($C173-Y$1&lt;År1,0,X172*(1-VLOOKUP($A173,[1]Hugst!$R$5:$W$9,MATCH(ROUNDUP((Y$1)/10,0)*10,[1]Hugst!$R$4:$W$4,0))))</f>
        <v>0</v>
      </c>
      <c r="Z173">
        <f>IF($C173-Z$1&lt;År1,0,Y172*(1-VLOOKUP($A173,[1]Hugst!$R$5:$W$9,MATCH(ROUNDUP((Z$1)/10,0)*10,[1]Hugst!$R$4:$W$4,0))))</f>
        <v>0</v>
      </c>
      <c r="AA173">
        <f>IF($C173-AA$1&lt;År1,0,Z172*(1-VLOOKUP($A173,[1]Hugst!$R$5:$W$9,MATCH(ROUNDUP((AA$1)/10,0)*10,[1]Hugst!$R$4:$W$4,0))))</f>
        <v>0</v>
      </c>
      <c r="AB173">
        <f>IF($C173-AB$1&lt;År1,0,AA172*(1-VLOOKUP($A173,[1]Hugst!$R$5:$W$9,MATCH(ROUNDUP((AB$1)/10,0)*10,[1]Hugst!$R$4:$W$4,0))))</f>
        <v>0</v>
      </c>
      <c r="AC173">
        <f>IF($C173-AC$1&lt;År1,0,AB172*(1-VLOOKUP($A173,[1]Hugst!$R$5:$W$9,MATCH(ROUNDUP((AC$1)/10,0)*10,[1]Hugst!$R$4:$W$4,0))))</f>
        <v>0</v>
      </c>
      <c r="AD173">
        <f>IF($C173-AD$1&lt;År1,0,AC172*(1-VLOOKUP($A173,[1]Hugst!$R$5:$W$9,MATCH(ROUNDUP((AD$1)/10,0)*10,[1]Hugst!$R$4:$W$4,0))))</f>
        <v>0</v>
      </c>
      <c r="AE173">
        <f>IF($C173-AE$1&lt;År1,0,AD172*(1-VLOOKUP($A173,[1]Hugst!$R$5:$W$9,MATCH(ROUNDUP((AE$1)/10,0)*10,[1]Hugst!$R$4:$W$4,0))))</f>
        <v>0</v>
      </c>
      <c r="AF173">
        <f>IF($C173-AF$1&lt;År1,0,AE172*(1-VLOOKUP($A173,[1]Hugst!$R$5:$W$9,MATCH(ROUNDUP((AF$1)/10,0)*10,[1]Hugst!$R$4:$W$4,0))))</f>
        <v>0</v>
      </c>
      <c r="AG173">
        <f>IF($C173-AG$1&lt;År1,0,AF172*(1-VLOOKUP($A173,[1]Hugst!$R$5:$W$9,MATCH(ROUNDUP((AG$1)/10,0)*10,[1]Hugst!$R$4:$W$4,0))))</f>
        <v>0</v>
      </c>
      <c r="AH173">
        <f>IF($C173-AH$1&lt;År1,0,AG172*(1-VLOOKUP($A173,[1]Hugst!$R$5:$W$9,MATCH(ROUNDUP((AH$1)/10,0)*10,[1]Hugst!$R$4:$W$4,0))))</f>
        <v>0</v>
      </c>
      <c r="AI173">
        <f>IF($C173-AI$1&lt;År1,0,AH172*(1-VLOOKUP($A173,[1]Hugst!$R$5:$W$9,MATCH(ROUNDUP((AI$1)/10,0)*10,[1]Hugst!$R$4:$W$4,0))))</f>
        <v>0</v>
      </c>
      <c r="AJ173">
        <f>IF($C173-AJ$1&lt;År1,0,AI172*(1-VLOOKUP($A173,[1]Hugst!$R$5:$W$9,MATCH(ROUNDUP((AJ$1)/10,0)*10,[1]Hugst!$R$4:$W$4,0))))</f>
        <v>0</v>
      </c>
    </row>
    <row r="174" spans="1:36" x14ac:dyDescent="0.25">
      <c r="A174" t="s">
        <v>178</v>
      </c>
      <c r="B174" t="s">
        <v>24</v>
      </c>
      <c r="C174">
        <v>2037</v>
      </c>
      <c r="D174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29.235862491001171</v>
      </c>
      <c r="E174">
        <f t="shared" ca="1" si="3"/>
        <v>0</v>
      </c>
      <c r="F174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90.278386496488167</v>
      </c>
      <c r="G174">
        <f ca="1">IF($C174-G$1&lt;År1,0,F173*(1-VLOOKUP($A174,[1]Hugst!$R$5:$W$9,MATCH(ROUNDUP((G$1)/10,0)*10,[1]Hugst!$R$4:$W$4,0))))</f>
        <v>90.425300378352233</v>
      </c>
      <c r="H174">
        <f ca="1">IF($C174-H$1&lt;År1,0,G173*(1-VLOOKUP($A174,[1]Hugst!$R$5:$W$9,MATCH(ROUNDUP((H$1)/10,0)*10,[1]Hugst!$R$4:$W$4,0))))</f>
        <v>90.572952520930073</v>
      </c>
      <c r="I174">
        <f ca="1">IF($C174-I$1&lt;År1,0,H173*(1-VLOOKUP($A174,[1]Hugst!$R$5:$W$9,MATCH(ROUNDUP((I$1)/10,0)*10,[1]Hugst!$R$4:$W$4,0))))</f>
        <v>90.721346634072461</v>
      </c>
      <c r="J174">
        <f ca="1">IF($C174-J$1&lt;År1,0,I173*(1-VLOOKUP($A174,[1]Hugst!$R$5:$W$9,MATCH(ROUNDUP((J$1)/10,0)*10,[1]Hugst!$R$4:$W$4,0))))</f>
        <v>90.870486446276232</v>
      </c>
      <c r="K174">
        <f ca="1">IF($C174-K$1&lt;År1,0,J173*(1-VLOOKUP($A174,[1]Hugst!$R$5:$W$9,MATCH(ROUNDUP((K$1)/10,0)*10,[1]Hugst!$R$4:$W$4,0))))</f>
        <v>91.02037570477313</v>
      </c>
      <c r="L174">
        <f ca="1">IF($C174-L$1&lt;År1,0,K173*(1-VLOOKUP($A174,[1]Hugst!$R$5:$W$9,MATCH(ROUNDUP((L$1)/10,0)*10,[1]Hugst!$R$4:$W$4,0))))</f>
        <v>91.171018175622692</v>
      </c>
      <c r="M174">
        <f ca="1">IF($C174-M$1&lt;År1,0,L173*(1-VLOOKUP($A174,[1]Hugst!$R$5:$W$9,MATCH(ROUNDUP((M$1)/10,0)*10,[1]Hugst!$R$4:$W$4,0))))</f>
        <v>69.125136187275132</v>
      </c>
      <c r="N174">
        <f ca="1">IF($C174-N$1&lt;År1,0,M173*(1-VLOOKUP($A174,[1]Hugst!$R$5:$W$9,MATCH(ROUNDUP((N$1)/10,0)*10,[1]Hugst!$R$4:$W$4,0))))</f>
        <v>69.277296456813701</v>
      </c>
      <c r="O174">
        <f ca="1">IF($C174-O$1&lt;År1,0,N173*(1-VLOOKUP($A174,[1]Hugst!$R$5:$W$9,MATCH(ROUNDUP((O$1)/10,0)*10,[1]Hugst!$R$4:$W$4,0))))</f>
        <v>69.430221350823388</v>
      </c>
      <c r="P174">
        <f ca="1">IF($C174-P$1&lt;År1,0,O173*(1-VLOOKUP($A174,[1]Hugst!$R$5:$W$9,MATCH(ROUNDUP((P$1)/10,0)*10,[1]Hugst!$R$4:$W$4,0))))</f>
        <v>69.583914711636112</v>
      </c>
      <c r="Q174">
        <f ca="1">IF($C174-Q$1&lt;År1,0,P173*(1-VLOOKUP($A174,[1]Hugst!$R$5:$W$9,MATCH(ROUNDUP((Q$1)/10,0)*10,[1]Hugst!$R$4:$W$4,0))))</f>
        <v>69.73838040089737</v>
      </c>
      <c r="R174">
        <f ca="1">IF($C174-R$1&lt;År1,0,Q173*(1-VLOOKUP($A174,[1]Hugst!$R$5:$W$9,MATCH(ROUNDUP((R$1)/10,0)*10,[1]Hugst!$R$4:$W$4,0))))</f>
        <v>69.893622299649508</v>
      </c>
      <c r="S174">
        <f ca="1">IF($C174-S$1&lt;År1,0,R173*(1-VLOOKUP($A174,[1]Hugst!$R$5:$W$9,MATCH(ROUNDUP((S$1)/10,0)*10,[1]Hugst!$R$4:$W$4,0))))</f>
        <v>70.049644308447569</v>
      </c>
      <c r="T174">
        <f ca="1">IF($C174-T$1&lt;År1,0,S173*(1-VLOOKUP($A174,[1]Hugst!$R$5:$W$9,MATCH(ROUNDUP((T$1)/10,0)*10,[1]Hugst!$R$4:$W$4,0))))</f>
        <v>70.206450347439187</v>
      </c>
      <c r="U174">
        <f ca="1">IF($C174-U$1&lt;År1,0,T173*(1-VLOOKUP($A174,[1]Hugst!$R$5:$W$9,MATCH(ROUNDUP((U$1)/10,0)*10,[1]Hugst!$R$4:$W$4,0))))</f>
        <v>70.364044356477635</v>
      </c>
      <c r="V174">
        <f ca="1">IF($C174-V$1&lt;År1,0,U173*(1-VLOOKUP($A174,[1]Hugst!$R$5:$W$9,MATCH(ROUNDUP((V$1)/10,0)*10,[1]Hugst!$R$4:$W$4,0))))</f>
        <v>70.522430295208849</v>
      </c>
      <c r="W174">
        <f ca="1">IF($C174-W$1&lt;År1,0,V173*(1-VLOOKUP($A174,[1]Hugst!$R$5:$W$9,MATCH(ROUNDUP((W$1)/10,0)*10,[1]Hugst!$R$4:$W$4,0))))</f>
        <v>70.681612143180047</v>
      </c>
      <c r="X174">
        <f>IF($C174-X$1&lt;År1,0,W173*(1-VLOOKUP($A174,[1]Hugst!$R$5:$W$9,MATCH(ROUNDUP((X$1)/10,0)*10,[1]Hugst!$R$4:$W$4,0))))</f>
        <v>0</v>
      </c>
      <c r="Y174">
        <f>IF($C174-Y$1&lt;År1,0,X173*(1-VLOOKUP($A174,[1]Hugst!$R$5:$W$9,MATCH(ROUNDUP((Y$1)/10,0)*10,[1]Hugst!$R$4:$W$4,0))))</f>
        <v>0</v>
      </c>
      <c r="Z174">
        <f>IF($C174-Z$1&lt;År1,0,Y173*(1-VLOOKUP($A174,[1]Hugst!$R$5:$W$9,MATCH(ROUNDUP((Z$1)/10,0)*10,[1]Hugst!$R$4:$W$4,0))))</f>
        <v>0</v>
      </c>
      <c r="AA174">
        <f>IF($C174-AA$1&lt;År1,0,Z173*(1-VLOOKUP($A174,[1]Hugst!$R$5:$W$9,MATCH(ROUNDUP((AA$1)/10,0)*10,[1]Hugst!$R$4:$W$4,0))))</f>
        <v>0</v>
      </c>
      <c r="AB174">
        <f>IF($C174-AB$1&lt;År1,0,AA173*(1-VLOOKUP($A174,[1]Hugst!$R$5:$W$9,MATCH(ROUNDUP((AB$1)/10,0)*10,[1]Hugst!$R$4:$W$4,0))))</f>
        <v>0</v>
      </c>
      <c r="AC174">
        <f>IF($C174-AC$1&lt;År1,0,AB173*(1-VLOOKUP($A174,[1]Hugst!$R$5:$W$9,MATCH(ROUNDUP((AC$1)/10,0)*10,[1]Hugst!$R$4:$W$4,0))))</f>
        <v>0</v>
      </c>
      <c r="AD174">
        <f>IF($C174-AD$1&lt;År1,0,AC173*(1-VLOOKUP($A174,[1]Hugst!$R$5:$W$9,MATCH(ROUNDUP((AD$1)/10,0)*10,[1]Hugst!$R$4:$W$4,0))))</f>
        <v>0</v>
      </c>
      <c r="AE174">
        <f>IF($C174-AE$1&lt;År1,0,AD173*(1-VLOOKUP($A174,[1]Hugst!$R$5:$W$9,MATCH(ROUNDUP((AE$1)/10,0)*10,[1]Hugst!$R$4:$W$4,0))))</f>
        <v>0</v>
      </c>
      <c r="AF174">
        <f>IF($C174-AF$1&lt;År1,0,AE173*(1-VLOOKUP($A174,[1]Hugst!$R$5:$W$9,MATCH(ROUNDUP((AF$1)/10,0)*10,[1]Hugst!$R$4:$W$4,0))))</f>
        <v>0</v>
      </c>
      <c r="AG174">
        <f>IF($C174-AG$1&lt;År1,0,AF173*(1-VLOOKUP($A174,[1]Hugst!$R$5:$W$9,MATCH(ROUNDUP((AG$1)/10,0)*10,[1]Hugst!$R$4:$W$4,0))))</f>
        <v>0</v>
      </c>
      <c r="AH174">
        <f>IF($C174-AH$1&lt;År1,0,AG173*(1-VLOOKUP($A174,[1]Hugst!$R$5:$W$9,MATCH(ROUNDUP((AH$1)/10,0)*10,[1]Hugst!$R$4:$W$4,0))))</f>
        <v>0</v>
      </c>
      <c r="AI174">
        <f>IF($C174-AI$1&lt;År1,0,AH173*(1-VLOOKUP($A174,[1]Hugst!$R$5:$W$9,MATCH(ROUNDUP((AI$1)/10,0)*10,[1]Hugst!$R$4:$W$4,0))))</f>
        <v>0</v>
      </c>
      <c r="AJ174">
        <f>IF($C174-AJ$1&lt;År1,0,AI173*(1-VLOOKUP($A174,[1]Hugst!$R$5:$W$9,MATCH(ROUNDUP((AJ$1)/10,0)*10,[1]Hugst!$R$4:$W$4,0))))</f>
        <v>0</v>
      </c>
    </row>
    <row r="175" spans="1:36" x14ac:dyDescent="0.25">
      <c r="A175" t="s">
        <v>178</v>
      </c>
      <c r="B175" t="s">
        <v>24</v>
      </c>
      <c r="C175">
        <v>2038</v>
      </c>
      <c r="D175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29.089683178546693</v>
      </c>
      <c r="E175">
        <f t="shared" ca="1" si="3"/>
        <v>0</v>
      </c>
      <c r="F175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90.132207184033689</v>
      </c>
      <c r="G175">
        <f ca="1">IF($C175-G$1&lt;År1,0,F174*(1-VLOOKUP($A175,[1]Hugst!$R$5:$W$9,MATCH(ROUNDUP((G$1)/10,0)*10,[1]Hugst!$R$4:$W$4,0))))</f>
        <v>90.278386496488167</v>
      </c>
      <c r="H175">
        <f ca="1">IF($C175-H$1&lt;År1,0,G174*(1-VLOOKUP($A175,[1]Hugst!$R$5:$W$9,MATCH(ROUNDUP((H$1)/10,0)*10,[1]Hugst!$R$4:$W$4,0))))</f>
        <v>90.425300378352233</v>
      </c>
      <c r="I175">
        <f ca="1">IF($C175-I$1&lt;År1,0,H174*(1-VLOOKUP($A175,[1]Hugst!$R$5:$W$9,MATCH(ROUNDUP((I$1)/10,0)*10,[1]Hugst!$R$4:$W$4,0))))</f>
        <v>90.572952520930073</v>
      </c>
      <c r="J175">
        <f ca="1">IF($C175-J$1&lt;År1,0,I174*(1-VLOOKUP($A175,[1]Hugst!$R$5:$W$9,MATCH(ROUNDUP((J$1)/10,0)*10,[1]Hugst!$R$4:$W$4,0))))</f>
        <v>90.721346634072461</v>
      </c>
      <c r="K175">
        <f ca="1">IF($C175-K$1&lt;År1,0,J174*(1-VLOOKUP($A175,[1]Hugst!$R$5:$W$9,MATCH(ROUNDUP((K$1)/10,0)*10,[1]Hugst!$R$4:$W$4,0))))</f>
        <v>90.870486446276232</v>
      </c>
      <c r="L175">
        <f ca="1">IF($C175-L$1&lt;År1,0,K174*(1-VLOOKUP($A175,[1]Hugst!$R$5:$W$9,MATCH(ROUNDUP((L$1)/10,0)*10,[1]Hugst!$R$4:$W$4,0))))</f>
        <v>91.02037570477313</v>
      </c>
      <c r="M175">
        <f ca="1">IF($C175-M$1&lt;År1,0,L174*(1-VLOOKUP($A175,[1]Hugst!$R$5:$W$9,MATCH(ROUNDUP((M$1)/10,0)*10,[1]Hugst!$R$4:$W$4,0))))</f>
        <v>91.171018175622692</v>
      </c>
      <c r="N175">
        <f ca="1">IF($C175-N$1&lt;År1,0,M174*(1-VLOOKUP($A175,[1]Hugst!$R$5:$W$9,MATCH(ROUNDUP((N$1)/10,0)*10,[1]Hugst!$R$4:$W$4,0))))</f>
        <v>69.125136187275132</v>
      </c>
      <c r="O175">
        <f ca="1">IF($C175-O$1&lt;År1,0,N174*(1-VLOOKUP($A175,[1]Hugst!$R$5:$W$9,MATCH(ROUNDUP((O$1)/10,0)*10,[1]Hugst!$R$4:$W$4,0))))</f>
        <v>69.277296456813701</v>
      </c>
      <c r="P175">
        <f ca="1">IF($C175-P$1&lt;År1,0,O174*(1-VLOOKUP($A175,[1]Hugst!$R$5:$W$9,MATCH(ROUNDUP((P$1)/10,0)*10,[1]Hugst!$R$4:$W$4,0))))</f>
        <v>69.430221350823388</v>
      </c>
      <c r="Q175">
        <f ca="1">IF($C175-Q$1&lt;År1,0,P174*(1-VLOOKUP($A175,[1]Hugst!$R$5:$W$9,MATCH(ROUNDUP((Q$1)/10,0)*10,[1]Hugst!$R$4:$W$4,0))))</f>
        <v>69.583914711636112</v>
      </c>
      <c r="R175">
        <f ca="1">IF($C175-R$1&lt;År1,0,Q174*(1-VLOOKUP($A175,[1]Hugst!$R$5:$W$9,MATCH(ROUNDUP((R$1)/10,0)*10,[1]Hugst!$R$4:$W$4,0))))</f>
        <v>69.73838040089737</v>
      </c>
      <c r="S175">
        <f ca="1">IF($C175-S$1&lt;År1,0,R174*(1-VLOOKUP($A175,[1]Hugst!$R$5:$W$9,MATCH(ROUNDUP((S$1)/10,0)*10,[1]Hugst!$R$4:$W$4,0))))</f>
        <v>69.893622299649508</v>
      </c>
      <c r="T175">
        <f ca="1">IF($C175-T$1&lt;År1,0,S174*(1-VLOOKUP($A175,[1]Hugst!$R$5:$W$9,MATCH(ROUNDUP((T$1)/10,0)*10,[1]Hugst!$R$4:$W$4,0))))</f>
        <v>70.049644308447569</v>
      </c>
      <c r="U175">
        <f ca="1">IF($C175-U$1&lt;År1,0,T174*(1-VLOOKUP($A175,[1]Hugst!$R$5:$W$9,MATCH(ROUNDUP((U$1)/10,0)*10,[1]Hugst!$R$4:$W$4,0))))</f>
        <v>70.206450347439187</v>
      </c>
      <c r="V175">
        <f ca="1">IF($C175-V$1&lt;År1,0,U174*(1-VLOOKUP($A175,[1]Hugst!$R$5:$W$9,MATCH(ROUNDUP((V$1)/10,0)*10,[1]Hugst!$R$4:$W$4,0))))</f>
        <v>70.364044356477635</v>
      </c>
      <c r="W175">
        <f ca="1">IF($C175-W$1&lt;År1,0,V174*(1-VLOOKUP($A175,[1]Hugst!$R$5:$W$9,MATCH(ROUNDUP((W$1)/10,0)*10,[1]Hugst!$R$4:$W$4,0))))</f>
        <v>70.522430295208849</v>
      </c>
      <c r="X175">
        <f ca="1">IF($C175-X$1&lt;År1,0,W174*(1-VLOOKUP($A175,[1]Hugst!$R$5:$W$9,MATCH(ROUNDUP((X$1)/10,0)*10,[1]Hugst!$R$4:$W$4,0))))</f>
        <v>70.681612143180047</v>
      </c>
      <c r="Y175">
        <f>IF($C175-Y$1&lt;År1,0,X174*(1-VLOOKUP($A175,[1]Hugst!$R$5:$W$9,MATCH(ROUNDUP((Y$1)/10,0)*10,[1]Hugst!$R$4:$W$4,0))))</f>
        <v>0</v>
      </c>
      <c r="Z175">
        <f>IF($C175-Z$1&lt;År1,0,Y174*(1-VLOOKUP($A175,[1]Hugst!$R$5:$W$9,MATCH(ROUNDUP((Z$1)/10,0)*10,[1]Hugst!$R$4:$W$4,0))))</f>
        <v>0</v>
      </c>
      <c r="AA175">
        <f>IF($C175-AA$1&lt;År1,0,Z174*(1-VLOOKUP($A175,[1]Hugst!$R$5:$W$9,MATCH(ROUNDUP((AA$1)/10,0)*10,[1]Hugst!$R$4:$W$4,0))))</f>
        <v>0</v>
      </c>
      <c r="AB175">
        <f>IF($C175-AB$1&lt;År1,0,AA174*(1-VLOOKUP($A175,[1]Hugst!$R$5:$W$9,MATCH(ROUNDUP((AB$1)/10,0)*10,[1]Hugst!$R$4:$W$4,0))))</f>
        <v>0</v>
      </c>
      <c r="AC175">
        <f>IF($C175-AC$1&lt;År1,0,AB174*(1-VLOOKUP($A175,[1]Hugst!$R$5:$W$9,MATCH(ROUNDUP((AC$1)/10,0)*10,[1]Hugst!$R$4:$W$4,0))))</f>
        <v>0</v>
      </c>
      <c r="AD175">
        <f>IF($C175-AD$1&lt;År1,0,AC174*(1-VLOOKUP($A175,[1]Hugst!$R$5:$W$9,MATCH(ROUNDUP((AD$1)/10,0)*10,[1]Hugst!$R$4:$W$4,0))))</f>
        <v>0</v>
      </c>
      <c r="AE175">
        <f>IF($C175-AE$1&lt;År1,0,AD174*(1-VLOOKUP($A175,[1]Hugst!$R$5:$W$9,MATCH(ROUNDUP((AE$1)/10,0)*10,[1]Hugst!$R$4:$W$4,0))))</f>
        <v>0</v>
      </c>
      <c r="AF175">
        <f>IF($C175-AF$1&lt;År1,0,AE174*(1-VLOOKUP($A175,[1]Hugst!$R$5:$W$9,MATCH(ROUNDUP((AF$1)/10,0)*10,[1]Hugst!$R$4:$W$4,0))))</f>
        <v>0</v>
      </c>
      <c r="AG175">
        <f>IF($C175-AG$1&lt;År1,0,AF174*(1-VLOOKUP($A175,[1]Hugst!$R$5:$W$9,MATCH(ROUNDUP((AG$1)/10,0)*10,[1]Hugst!$R$4:$W$4,0))))</f>
        <v>0</v>
      </c>
      <c r="AH175">
        <f>IF($C175-AH$1&lt;År1,0,AG174*(1-VLOOKUP($A175,[1]Hugst!$R$5:$W$9,MATCH(ROUNDUP((AH$1)/10,0)*10,[1]Hugst!$R$4:$W$4,0))))</f>
        <v>0</v>
      </c>
      <c r="AI175">
        <f>IF($C175-AI$1&lt;År1,0,AH174*(1-VLOOKUP($A175,[1]Hugst!$R$5:$W$9,MATCH(ROUNDUP((AI$1)/10,0)*10,[1]Hugst!$R$4:$W$4,0))))</f>
        <v>0</v>
      </c>
      <c r="AJ175">
        <f>IF($C175-AJ$1&lt;År1,0,AI174*(1-VLOOKUP($A175,[1]Hugst!$R$5:$W$9,MATCH(ROUNDUP((AJ$1)/10,0)*10,[1]Hugst!$R$4:$W$4,0))))</f>
        <v>0</v>
      </c>
    </row>
    <row r="176" spans="1:36" x14ac:dyDescent="0.25">
      <c r="A176" t="s">
        <v>178</v>
      </c>
      <c r="B176" t="s">
        <v>24</v>
      </c>
      <c r="C176">
        <v>2039</v>
      </c>
      <c r="D176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28.944234762652854</v>
      </c>
      <c r="E176">
        <f t="shared" ca="1" si="3"/>
        <v>0</v>
      </c>
      <c r="F176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89.98675876813985</v>
      </c>
      <c r="G176">
        <f ca="1">IF($C176-G$1&lt;År1,0,F175*(1-VLOOKUP($A176,[1]Hugst!$R$5:$W$9,MATCH(ROUNDUP((G$1)/10,0)*10,[1]Hugst!$R$4:$W$4,0))))</f>
        <v>90.132207184033689</v>
      </c>
      <c r="H176">
        <f ca="1">IF($C176-H$1&lt;År1,0,G175*(1-VLOOKUP($A176,[1]Hugst!$R$5:$W$9,MATCH(ROUNDUP((H$1)/10,0)*10,[1]Hugst!$R$4:$W$4,0))))</f>
        <v>90.278386496488167</v>
      </c>
      <c r="I176">
        <f ca="1">IF($C176-I$1&lt;År1,0,H175*(1-VLOOKUP($A176,[1]Hugst!$R$5:$W$9,MATCH(ROUNDUP((I$1)/10,0)*10,[1]Hugst!$R$4:$W$4,0))))</f>
        <v>90.425300378352233</v>
      </c>
      <c r="J176">
        <f ca="1">IF($C176-J$1&lt;År1,0,I175*(1-VLOOKUP($A176,[1]Hugst!$R$5:$W$9,MATCH(ROUNDUP((J$1)/10,0)*10,[1]Hugst!$R$4:$W$4,0))))</f>
        <v>90.572952520930073</v>
      </c>
      <c r="K176">
        <f ca="1">IF($C176-K$1&lt;År1,0,J175*(1-VLOOKUP($A176,[1]Hugst!$R$5:$W$9,MATCH(ROUNDUP((K$1)/10,0)*10,[1]Hugst!$R$4:$W$4,0))))</f>
        <v>90.721346634072461</v>
      </c>
      <c r="L176">
        <f ca="1">IF($C176-L$1&lt;År1,0,K175*(1-VLOOKUP($A176,[1]Hugst!$R$5:$W$9,MATCH(ROUNDUP((L$1)/10,0)*10,[1]Hugst!$R$4:$W$4,0))))</f>
        <v>90.870486446276232</v>
      </c>
      <c r="M176">
        <f ca="1">IF($C176-M$1&lt;År1,0,L175*(1-VLOOKUP($A176,[1]Hugst!$R$5:$W$9,MATCH(ROUNDUP((M$1)/10,0)*10,[1]Hugst!$R$4:$W$4,0))))</f>
        <v>91.02037570477313</v>
      </c>
      <c r="N176">
        <f ca="1">IF($C176-N$1&lt;År1,0,M175*(1-VLOOKUP($A176,[1]Hugst!$R$5:$W$9,MATCH(ROUNDUP((N$1)/10,0)*10,[1]Hugst!$R$4:$W$4,0))))</f>
        <v>91.171018175622692</v>
      </c>
      <c r="O176">
        <f ca="1">IF($C176-O$1&lt;År1,0,N175*(1-VLOOKUP($A176,[1]Hugst!$R$5:$W$9,MATCH(ROUNDUP((O$1)/10,0)*10,[1]Hugst!$R$4:$W$4,0))))</f>
        <v>69.125136187275132</v>
      </c>
      <c r="P176">
        <f ca="1">IF($C176-P$1&lt;År1,0,O175*(1-VLOOKUP($A176,[1]Hugst!$R$5:$W$9,MATCH(ROUNDUP((P$1)/10,0)*10,[1]Hugst!$R$4:$W$4,0))))</f>
        <v>69.277296456813701</v>
      </c>
      <c r="Q176">
        <f ca="1">IF($C176-Q$1&lt;År1,0,P175*(1-VLOOKUP($A176,[1]Hugst!$R$5:$W$9,MATCH(ROUNDUP((Q$1)/10,0)*10,[1]Hugst!$R$4:$W$4,0))))</f>
        <v>69.430221350823388</v>
      </c>
      <c r="R176">
        <f ca="1">IF($C176-R$1&lt;År1,0,Q175*(1-VLOOKUP($A176,[1]Hugst!$R$5:$W$9,MATCH(ROUNDUP((R$1)/10,0)*10,[1]Hugst!$R$4:$W$4,0))))</f>
        <v>69.583914711636112</v>
      </c>
      <c r="S176">
        <f ca="1">IF($C176-S$1&lt;År1,0,R175*(1-VLOOKUP($A176,[1]Hugst!$R$5:$W$9,MATCH(ROUNDUP((S$1)/10,0)*10,[1]Hugst!$R$4:$W$4,0))))</f>
        <v>69.73838040089737</v>
      </c>
      <c r="T176">
        <f ca="1">IF($C176-T$1&lt;År1,0,S175*(1-VLOOKUP($A176,[1]Hugst!$R$5:$W$9,MATCH(ROUNDUP((T$1)/10,0)*10,[1]Hugst!$R$4:$W$4,0))))</f>
        <v>69.893622299649508</v>
      </c>
      <c r="U176">
        <f ca="1">IF($C176-U$1&lt;År1,0,T175*(1-VLOOKUP($A176,[1]Hugst!$R$5:$W$9,MATCH(ROUNDUP((U$1)/10,0)*10,[1]Hugst!$R$4:$W$4,0))))</f>
        <v>70.049644308447569</v>
      </c>
      <c r="V176">
        <f ca="1">IF($C176-V$1&lt;År1,0,U175*(1-VLOOKUP($A176,[1]Hugst!$R$5:$W$9,MATCH(ROUNDUP((V$1)/10,0)*10,[1]Hugst!$R$4:$W$4,0))))</f>
        <v>70.206450347439187</v>
      </c>
      <c r="W176">
        <f ca="1">IF($C176-W$1&lt;År1,0,V175*(1-VLOOKUP($A176,[1]Hugst!$R$5:$W$9,MATCH(ROUNDUP((W$1)/10,0)*10,[1]Hugst!$R$4:$W$4,0))))</f>
        <v>70.364044356477635</v>
      </c>
      <c r="X176">
        <f ca="1">IF($C176-X$1&lt;År1,0,W175*(1-VLOOKUP($A176,[1]Hugst!$R$5:$W$9,MATCH(ROUNDUP((X$1)/10,0)*10,[1]Hugst!$R$4:$W$4,0))))</f>
        <v>70.522430295208849</v>
      </c>
      <c r="Y176">
        <f ca="1">IF($C176-Y$1&lt;År1,0,X175*(1-VLOOKUP($A176,[1]Hugst!$R$5:$W$9,MATCH(ROUNDUP((Y$1)/10,0)*10,[1]Hugst!$R$4:$W$4,0))))</f>
        <v>70.681612143180047</v>
      </c>
      <c r="Z176">
        <f>IF($C176-Z$1&lt;År1,0,Y175*(1-VLOOKUP($A176,[1]Hugst!$R$5:$W$9,MATCH(ROUNDUP((Z$1)/10,0)*10,[1]Hugst!$R$4:$W$4,0))))</f>
        <v>0</v>
      </c>
      <c r="AA176">
        <f>IF($C176-AA$1&lt;År1,0,Z175*(1-VLOOKUP($A176,[1]Hugst!$R$5:$W$9,MATCH(ROUNDUP((AA$1)/10,0)*10,[1]Hugst!$R$4:$W$4,0))))</f>
        <v>0</v>
      </c>
      <c r="AB176">
        <f>IF($C176-AB$1&lt;År1,0,AA175*(1-VLOOKUP($A176,[1]Hugst!$R$5:$W$9,MATCH(ROUNDUP((AB$1)/10,0)*10,[1]Hugst!$R$4:$W$4,0))))</f>
        <v>0</v>
      </c>
      <c r="AC176">
        <f>IF($C176-AC$1&lt;År1,0,AB175*(1-VLOOKUP($A176,[1]Hugst!$R$5:$W$9,MATCH(ROUNDUP((AC$1)/10,0)*10,[1]Hugst!$R$4:$W$4,0))))</f>
        <v>0</v>
      </c>
      <c r="AD176">
        <f>IF($C176-AD$1&lt;År1,0,AC175*(1-VLOOKUP($A176,[1]Hugst!$R$5:$W$9,MATCH(ROUNDUP((AD$1)/10,0)*10,[1]Hugst!$R$4:$W$4,0))))</f>
        <v>0</v>
      </c>
      <c r="AE176">
        <f>IF($C176-AE$1&lt;År1,0,AD175*(1-VLOOKUP($A176,[1]Hugst!$R$5:$W$9,MATCH(ROUNDUP((AE$1)/10,0)*10,[1]Hugst!$R$4:$W$4,0))))</f>
        <v>0</v>
      </c>
      <c r="AF176">
        <f>IF($C176-AF$1&lt;År1,0,AE175*(1-VLOOKUP($A176,[1]Hugst!$R$5:$W$9,MATCH(ROUNDUP((AF$1)/10,0)*10,[1]Hugst!$R$4:$W$4,0))))</f>
        <v>0</v>
      </c>
      <c r="AG176">
        <f>IF($C176-AG$1&lt;År1,0,AF175*(1-VLOOKUP($A176,[1]Hugst!$R$5:$W$9,MATCH(ROUNDUP((AG$1)/10,0)*10,[1]Hugst!$R$4:$W$4,0))))</f>
        <v>0</v>
      </c>
      <c r="AH176">
        <f>IF($C176-AH$1&lt;År1,0,AG175*(1-VLOOKUP($A176,[1]Hugst!$R$5:$W$9,MATCH(ROUNDUP((AH$1)/10,0)*10,[1]Hugst!$R$4:$W$4,0))))</f>
        <v>0</v>
      </c>
      <c r="AI176">
        <f>IF($C176-AI$1&lt;År1,0,AH175*(1-VLOOKUP($A176,[1]Hugst!$R$5:$W$9,MATCH(ROUNDUP((AI$1)/10,0)*10,[1]Hugst!$R$4:$W$4,0))))</f>
        <v>0</v>
      </c>
      <c r="AJ176">
        <f>IF($C176-AJ$1&lt;År1,0,AI175*(1-VLOOKUP($A176,[1]Hugst!$R$5:$W$9,MATCH(ROUNDUP((AJ$1)/10,0)*10,[1]Hugst!$R$4:$W$4,0))))</f>
        <v>0</v>
      </c>
    </row>
    <row r="177" spans="1:36" x14ac:dyDescent="0.25">
      <c r="A177" t="s">
        <v>178</v>
      </c>
      <c r="B177" t="s">
        <v>24</v>
      </c>
      <c r="C177">
        <v>2040</v>
      </c>
      <c r="D177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28.79951358884</v>
      </c>
      <c r="E177">
        <f t="shared" ca="1" si="3"/>
        <v>0</v>
      </c>
      <c r="F177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89.842037594326996</v>
      </c>
      <c r="G177">
        <f ca="1">IF($C177-G$1&lt;År1,0,F176*(1-VLOOKUP($A177,[1]Hugst!$R$5:$W$9,MATCH(ROUNDUP((G$1)/10,0)*10,[1]Hugst!$R$4:$W$4,0))))</f>
        <v>89.98675876813985</v>
      </c>
      <c r="H177">
        <f ca="1">IF($C177-H$1&lt;År1,0,G176*(1-VLOOKUP($A177,[1]Hugst!$R$5:$W$9,MATCH(ROUNDUP((H$1)/10,0)*10,[1]Hugst!$R$4:$W$4,0))))</f>
        <v>90.132207184033689</v>
      </c>
      <c r="I177">
        <f ca="1">IF($C177-I$1&lt;År1,0,H176*(1-VLOOKUP($A177,[1]Hugst!$R$5:$W$9,MATCH(ROUNDUP((I$1)/10,0)*10,[1]Hugst!$R$4:$W$4,0))))</f>
        <v>90.278386496488167</v>
      </c>
      <c r="J177">
        <f ca="1">IF($C177-J$1&lt;År1,0,I176*(1-VLOOKUP($A177,[1]Hugst!$R$5:$W$9,MATCH(ROUNDUP((J$1)/10,0)*10,[1]Hugst!$R$4:$W$4,0))))</f>
        <v>90.425300378352233</v>
      </c>
      <c r="K177">
        <f ca="1">IF($C177-K$1&lt;År1,0,J176*(1-VLOOKUP($A177,[1]Hugst!$R$5:$W$9,MATCH(ROUNDUP((K$1)/10,0)*10,[1]Hugst!$R$4:$W$4,0))))</f>
        <v>90.572952520930073</v>
      </c>
      <c r="L177">
        <f ca="1">IF($C177-L$1&lt;År1,0,K176*(1-VLOOKUP($A177,[1]Hugst!$R$5:$W$9,MATCH(ROUNDUP((L$1)/10,0)*10,[1]Hugst!$R$4:$W$4,0))))</f>
        <v>90.721346634072461</v>
      </c>
      <c r="M177">
        <f ca="1">IF($C177-M$1&lt;År1,0,L176*(1-VLOOKUP($A177,[1]Hugst!$R$5:$W$9,MATCH(ROUNDUP((M$1)/10,0)*10,[1]Hugst!$R$4:$W$4,0))))</f>
        <v>90.870486446276232</v>
      </c>
      <c r="N177">
        <f ca="1">IF($C177-N$1&lt;År1,0,M176*(1-VLOOKUP($A177,[1]Hugst!$R$5:$W$9,MATCH(ROUNDUP((N$1)/10,0)*10,[1]Hugst!$R$4:$W$4,0))))</f>
        <v>91.02037570477313</v>
      </c>
      <c r="O177">
        <f ca="1">IF($C177-O$1&lt;År1,0,N176*(1-VLOOKUP($A177,[1]Hugst!$R$5:$W$9,MATCH(ROUNDUP((O$1)/10,0)*10,[1]Hugst!$R$4:$W$4,0))))</f>
        <v>91.171018175622692</v>
      </c>
      <c r="P177">
        <f ca="1">IF($C177-P$1&lt;År1,0,O176*(1-VLOOKUP($A177,[1]Hugst!$R$5:$W$9,MATCH(ROUNDUP((P$1)/10,0)*10,[1]Hugst!$R$4:$W$4,0))))</f>
        <v>69.125136187275132</v>
      </c>
      <c r="Q177">
        <f ca="1">IF($C177-Q$1&lt;År1,0,P176*(1-VLOOKUP($A177,[1]Hugst!$R$5:$W$9,MATCH(ROUNDUP((Q$1)/10,0)*10,[1]Hugst!$R$4:$W$4,0))))</f>
        <v>69.277296456813701</v>
      </c>
      <c r="R177">
        <f ca="1">IF($C177-R$1&lt;År1,0,Q176*(1-VLOOKUP($A177,[1]Hugst!$R$5:$W$9,MATCH(ROUNDUP((R$1)/10,0)*10,[1]Hugst!$R$4:$W$4,0))))</f>
        <v>69.430221350823388</v>
      </c>
      <c r="S177">
        <f ca="1">IF($C177-S$1&lt;År1,0,R176*(1-VLOOKUP($A177,[1]Hugst!$R$5:$W$9,MATCH(ROUNDUP((S$1)/10,0)*10,[1]Hugst!$R$4:$W$4,0))))</f>
        <v>69.583914711636112</v>
      </c>
      <c r="T177">
        <f ca="1">IF($C177-T$1&lt;År1,0,S176*(1-VLOOKUP($A177,[1]Hugst!$R$5:$W$9,MATCH(ROUNDUP((T$1)/10,0)*10,[1]Hugst!$R$4:$W$4,0))))</f>
        <v>69.73838040089737</v>
      </c>
      <c r="U177">
        <f ca="1">IF($C177-U$1&lt;År1,0,T176*(1-VLOOKUP($A177,[1]Hugst!$R$5:$W$9,MATCH(ROUNDUP((U$1)/10,0)*10,[1]Hugst!$R$4:$W$4,0))))</f>
        <v>69.893622299649508</v>
      </c>
      <c r="V177">
        <f ca="1">IF($C177-V$1&lt;År1,0,U176*(1-VLOOKUP($A177,[1]Hugst!$R$5:$W$9,MATCH(ROUNDUP((V$1)/10,0)*10,[1]Hugst!$R$4:$W$4,0))))</f>
        <v>70.049644308447569</v>
      </c>
      <c r="W177">
        <f ca="1">IF($C177-W$1&lt;År1,0,V176*(1-VLOOKUP($A177,[1]Hugst!$R$5:$W$9,MATCH(ROUNDUP((W$1)/10,0)*10,[1]Hugst!$R$4:$W$4,0))))</f>
        <v>70.206450347439187</v>
      </c>
      <c r="X177">
        <f ca="1">IF($C177-X$1&lt;År1,0,W176*(1-VLOOKUP($A177,[1]Hugst!$R$5:$W$9,MATCH(ROUNDUP((X$1)/10,0)*10,[1]Hugst!$R$4:$W$4,0))))</f>
        <v>70.364044356477635</v>
      </c>
      <c r="Y177">
        <f ca="1">IF($C177-Y$1&lt;År1,0,X176*(1-VLOOKUP($A177,[1]Hugst!$R$5:$W$9,MATCH(ROUNDUP((Y$1)/10,0)*10,[1]Hugst!$R$4:$W$4,0))))</f>
        <v>70.522430295208849</v>
      </c>
      <c r="Z177">
        <f ca="1">IF($C177-Z$1&lt;År1,0,Y176*(1-VLOOKUP($A177,[1]Hugst!$R$5:$W$9,MATCH(ROUNDUP((Z$1)/10,0)*10,[1]Hugst!$R$4:$W$4,0))))</f>
        <v>70.681612143180047</v>
      </c>
      <c r="AA177">
        <f>IF($C177-AA$1&lt;År1,0,Z176*(1-VLOOKUP($A177,[1]Hugst!$R$5:$W$9,MATCH(ROUNDUP((AA$1)/10,0)*10,[1]Hugst!$R$4:$W$4,0))))</f>
        <v>0</v>
      </c>
      <c r="AB177">
        <f>IF($C177-AB$1&lt;År1,0,AA176*(1-VLOOKUP($A177,[1]Hugst!$R$5:$W$9,MATCH(ROUNDUP((AB$1)/10,0)*10,[1]Hugst!$R$4:$W$4,0))))</f>
        <v>0</v>
      </c>
      <c r="AC177">
        <f>IF($C177-AC$1&lt;År1,0,AB176*(1-VLOOKUP($A177,[1]Hugst!$R$5:$W$9,MATCH(ROUNDUP((AC$1)/10,0)*10,[1]Hugst!$R$4:$W$4,0))))</f>
        <v>0</v>
      </c>
      <c r="AD177">
        <f>IF($C177-AD$1&lt;År1,0,AC176*(1-VLOOKUP($A177,[1]Hugst!$R$5:$W$9,MATCH(ROUNDUP((AD$1)/10,0)*10,[1]Hugst!$R$4:$W$4,0))))</f>
        <v>0</v>
      </c>
      <c r="AE177">
        <f>IF($C177-AE$1&lt;År1,0,AD176*(1-VLOOKUP($A177,[1]Hugst!$R$5:$W$9,MATCH(ROUNDUP((AE$1)/10,0)*10,[1]Hugst!$R$4:$W$4,0))))</f>
        <v>0</v>
      </c>
      <c r="AF177">
        <f>IF($C177-AF$1&lt;År1,0,AE176*(1-VLOOKUP($A177,[1]Hugst!$R$5:$W$9,MATCH(ROUNDUP((AF$1)/10,0)*10,[1]Hugst!$R$4:$W$4,0))))</f>
        <v>0</v>
      </c>
      <c r="AG177">
        <f>IF($C177-AG$1&lt;År1,0,AF176*(1-VLOOKUP($A177,[1]Hugst!$R$5:$W$9,MATCH(ROUNDUP((AG$1)/10,0)*10,[1]Hugst!$R$4:$W$4,0))))</f>
        <v>0</v>
      </c>
      <c r="AH177">
        <f>IF($C177-AH$1&lt;År1,0,AG176*(1-VLOOKUP($A177,[1]Hugst!$R$5:$W$9,MATCH(ROUNDUP((AH$1)/10,0)*10,[1]Hugst!$R$4:$W$4,0))))</f>
        <v>0</v>
      </c>
      <c r="AI177">
        <f>IF($C177-AI$1&lt;År1,0,AH176*(1-VLOOKUP($A177,[1]Hugst!$R$5:$W$9,MATCH(ROUNDUP((AI$1)/10,0)*10,[1]Hugst!$R$4:$W$4,0))))</f>
        <v>0</v>
      </c>
      <c r="AJ177">
        <f>IF($C177-AJ$1&lt;År1,0,AI176*(1-VLOOKUP($A177,[1]Hugst!$R$5:$W$9,MATCH(ROUNDUP((AJ$1)/10,0)*10,[1]Hugst!$R$4:$W$4,0))))</f>
        <v>0</v>
      </c>
    </row>
    <row r="178" spans="1:36" x14ac:dyDescent="0.25">
      <c r="A178" t="s">
        <v>178</v>
      </c>
      <c r="B178" t="s">
        <v>24</v>
      </c>
      <c r="C178">
        <v>2041</v>
      </c>
      <c r="D17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28.65551602089613</v>
      </c>
      <c r="E178">
        <f t="shared" ca="1" si="3"/>
        <v>0</v>
      </c>
      <c r="F17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89.698040026383126</v>
      </c>
      <c r="G178">
        <f ca="1">IF($C178-G$1&lt;År1,0,F177*(1-VLOOKUP($A178,[1]Hugst!$R$5:$W$9,MATCH(ROUNDUP((G$1)/10,0)*10,[1]Hugst!$R$4:$W$4,0))))</f>
        <v>89.842037594326996</v>
      </c>
      <c r="H178">
        <f ca="1">IF($C178-H$1&lt;År1,0,G177*(1-VLOOKUP($A178,[1]Hugst!$R$5:$W$9,MATCH(ROUNDUP((H$1)/10,0)*10,[1]Hugst!$R$4:$W$4,0))))</f>
        <v>89.98675876813985</v>
      </c>
      <c r="I178">
        <f ca="1">IF($C178-I$1&lt;År1,0,H177*(1-VLOOKUP($A178,[1]Hugst!$R$5:$W$9,MATCH(ROUNDUP((I$1)/10,0)*10,[1]Hugst!$R$4:$W$4,0))))</f>
        <v>90.132207184033689</v>
      </c>
      <c r="J178">
        <f ca="1">IF($C178-J$1&lt;År1,0,I177*(1-VLOOKUP($A178,[1]Hugst!$R$5:$W$9,MATCH(ROUNDUP((J$1)/10,0)*10,[1]Hugst!$R$4:$W$4,0))))</f>
        <v>90.278386496488167</v>
      </c>
      <c r="K178">
        <f ca="1">IF($C178-K$1&lt;År1,0,J177*(1-VLOOKUP($A178,[1]Hugst!$R$5:$W$9,MATCH(ROUNDUP((K$1)/10,0)*10,[1]Hugst!$R$4:$W$4,0))))</f>
        <v>90.425300378352233</v>
      </c>
      <c r="L178">
        <f ca="1">IF($C178-L$1&lt;År1,0,K177*(1-VLOOKUP($A178,[1]Hugst!$R$5:$W$9,MATCH(ROUNDUP((L$1)/10,0)*10,[1]Hugst!$R$4:$W$4,0))))</f>
        <v>90.572952520930073</v>
      </c>
      <c r="M178">
        <f ca="1">IF($C178-M$1&lt;År1,0,L177*(1-VLOOKUP($A178,[1]Hugst!$R$5:$W$9,MATCH(ROUNDUP((M$1)/10,0)*10,[1]Hugst!$R$4:$W$4,0))))</f>
        <v>90.721346634072461</v>
      </c>
      <c r="N178">
        <f ca="1">IF($C178-N$1&lt;År1,0,M177*(1-VLOOKUP($A178,[1]Hugst!$R$5:$W$9,MATCH(ROUNDUP((N$1)/10,0)*10,[1]Hugst!$R$4:$W$4,0))))</f>
        <v>90.870486446276232</v>
      </c>
      <c r="O178">
        <f ca="1">IF($C178-O$1&lt;År1,0,N177*(1-VLOOKUP($A178,[1]Hugst!$R$5:$W$9,MATCH(ROUNDUP((O$1)/10,0)*10,[1]Hugst!$R$4:$W$4,0))))</f>
        <v>91.02037570477313</v>
      </c>
      <c r="P178">
        <f ca="1">IF($C178-P$1&lt;År1,0,O177*(1-VLOOKUP($A178,[1]Hugst!$R$5:$W$9,MATCH(ROUNDUP((P$1)/10,0)*10,[1]Hugst!$R$4:$W$4,0))))</f>
        <v>91.171018175622692</v>
      </c>
      <c r="Q178">
        <f ca="1">IF($C178-Q$1&lt;År1,0,P177*(1-VLOOKUP($A178,[1]Hugst!$R$5:$W$9,MATCH(ROUNDUP((Q$1)/10,0)*10,[1]Hugst!$R$4:$W$4,0))))</f>
        <v>69.125136187275132</v>
      </c>
      <c r="R178">
        <f ca="1">IF($C178-R$1&lt;År1,0,Q177*(1-VLOOKUP($A178,[1]Hugst!$R$5:$W$9,MATCH(ROUNDUP((R$1)/10,0)*10,[1]Hugst!$R$4:$W$4,0))))</f>
        <v>69.277296456813701</v>
      </c>
      <c r="S178">
        <f ca="1">IF($C178-S$1&lt;År1,0,R177*(1-VLOOKUP($A178,[1]Hugst!$R$5:$W$9,MATCH(ROUNDUP((S$1)/10,0)*10,[1]Hugst!$R$4:$W$4,0))))</f>
        <v>69.430221350823388</v>
      </c>
      <c r="T178">
        <f ca="1">IF($C178-T$1&lt;År1,0,S177*(1-VLOOKUP($A178,[1]Hugst!$R$5:$W$9,MATCH(ROUNDUP((T$1)/10,0)*10,[1]Hugst!$R$4:$W$4,0))))</f>
        <v>69.583914711636112</v>
      </c>
      <c r="U178">
        <f ca="1">IF($C178-U$1&lt;År1,0,T177*(1-VLOOKUP($A178,[1]Hugst!$R$5:$W$9,MATCH(ROUNDUP((U$1)/10,0)*10,[1]Hugst!$R$4:$W$4,0))))</f>
        <v>69.73838040089737</v>
      </c>
      <c r="V178">
        <f ca="1">IF($C178-V$1&lt;År1,0,U177*(1-VLOOKUP($A178,[1]Hugst!$R$5:$W$9,MATCH(ROUNDUP((V$1)/10,0)*10,[1]Hugst!$R$4:$W$4,0))))</f>
        <v>69.893622299649508</v>
      </c>
      <c r="W178">
        <f ca="1">IF($C178-W$1&lt;År1,0,V177*(1-VLOOKUP($A178,[1]Hugst!$R$5:$W$9,MATCH(ROUNDUP((W$1)/10,0)*10,[1]Hugst!$R$4:$W$4,0))))</f>
        <v>70.049644308447569</v>
      </c>
      <c r="X178">
        <f ca="1">IF($C178-X$1&lt;År1,0,W177*(1-VLOOKUP($A178,[1]Hugst!$R$5:$W$9,MATCH(ROUNDUP((X$1)/10,0)*10,[1]Hugst!$R$4:$W$4,0))))</f>
        <v>70.206450347439187</v>
      </c>
      <c r="Y178">
        <f ca="1">IF($C178-Y$1&lt;År1,0,X177*(1-VLOOKUP($A178,[1]Hugst!$R$5:$W$9,MATCH(ROUNDUP((Y$1)/10,0)*10,[1]Hugst!$R$4:$W$4,0))))</f>
        <v>70.364044356477635</v>
      </c>
      <c r="Z178">
        <f ca="1">IF($C178-Z$1&lt;År1,0,Y177*(1-VLOOKUP($A178,[1]Hugst!$R$5:$W$9,MATCH(ROUNDUP((Z$1)/10,0)*10,[1]Hugst!$R$4:$W$4,0))))</f>
        <v>70.522430295208849</v>
      </c>
      <c r="AA178">
        <f ca="1">IF($C178-AA$1&lt;År1,0,Z177*(1-VLOOKUP($A178,[1]Hugst!$R$5:$W$9,MATCH(ROUNDUP((AA$1)/10,0)*10,[1]Hugst!$R$4:$W$4,0))))</f>
        <v>70.681612143180047</v>
      </c>
      <c r="AB178">
        <f>IF($C178-AB$1&lt;År1,0,AA177*(1-VLOOKUP($A178,[1]Hugst!$R$5:$W$9,MATCH(ROUNDUP((AB$1)/10,0)*10,[1]Hugst!$R$4:$W$4,0))))</f>
        <v>0</v>
      </c>
      <c r="AC178">
        <f>IF($C178-AC$1&lt;År1,0,AB177*(1-VLOOKUP($A178,[1]Hugst!$R$5:$W$9,MATCH(ROUNDUP((AC$1)/10,0)*10,[1]Hugst!$R$4:$W$4,0))))</f>
        <v>0</v>
      </c>
      <c r="AD178">
        <f>IF($C178-AD$1&lt;År1,0,AC177*(1-VLOOKUP($A178,[1]Hugst!$R$5:$W$9,MATCH(ROUNDUP((AD$1)/10,0)*10,[1]Hugst!$R$4:$W$4,0))))</f>
        <v>0</v>
      </c>
      <c r="AE178">
        <f>IF($C178-AE$1&lt;År1,0,AD177*(1-VLOOKUP($A178,[1]Hugst!$R$5:$W$9,MATCH(ROUNDUP((AE$1)/10,0)*10,[1]Hugst!$R$4:$W$4,0))))</f>
        <v>0</v>
      </c>
      <c r="AF178">
        <f>IF($C178-AF$1&lt;År1,0,AE177*(1-VLOOKUP($A178,[1]Hugst!$R$5:$W$9,MATCH(ROUNDUP((AF$1)/10,0)*10,[1]Hugst!$R$4:$W$4,0))))</f>
        <v>0</v>
      </c>
      <c r="AG178">
        <f>IF($C178-AG$1&lt;År1,0,AF177*(1-VLOOKUP($A178,[1]Hugst!$R$5:$W$9,MATCH(ROUNDUP((AG$1)/10,0)*10,[1]Hugst!$R$4:$W$4,0))))</f>
        <v>0</v>
      </c>
      <c r="AH178">
        <f>IF($C178-AH$1&lt;År1,0,AG177*(1-VLOOKUP($A178,[1]Hugst!$R$5:$W$9,MATCH(ROUNDUP((AH$1)/10,0)*10,[1]Hugst!$R$4:$W$4,0))))</f>
        <v>0</v>
      </c>
      <c r="AI178">
        <f>IF($C178-AI$1&lt;År1,0,AH177*(1-VLOOKUP($A178,[1]Hugst!$R$5:$W$9,MATCH(ROUNDUP((AI$1)/10,0)*10,[1]Hugst!$R$4:$W$4,0))))</f>
        <v>0</v>
      </c>
      <c r="AJ178">
        <f>IF($C178-AJ$1&lt;År1,0,AI177*(1-VLOOKUP($A178,[1]Hugst!$R$5:$W$9,MATCH(ROUNDUP((AJ$1)/10,0)*10,[1]Hugst!$R$4:$W$4,0))))</f>
        <v>0</v>
      </c>
    </row>
    <row r="179" spans="1:36" x14ac:dyDescent="0.25">
      <c r="A179" t="s">
        <v>178</v>
      </c>
      <c r="B179" t="s">
        <v>24</v>
      </c>
      <c r="C179">
        <v>2042</v>
      </c>
      <c r="D179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28.512238440791407</v>
      </c>
      <c r="E179">
        <f t="shared" ca="1" si="3"/>
        <v>0</v>
      </c>
      <c r="F17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89.554762446278403</v>
      </c>
      <c r="G179">
        <f ca="1">IF($C179-G$1&lt;År1,0,F178*(1-VLOOKUP($A179,[1]Hugst!$R$5:$W$9,MATCH(ROUNDUP((G$1)/10,0)*10,[1]Hugst!$R$4:$W$4,0))))</f>
        <v>89.698040026383126</v>
      </c>
      <c r="H179">
        <f ca="1">IF($C179-H$1&lt;År1,0,G178*(1-VLOOKUP($A179,[1]Hugst!$R$5:$W$9,MATCH(ROUNDUP((H$1)/10,0)*10,[1]Hugst!$R$4:$W$4,0))))</f>
        <v>89.842037594326996</v>
      </c>
      <c r="I179">
        <f ca="1">IF($C179-I$1&lt;År1,0,H178*(1-VLOOKUP($A179,[1]Hugst!$R$5:$W$9,MATCH(ROUNDUP((I$1)/10,0)*10,[1]Hugst!$R$4:$W$4,0))))</f>
        <v>89.98675876813985</v>
      </c>
      <c r="J179">
        <f ca="1">IF($C179-J$1&lt;År1,0,I178*(1-VLOOKUP($A179,[1]Hugst!$R$5:$W$9,MATCH(ROUNDUP((J$1)/10,0)*10,[1]Hugst!$R$4:$W$4,0))))</f>
        <v>90.132207184033689</v>
      </c>
      <c r="K179">
        <f ca="1">IF($C179-K$1&lt;År1,0,J178*(1-VLOOKUP($A179,[1]Hugst!$R$5:$W$9,MATCH(ROUNDUP((K$1)/10,0)*10,[1]Hugst!$R$4:$W$4,0))))</f>
        <v>90.278386496488167</v>
      </c>
      <c r="L179">
        <f ca="1">IF($C179-L$1&lt;År1,0,K178*(1-VLOOKUP($A179,[1]Hugst!$R$5:$W$9,MATCH(ROUNDUP((L$1)/10,0)*10,[1]Hugst!$R$4:$W$4,0))))</f>
        <v>90.425300378352233</v>
      </c>
      <c r="M179">
        <f ca="1">IF($C179-M$1&lt;År1,0,L178*(1-VLOOKUP($A179,[1]Hugst!$R$5:$W$9,MATCH(ROUNDUP((M$1)/10,0)*10,[1]Hugst!$R$4:$W$4,0))))</f>
        <v>90.572952520930073</v>
      </c>
      <c r="N179">
        <f ca="1">IF($C179-N$1&lt;År1,0,M178*(1-VLOOKUP($A179,[1]Hugst!$R$5:$W$9,MATCH(ROUNDUP((N$1)/10,0)*10,[1]Hugst!$R$4:$W$4,0))))</f>
        <v>90.721346634072461</v>
      </c>
      <c r="O179">
        <f ca="1">IF($C179-O$1&lt;År1,0,N178*(1-VLOOKUP($A179,[1]Hugst!$R$5:$W$9,MATCH(ROUNDUP((O$1)/10,0)*10,[1]Hugst!$R$4:$W$4,0))))</f>
        <v>90.870486446276232</v>
      </c>
      <c r="P179">
        <f ca="1">IF($C179-P$1&lt;År1,0,O178*(1-VLOOKUP($A179,[1]Hugst!$R$5:$W$9,MATCH(ROUNDUP((P$1)/10,0)*10,[1]Hugst!$R$4:$W$4,0))))</f>
        <v>91.02037570477313</v>
      </c>
      <c r="Q179">
        <f ca="1">IF($C179-Q$1&lt;År1,0,P178*(1-VLOOKUP($A179,[1]Hugst!$R$5:$W$9,MATCH(ROUNDUP((Q$1)/10,0)*10,[1]Hugst!$R$4:$W$4,0))))</f>
        <v>91.171018175622692</v>
      </c>
      <c r="R179">
        <f ca="1">IF($C179-R$1&lt;År1,0,Q178*(1-VLOOKUP($A179,[1]Hugst!$R$5:$W$9,MATCH(ROUNDUP((R$1)/10,0)*10,[1]Hugst!$R$4:$W$4,0))))</f>
        <v>69.125136187275132</v>
      </c>
      <c r="S179">
        <f ca="1">IF($C179-S$1&lt;År1,0,R178*(1-VLOOKUP($A179,[1]Hugst!$R$5:$W$9,MATCH(ROUNDUP((S$1)/10,0)*10,[1]Hugst!$R$4:$W$4,0))))</f>
        <v>69.277296456813701</v>
      </c>
      <c r="T179">
        <f ca="1">IF($C179-T$1&lt;År1,0,S178*(1-VLOOKUP($A179,[1]Hugst!$R$5:$W$9,MATCH(ROUNDUP((T$1)/10,0)*10,[1]Hugst!$R$4:$W$4,0))))</f>
        <v>69.430221350823388</v>
      </c>
      <c r="U179">
        <f ca="1">IF($C179-U$1&lt;År1,0,T178*(1-VLOOKUP($A179,[1]Hugst!$R$5:$W$9,MATCH(ROUNDUP((U$1)/10,0)*10,[1]Hugst!$R$4:$W$4,0))))</f>
        <v>69.583914711636112</v>
      </c>
      <c r="V179">
        <f ca="1">IF($C179-V$1&lt;År1,0,U178*(1-VLOOKUP($A179,[1]Hugst!$R$5:$W$9,MATCH(ROUNDUP((V$1)/10,0)*10,[1]Hugst!$R$4:$W$4,0))))</f>
        <v>69.73838040089737</v>
      </c>
      <c r="W179">
        <f ca="1">IF($C179-W$1&lt;År1,0,V178*(1-VLOOKUP($A179,[1]Hugst!$R$5:$W$9,MATCH(ROUNDUP((W$1)/10,0)*10,[1]Hugst!$R$4:$W$4,0))))</f>
        <v>69.893622299649508</v>
      </c>
      <c r="X179">
        <f ca="1">IF($C179-X$1&lt;År1,0,W178*(1-VLOOKUP($A179,[1]Hugst!$R$5:$W$9,MATCH(ROUNDUP((X$1)/10,0)*10,[1]Hugst!$R$4:$W$4,0))))</f>
        <v>70.049644308447569</v>
      </c>
      <c r="Y179">
        <f ca="1">IF($C179-Y$1&lt;År1,0,X178*(1-VLOOKUP($A179,[1]Hugst!$R$5:$W$9,MATCH(ROUNDUP((Y$1)/10,0)*10,[1]Hugst!$R$4:$W$4,0))))</f>
        <v>70.206450347439187</v>
      </c>
      <c r="Z179">
        <f ca="1">IF($C179-Z$1&lt;År1,0,Y178*(1-VLOOKUP($A179,[1]Hugst!$R$5:$W$9,MATCH(ROUNDUP((Z$1)/10,0)*10,[1]Hugst!$R$4:$W$4,0))))</f>
        <v>70.364044356477635</v>
      </c>
      <c r="AA179">
        <f ca="1">IF($C179-AA$1&lt;År1,0,Z178*(1-VLOOKUP($A179,[1]Hugst!$R$5:$W$9,MATCH(ROUNDUP((AA$1)/10,0)*10,[1]Hugst!$R$4:$W$4,0))))</f>
        <v>70.522430295208849</v>
      </c>
      <c r="AB179">
        <f ca="1">IF($C179-AB$1&lt;År1,0,AA178*(1-VLOOKUP($A179,[1]Hugst!$R$5:$W$9,MATCH(ROUNDUP((AB$1)/10,0)*10,[1]Hugst!$R$4:$W$4,0))))</f>
        <v>70.681612143180047</v>
      </c>
      <c r="AC179">
        <f>IF($C179-AC$1&lt;År1,0,AB178*(1-VLOOKUP($A179,[1]Hugst!$R$5:$W$9,MATCH(ROUNDUP((AC$1)/10,0)*10,[1]Hugst!$R$4:$W$4,0))))</f>
        <v>0</v>
      </c>
      <c r="AD179">
        <f>IF($C179-AD$1&lt;År1,0,AC178*(1-VLOOKUP($A179,[1]Hugst!$R$5:$W$9,MATCH(ROUNDUP((AD$1)/10,0)*10,[1]Hugst!$R$4:$W$4,0))))</f>
        <v>0</v>
      </c>
      <c r="AE179">
        <f>IF($C179-AE$1&lt;År1,0,AD178*(1-VLOOKUP($A179,[1]Hugst!$R$5:$W$9,MATCH(ROUNDUP((AE$1)/10,0)*10,[1]Hugst!$R$4:$W$4,0))))</f>
        <v>0</v>
      </c>
      <c r="AF179">
        <f>IF($C179-AF$1&lt;År1,0,AE178*(1-VLOOKUP($A179,[1]Hugst!$R$5:$W$9,MATCH(ROUNDUP((AF$1)/10,0)*10,[1]Hugst!$R$4:$W$4,0))))</f>
        <v>0</v>
      </c>
      <c r="AG179">
        <f>IF($C179-AG$1&lt;År1,0,AF178*(1-VLOOKUP($A179,[1]Hugst!$R$5:$W$9,MATCH(ROUNDUP((AG$1)/10,0)*10,[1]Hugst!$R$4:$W$4,0))))</f>
        <v>0</v>
      </c>
      <c r="AH179">
        <f>IF($C179-AH$1&lt;År1,0,AG178*(1-VLOOKUP($A179,[1]Hugst!$R$5:$W$9,MATCH(ROUNDUP((AH$1)/10,0)*10,[1]Hugst!$R$4:$W$4,0))))</f>
        <v>0</v>
      </c>
      <c r="AI179">
        <f>IF($C179-AI$1&lt;År1,0,AH178*(1-VLOOKUP($A179,[1]Hugst!$R$5:$W$9,MATCH(ROUNDUP((AI$1)/10,0)*10,[1]Hugst!$R$4:$W$4,0))))</f>
        <v>0</v>
      </c>
      <c r="AJ179">
        <f>IF($C179-AJ$1&lt;År1,0,AI178*(1-VLOOKUP($A179,[1]Hugst!$R$5:$W$9,MATCH(ROUNDUP((AJ$1)/10,0)*10,[1]Hugst!$R$4:$W$4,0))))</f>
        <v>0</v>
      </c>
    </row>
    <row r="180" spans="1:36" x14ac:dyDescent="0.25">
      <c r="A180" t="s">
        <v>178</v>
      </c>
      <c r="B180" t="s">
        <v>24</v>
      </c>
      <c r="C180">
        <v>2043</v>
      </c>
      <c r="D180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28.369677248587664</v>
      </c>
      <c r="E180">
        <f t="shared" ca="1" si="3"/>
        <v>0</v>
      </c>
      <c r="F180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89.41220125407466</v>
      </c>
      <c r="G180">
        <f ca="1">IF($C180-G$1&lt;År1,0,F179*(1-VLOOKUP($A180,[1]Hugst!$R$5:$W$9,MATCH(ROUNDUP((G$1)/10,0)*10,[1]Hugst!$R$4:$W$4,0))))</f>
        <v>89.554762446278403</v>
      </c>
      <c r="H180">
        <f ca="1">IF($C180-H$1&lt;År1,0,G179*(1-VLOOKUP($A180,[1]Hugst!$R$5:$W$9,MATCH(ROUNDUP((H$1)/10,0)*10,[1]Hugst!$R$4:$W$4,0))))</f>
        <v>89.698040026383126</v>
      </c>
      <c r="I180">
        <f ca="1">IF($C180-I$1&lt;År1,0,H179*(1-VLOOKUP($A180,[1]Hugst!$R$5:$W$9,MATCH(ROUNDUP((I$1)/10,0)*10,[1]Hugst!$R$4:$W$4,0))))</f>
        <v>89.842037594326996</v>
      </c>
      <c r="J180">
        <f ca="1">IF($C180-J$1&lt;År1,0,I179*(1-VLOOKUP($A180,[1]Hugst!$R$5:$W$9,MATCH(ROUNDUP((J$1)/10,0)*10,[1]Hugst!$R$4:$W$4,0))))</f>
        <v>89.98675876813985</v>
      </c>
      <c r="K180">
        <f ca="1">IF($C180-K$1&lt;År1,0,J179*(1-VLOOKUP($A180,[1]Hugst!$R$5:$W$9,MATCH(ROUNDUP((K$1)/10,0)*10,[1]Hugst!$R$4:$W$4,0))))</f>
        <v>90.132207184033689</v>
      </c>
      <c r="L180">
        <f ca="1">IF($C180-L$1&lt;År1,0,K179*(1-VLOOKUP($A180,[1]Hugst!$R$5:$W$9,MATCH(ROUNDUP((L$1)/10,0)*10,[1]Hugst!$R$4:$W$4,0))))</f>
        <v>90.278386496488167</v>
      </c>
      <c r="M180">
        <f ca="1">IF($C180-M$1&lt;År1,0,L179*(1-VLOOKUP($A180,[1]Hugst!$R$5:$W$9,MATCH(ROUNDUP((M$1)/10,0)*10,[1]Hugst!$R$4:$W$4,0))))</f>
        <v>90.425300378352233</v>
      </c>
      <c r="N180">
        <f ca="1">IF($C180-N$1&lt;År1,0,M179*(1-VLOOKUP($A180,[1]Hugst!$R$5:$W$9,MATCH(ROUNDUP((N$1)/10,0)*10,[1]Hugst!$R$4:$W$4,0))))</f>
        <v>90.572952520930073</v>
      </c>
      <c r="O180">
        <f ca="1">IF($C180-O$1&lt;År1,0,N179*(1-VLOOKUP($A180,[1]Hugst!$R$5:$W$9,MATCH(ROUNDUP((O$1)/10,0)*10,[1]Hugst!$R$4:$W$4,0))))</f>
        <v>90.721346634072461</v>
      </c>
      <c r="P180">
        <f ca="1">IF($C180-P$1&lt;År1,0,O179*(1-VLOOKUP($A180,[1]Hugst!$R$5:$W$9,MATCH(ROUNDUP((P$1)/10,0)*10,[1]Hugst!$R$4:$W$4,0))))</f>
        <v>90.870486446276232</v>
      </c>
      <c r="Q180">
        <f ca="1">IF($C180-Q$1&lt;År1,0,P179*(1-VLOOKUP($A180,[1]Hugst!$R$5:$W$9,MATCH(ROUNDUP((Q$1)/10,0)*10,[1]Hugst!$R$4:$W$4,0))))</f>
        <v>91.02037570477313</v>
      </c>
      <c r="R180">
        <f ca="1">IF($C180-R$1&lt;År1,0,Q179*(1-VLOOKUP($A180,[1]Hugst!$R$5:$W$9,MATCH(ROUNDUP((R$1)/10,0)*10,[1]Hugst!$R$4:$W$4,0))))</f>
        <v>91.171018175622692</v>
      </c>
      <c r="S180">
        <f ca="1">IF($C180-S$1&lt;År1,0,R179*(1-VLOOKUP($A180,[1]Hugst!$R$5:$W$9,MATCH(ROUNDUP((S$1)/10,0)*10,[1]Hugst!$R$4:$W$4,0))))</f>
        <v>69.125136187275132</v>
      </c>
      <c r="T180">
        <f ca="1">IF($C180-T$1&lt;År1,0,S179*(1-VLOOKUP($A180,[1]Hugst!$R$5:$W$9,MATCH(ROUNDUP((T$1)/10,0)*10,[1]Hugst!$R$4:$W$4,0))))</f>
        <v>69.277296456813701</v>
      </c>
      <c r="U180">
        <f ca="1">IF($C180-U$1&lt;År1,0,T179*(1-VLOOKUP($A180,[1]Hugst!$R$5:$W$9,MATCH(ROUNDUP((U$1)/10,0)*10,[1]Hugst!$R$4:$W$4,0))))</f>
        <v>69.430221350823388</v>
      </c>
      <c r="V180">
        <f ca="1">IF($C180-V$1&lt;År1,0,U179*(1-VLOOKUP($A180,[1]Hugst!$R$5:$W$9,MATCH(ROUNDUP((V$1)/10,0)*10,[1]Hugst!$R$4:$W$4,0))))</f>
        <v>69.583914711636112</v>
      </c>
      <c r="W180">
        <f ca="1">IF($C180-W$1&lt;År1,0,V179*(1-VLOOKUP($A180,[1]Hugst!$R$5:$W$9,MATCH(ROUNDUP((W$1)/10,0)*10,[1]Hugst!$R$4:$W$4,0))))</f>
        <v>69.73838040089737</v>
      </c>
      <c r="X180">
        <f ca="1">IF($C180-X$1&lt;År1,0,W179*(1-VLOOKUP($A180,[1]Hugst!$R$5:$W$9,MATCH(ROUNDUP((X$1)/10,0)*10,[1]Hugst!$R$4:$W$4,0))))</f>
        <v>69.893622299649508</v>
      </c>
      <c r="Y180">
        <f ca="1">IF($C180-Y$1&lt;År1,0,X179*(1-VLOOKUP($A180,[1]Hugst!$R$5:$W$9,MATCH(ROUNDUP((Y$1)/10,0)*10,[1]Hugst!$R$4:$W$4,0))))</f>
        <v>70.049644308447569</v>
      </c>
      <c r="Z180">
        <f ca="1">IF($C180-Z$1&lt;År1,0,Y179*(1-VLOOKUP($A180,[1]Hugst!$R$5:$W$9,MATCH(ROUNDUP((Z$1)/10,0)*10,[1]Hugst!$R$4:$W$4,0))))</f>
        <v>70.206450347439187</v>
      </c>
      <c r="AA180">
        <f ca="1">IF($C180-AA$1&lt;År1,0,Z179*(1-VLOOKUP($A180,[1]Hugst!$R$5:$W$9,MATCH(ROUNDUP((AA$1)/10,0)*10,[1]Hugst!$R$4:$W$4,0))))</f>
        <v>70.364044356477635</v>
      </c>
      <c r="AB180">
        <f ca="1">IF($C180-AB$1&lt;År1,0,AA179*(1-VLOOKUP($A180,[1]Hugst!$R$5:$W$9,MATCH(ROUNDUP((AB$1)/10,0)*10,[1]Hugst!$R$4:$W$4,0))))</f>
        <v>70.522430295208849</v>
      </c>
      <c r="AC180">
        <f ca="1">IF($C180-AC$1&lt;År1,0,AB179*(1-VLOOKUP($A180,[1]Hugst!$R$5:$W$9,MATCH(ROUNDUP((AC$1)/10,0)*10,[1]Hugst!$R$4:$W$4,0))))</f>
        <v>70.681612143180047</v>
      </c>
      <c r="AD180">
        <f>IF($C180-AD$1&lt;År1,0,AC179*(1-VLOOKUP($A180,[1]Hugst!$R$5:$W$9,MATCH(ROUNDUP((AD$1)/10,0)*10,[1]Hugst!$R$4:$W$4,0))))</f>
        <v>0</v>
      </c>
      <c r="AE180">
        <f>IF($C180-AE$1&lt;År1,0,AD179*(1-VLOOKUP($A180,[1]Hugst!$R$5:$W$9,MATCH(ROUNDUP((AE$1)/10,0)*10,[1]Hugst!$R$4:$W$4,0))))</f>
        <v>0</v>
      </c>
      <c r="AF180">
        <f>IF($C180-AF$1&lt;År1,0,AE179*(1-VLOOKUP($A180,[1]Hugst!$R$5:$W$9,MATCH(ROUNDUP((AF$1)/10,0)*10,[1]Hugst!$R$4:$W$4,0))))</f>
        <v>0</v>
      </c>
      <c r="AG180">
        <f>IF($C180-AG$1&lt;År1,0,AF179*(1-VLOOKUP($A180,[1]Hugst!$R$5:$W$9,MATCH(ROUNDUP((AG$1)/10,0)*10,[1]Hugst!$R$4:$W$4,0))))</f>
        <v>0</v>
      </c>
      <c r="AH180">
        <f>IF($C180-AH$1&lt;År1,0,AG179*(1-VLOOKUP($A180,[1]Hugst!$R$5:$W$9,MATCH(ROUNDUP((AH$1)/10,0)*10,[1]Hugst!$R$4:$W$4,0))))</f>
        <v>0</v>
      </c>
      <c r="AI180">
        <f>IF($C180-AI$1&lt;År1,0,AH179*(1-VLOOKUP($A180,[1]Hugst!$R$5:$W$9,MATCH(ROUNDUP((AI$1)/10,0)*10,[1]Hugst!$R$4:$W$4,0))))</f>
        <v>0</v>
      </c>
      <c r="AJ180">
        <f>IF($C180-AJ$1&lt;År1,0,AI179*(1-VLOOKUP($A180,[1]Hugst!$R$5:$W$9,MATCH(ROUNDUP((AJ$1)/10,0)*10,[1]Hugst!$R$4:$W$4,0))))</f>
        <v>0</v>
      </c>
    </row>
    <row r="181" spans="1:36" x14ac:dyDescent="0.25">
      <c r="A181" t="s">
        <v>178</v>
      </c>
      <c r="B181" t="s">
        <v>24</v>
      </c>
      <c r="C181">
        <v>2044</v>
      </c>
      <c r="D181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28.227828862344154</v>
      </c>
      <c r="E181">
        <f t="shared" ca="1" si="3"/>
        <v>0</v>
      </c>
      <c r="F181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89.27035286783115</v>
      </c>
      <c r="G181">
        <f ca="1">IF($C181-G$1&lt;År1,0,F180*(1-VLOOKUP($A181,[1]Hugst!$R$5:$W$9,MATCH(ROUNDUP((G$1)/10,0)*10,[1]Hugst!$R$4:$W$4,0))))</f>
        <v>89.41220125407466</v>
      </c>
      <c r="H181">
        <f ca="1">IF($C181-H$1&lt;År1,0,G180*(1-VLOOKUP($A181,[1]Hugst!$R$5:$W$9,MATCH(ROUNDUP((H$1)/10,0)*10,[1]Hugst!$R$4:$W$4,0))))</f>
        <v>89.554762446278403</v>
      </c>
      <c r="I181">
        <f ca="1">IF($C181-I$1&lt;År1,0,H180*(1-VLOOKUP($A181,[1]Hugst!$R$5:$W$9,MATCH(ROUNDUP((I$1)/10,0)*10,[1]Hugst!$R$4:$W$4,0))))</f>
        <v>89.698040026383126</v>
      </c>
      <c r="J181">
        <f ca="1">IF($C181-J$1&lt;År1,0,I180*(1-VLOOKUP($A181,[1]Hugst!$R$5:$W$9,MATCH(ROUNDUP((J$1)/10,0)*10,[1]Hugst!$R$4:$W$4,0))))</f>
        <v>89.842037594326996</v>
      </c>
      <c r="K181">
        <f ca="1">IF($C181-K$1&lt;År1,0,J180*(1-VLOOKUP($A181,[1]Hugst!$R$5:$W$9,MATCH(ROUNDUP((K$1)/10,0)*10,[1]Hugst!$R$4:$W$4,0))))</f>
        <v>89.98675876813985</v>
      </c>
      <c r="L181">
        <f ca="1">IF($C181-L$1&lt;År1,0,K180*(1-VLOOKUP($A181,[1]Hugst!$R$5:$W$9,MATCH(ROUNDUP((L$1)/10,0)*10,[1]Hugst!$R$4:$W$4,0))))</f>
        <v>90.132207184033689</v>
      </c>
      <c r="M181">
        <f ca="1">IF($C181-M$1&lt;År1,0,L180*(1-VLOOKUP($A181,[1]Hugst!$R$5:$W$9,MATCH(ROUNDUP((M$1)/10,0)*10,[1]Hugst!$R$4:$W$4,0))))</f>
        <v>90.278386496488167</v>
      </c>
      <c r="N181">
        <f ca="1">IF($C181-N$1&lt;År1,0,M180*(1-VLOOKUP($A181,[1]Hugst!$R$5:$W$9,MATCH(ROUNDUP((N$1)/10,0)*10,[1]Hugst!$R$4:$W$4,0))))</f>
        <v>90.425300378352233</v>
      </c>
      <c r="O181">
        <f ca="1">IF($C181-O$1&lt;År1,0,N180*(1-VLOOKUP($A181,[1]Hugst!$R$5:$W$9,MATCH(ROUNDUP((O$1)/10,0)*10,[1]Hugst!$R$4:$W$4,0))))</f>
        <v>90.572952520930073</v>
      </c>
      <c r="P181">
        <f ca="1">IF($C181-P$1&lt;År1,0,O180*(1-VLOOKUP($A181,[1]Hugst!$R$5:$W$9,MATCH(ROUNDUP((P$1)/10,0)*10,[1]Hugst!$R$4:$W$4,0))))</f>
        <v>90.721346634072461</v>
      </c>
      <c r="Q181">
        <f ca="1">IF($C181-Q$1&lt;År1,0,P180*(1-VLOOKUP($A181,[1]Hugst!$R$5:$W$9,MATCH(ROUNDUP((Q$1)/10,0)*10,[1]Hugst!$R$4:$W$4,0))))</f>
        <v>90.870486446276232</v>
      </c>
      <c r="R181">
        <f ca="1">IF($C181-R$1&lt;År1,0,Q180*(1-VLOOKUP($A181,[1]Hugst!$R$5:$W$9,MATCH(ROUNDUP((R$1)/10,0)*10,[1]Hugst!$R$4:$W$4,0))))</f>
        <v>91.02037570477313</v>
      </c>
      <c r="S181">
        <f ca="1">IF($C181-S$1&lt;År1,0,R180*(1-VLOOKUP($A181,[1]Hugst!$R$5:$W$9,MATCH(ROUNDUP((S$1)/10,0)*10,[1]Hugst!$R$4:$W$4,0))))</f>
        <v>91.171018175622692</v>
      </c>
      <c r="T181">
        <f ca="1">IF($C181-T$1&lt;År1,0,S180*(1-VLOOKUP($A181,[1]Hugst!$R$5:$W$9,MATCH(ROUNDUP((T$1)/10,0)*10,[1]Hugst!$R$4:$W$4,0))))</f>
        <v>69.125136187275132</v>
      </c>
      <c r="U181">
        <f ca="1">IF($C181-U$1&lt;År1,0,T180*(1-VLOOKUP($A181,[1]Hugst!$R$5:$W$9,MATCH(ROUNDUP((U$1)/10,0)*10,[1]Hugst!$R$4:$W$4,0))))</f>
        <v>69.277296456813701</v>
      </c>
      <c r="V181">
        <f ca="1">IF($C181-V$1&lt;År1,0,U180*(1-VLOOKUP($A181,[1]Hugst!$R$5:$W$9,MATCH(ROUNDUP((V$1)/10,0)*10,[1]Hugst!$R$4:$W$4,0))))</f>
        <v>69.430221350823388</v>
      </c>
      <c r="W181">
        <f ca="1">IF($C181-W$1&lt;År1,0,V180*(1-VLOOKUP($A181,[1]Hugst!$R$5:$W$9,MATCH(ROUNDUP((W$1)/10,0)*10,[1]Hugst!$R$4:$W$4,0))))</f>
        <v>69.583914711636112</v>
      </c>
      <c r="X181">
        <f ca="1">IF($C181-X$1&lt;År1,0,W180*(1-VLOOKUP($A181,[1]Hugst!$R$5:$W$9,MATCH(ROUNDUP((X$1)/10,0)*10,[1]Hugst!$R$4:$W$4,0))))</f>
        <v>69.73838040089737</v>
      </c>
      <c r="Y181">
        <f ca="1">IF($C181-Y$1&lt;År1,0,X180*(1-VLOOKUP($A181,[1]Hugst!$R$5:$W$9,MATCH(ROUNDUP((Y$1)/10,0)*10,[1]Hugst!$R$4:$W$4,0))))</f>
        <v>69.893622299649508</v>
      </c>
      <c r="Z181">
        <f ca="1">IF($C181-Z$1&lt;År1,0,Y180*(1-VLOOKUP($A181,[1]Hugst!$R$5:$W$9,MATCH(ROUNDUP((Z$1)/10,0)*10,[1]Hugst!$R$4:$W$4,0))))</f>
        <v>70.049644308447569</v>
      </c>
      <c r="AA181">
        <f ca="1">IF($C181-AA$1&lt;År1,0,Z180*(1-VLOOKUP($A181,[1]Hugst!$R$5:$W$9,MATCH(ROUNDUP((AA$1)/10,0)*10,[1]Hugst!$R$4:$W$4,0))))</f>
        <v>70.206450347439187</v>
      </c>
      <c r="AB181">
        <f ca="1">IF($C181-AB$1&lt;År1,0,AA180*(1-VLOOKUP($A181,[1]Hugst!$R$5:$W$9,MATCH(ROUNDUP((AB$1)/10,0)*10,[1]Hugst!$R$4:$W$4,0))))</f>
        <v>70.364044356477635</v>
      </c>
      <c r="AC181">
        <f ca="1">IF($C181-AC$1&lt;År1,0,AB180*(1-VLOOKUP($A181,[1]Hugst!$R$5:$W$9,MATCH(ROUNDUP((AC$1)/10,0)*10,[1]Hugst!$R$4:$W$4,0))))</f>
        <v>70.522430295208849</v>
      </c>
      <c r="AD181">
        <f ca="1">IF($C181-AD$1&lt;År1,0,AC180*(1-VLOOKUP($A181,[1]Hugst!$R$5:$W$9,MATCH(ROUNDUP((AD$1)/10,0)*10,[1]Hugst!$R$4:$W$4,0))))</f>
        <v>70.681612143180047</v>
      </c>
      <c r="AE181">
        <f>IF($C181-AE$1&lt;År1,0,AD180*(1-VLOOKUP($A181,[1]Hugst!$R$5:$W$9,MATCH(ROUNDUP((AE$1)/10,0)*10,[1]Hugst!$R$4:$W$4,0))))</f>
        <v>0</v>
      </c>
      <c r="AF181">
        <f>IF($C181-AF$1&lt;År1,0,AE180*(1-VLOOKUP($A181,[1]Hugst!$R$5:$W$9,MATCH(ROUNDUP((AF$1)/10,0)*10,[1]Hugst!$R$4:$W$4,0))))</f>
        <v>0</v>
      </c>
      <c r="AG181">
        <f>IF($C181-AG$1&lt;År1,0,AF180*(1-VLOOKUP($A181,[1]Hugst!$R$5:$W$9,MATCH(ROUNDUP((AG$1)/10,0)*10,[1]Hugst!$R$4:$W$4,0))))</f>
        <v>0</v>
      </c>
      <c r="AH181">
        <f>IF($C181-AH$1&lt;År1,0,AG180*(1-VLOOKUP($A181,[1]Hugst!$R$5:$W$9,MATCH(ROUNDUP((AH$1)/10,0)*10,[1]Hugst!$R$4:$W$4,0))))</f>
        <v>0</v>
      </c>
      <c r="AI181">
        <f>IF($C181-AI$1&lt;År1,0,AH180*(1-VLOOKUP($A181,[1]Hugst!$R$5:$W$9,MATCH(ROUNDUP((AI$1)/10,0)*10,[1]Hugst!$R$4:$W$4,0))))</f>
        <v>0</v>
      </c>
      <c r="AJ181">
        <f>IF($C181-AJ$1&lt;År1,0,AI180*(1-VLOOKUP($A181,[1]Hugst!$R$5:$W$9,MATCH(ROUNDUP((AJ$1)/10,0)*10,[1]Hugst!$R$4:$W$4,0))))</f>
        <v>0</v>
      </c>
    </row>
    <row r="182" spans="1:36" x14ac:dyDescent="0.25">
      <c r="A182" t="s">
        <v>178</v>
      </c>
      <c r="B182" t="s">
        <v>24</v>
      </c>
      <c r="C182">
        <v>2045</v>
      </c>
      <c r="D182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28.086689718032744</v>
      </c>
      <c r="E182">
        <f t="shared" ca="1" si="3"/>
        <v>0</v>
      </c>
      <c r="F182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89.12921372351974</v>
      </c>
      <c r="G182">
        <f ca="1">IF($C182-G$1&lt;År1,0,F181*(1-VLOOKUP($A182,[1]Hugst!$R$5:$W$9,MATCH(ROUNDUP((G$1)/10,0)*10,[1]Hugst!$R$4:$W$4,0))))</f>
        <v>89.27035286783115</v>
      </c>
      <c r="H182">
        <f ca="1">IF($C182-H$1&lt;År1,0,G181*(1-VLOOKUP($A182,[1]Hugst!$R$5:$W$9,MATCH(ROUNDUP((H$1)/10,0)*10,[1]Hugst!$R$4:$W$4,0))))</f>
        <v>89.41220125407466</v>
      </c>
      <c r="I182">
        <f ca="1">IF($C182-I$1&lt;År1,0,H181*(1-VLOOKUP($A182,[1]Hugst!$R$5:$W$9,MATCH(ROUNDUP((I$1)/10,0)*10,[1]Hugst!$R$4:$W$4,0))))</f>
        <v>89.554762446278403</v>
      </c>
      <c r="J182">
        <f ca="1">IF($C182-J$1&lt;År1,0,I181*(1-VLOOKUP($A182,[1]Hugst!$R$5:$W$9,MATCH(ROUNDUP((J$1)/10,0)*10,[1]Hugst!$R$4:$W$4,0))))</f>
        <v>89.698040026383126</v>
      </c>
      <c r="K182">
        <f ca="1">IF($C182-K$1&lt;År1,0,J181*(1-VLOOKUP($A182,[1]Hugst!$R$5:$W$9,MATCH(ROUNDUP((K$1)/10,0)*10,[1]Hugst!$R$4:$W$4,0))))</f>
        <v>89.842037594326996</v>
      </c>
      <c r="L182">
        <f ca="1">IF($C182-L$1&lt;År1,0,K181*(1-VLOOKUP($A182,[1]Hugst!$R$5:$W$9,MATCH(ROUNDUP((L$1)/10,0)*10,[1]Hugst!$R$4:$W$4,0))))</f>
        <v>89.98675876813985</v>
      </c>
      <c r="M182">
        <f ca="1">IF($C182-M$1&lt;År1,0,L181*(1-VLOOKUP($A182,[1]Hugst!$R$5:$W$9,MATCH(ROUNDUP((M$1)/10,0)*10,[1]Hugst!$R$4:$W$4,0))))</f>
        <v>90.132207184033689</v>
      </c>
      <c r="N182">
        <f ca="1">IF($C182-N$1&lt;År1,0,M181*(1-VLOOKUP($A182,[1]Hugst!$R$5:$W$9,MATCH(ROUNDUP((N$1)/10,0)*10,[1]Hugst!$R$4:$W$4,0))))</f>
        <v>90.278386496488167</v>
      </c>
      <c r="O182">
        <f ca="1">IF($C182-O$1&lt;År1,0,N181*(1-VLOOKUP($A182,[1]Hugst!$R$5:$W$9,MATCH(ROUNDUP((O$1)/10,0)*10,[1]Hugst!$R$4:$W$4,0))))</f>
        <v>90.425300378352233</v>
      </c>
      <c r="P182">
        <f ca="1">IF($C182-P$1&lt;År1,0,O181*(1-VLOOKUP($A182,[1]Hugst!$R$5:$W$9,MATCH(ROUNDUP((P$1)/10,0)*10,[1]Hugst!$R$4:$W$4,0))))</f>
        <v>90.572952520930073</v>
      </c>
      <c r="Q182">
        <f ca="1">IF($C182-Q$1&lt;År1,0,P181*(1-VLOOKUP($A182,[1]Hugst!$R$5:$W$9,MATCH(ROUNDUP((Q$1)/10,0)*10,[1]Hugst!$R$4:$W$4,0))))</f>
        <v>90.721346634072461</v>
      </c>
      <c r="R182">
        <f ca="1">IF($C182-R$1&lt;År1,0,Q181*(1-VLOOKUP($A182,[1]Hugst!$R$5:$W$9,MATCH(ROUNDUP((R$1)/10,0)*10,[1]Hugst!$R$4:$W$4,0))))</f>
        <v>90.870486446276232</v>
      </c>
      <c r="S182">
        <f ca="1">IF($C182-S$1&lt;År1,0,R181*(1-VLOOKUP($A182,[1]Hugst!$R$5:$W$9,MATCH(ROUNDUP((S$1)/10,0)*10,[1]Hugst!$R$4:$W$4,0))))</f>
        <v>91.02037570477313</v>
      </c>
      <c r="T182">
        <f ca="1">IF($C182-T$1&lt;År1,0,S181*(1-VLOOKUP($A182,[1]Hugst!$R$5:$W$9,MATCH(ROUNDUP((T$1)/10,0)*10,[1]Hugst!$R$4:$W$4,0))))</f>
        <v>91.171018175622692</v>
      </c>
      <c r="U182">
        <f ca="1">IF($C182-U$1&lt;År1,0,T181*(1-VLOOKUP($A182,[1]Hugst!$R$5:$W$9,MATCH(ROUNDUP((U$1)/10,0)*10,[1]Hugst!$R$4:$W$4,0))))</f>
        <v>69.125136187275132</v>
      </c>
      <c r="V182">
        <f ca="1">IF($C182-V$1&lt;År1,0,U181*(1-VLOOKUP($A182,[1]Hugst!$R$5:$W$9,MATCH(ROUNDUP((V$1)/10,0)*10,[1]Hugst!$R$4:$W$4,0))))</f>
        <v>69.277296456813701</v>
      </c>
      <c r="W182">
        <f ca="1">IF($C182-W$1&lt;År1,0,V181*(1-VLOOKUP($A182,[1]Hugst!$R$5:$W$9,MATCH(ROUNDUP((W$1)/10,0)*10,[1]Hugst!$R$4:$W$4,0))))</f>
        <v>69.430221350823388</v>
      </c>
      <c r="X182">
        <f ca="1">IF($C182-X$1&lt;År1,0,W181*(1-VLOOKUP($A182,[1]Hugst!$R$5:$W$9,MATCH(ROUNDUP((X$1)/10,0)*10,[1]Hugst!$R$4:$W$4,0))))</f>
        <v>69.583914711636112</v>
      </c>
      <c r="Y182">
        <f ca="1">IF($C182-Y$1&lt;År1,0,X181*(1-VLOOKUP($A182,[1]Hugst!$R$5:$W$9,MATCH(ROUNDUP((Y$1)/10,0)*10,[1]Hugst!$R$4:$W$4,0))))</f>
        <v>69.73838040089737</v>
      </c>
      <c r="Z182">
        <f ca="1">IF($C182-Z$1&lt;År1,0,Y181*(1-VLOOKUP($A182,[1]Hugst!$R$5:$W$9,MATCH(ROUNDUP((Z$1)/10,0)*10,[1]Hugst!$R$4:$W$4,0))))</f>
        <v>69.893622299649508</v>
      </c>
      <c r="AA182">
        <f ca="1">IF($C182-AA$1&lt;År1,0,Z181*(1-VLOOKUP($A182,[1]Hugst!$R$5:$W$9,MATCH(ROUNDUP((AA$1)/10,0)*10,[1]Hugst!$R$4:$W$4,0))))</f>
        <v>70.049644308447569</v>
      </c>
      <c r="AB182">
        <f ca="1">IF($C182-AB$1&lt;År1,0,AA181*(1-VLOOKUP($A182,[1]Hugst!$R$5:$W$9,MATCH(ROUNDUP((AB$1)/10,0)*10,[1]Hugst!$R$4:$W$4,0))))</f>
        <v>70.206450347439187</v>
      </c>
      <c r="AC182">
        <f ca="1">IF($C182-AC$1&lt;År1,0,AB181*(1-VLOOKUP($A182,[1]Hugst!$R$5:$W$9,MATCH(ROUNDUP((AC$1)/10,0)*10,[1]Hugst!$R$4:$W$4,0))))</f>
        <v>70.364044356477635</v>
      </c>
      <c r="AD182">
        <f ca="1">IF($C182-AD$1&lt;År1,0,AC181*(1-VLOOKUP($A182,[1]Hugst!$R$5:$W$9,MATCH(ROUNDUP((AD$1)/10,0)*10,[1]Hugst!$R$4:$W$4,0))))</f>
        <v>70.522430295208849</v>
      </c>
      <c r="AE182">
        <f ca="1">IF($C182-AE$1&lt;År1,0,AD181*(1-VLOOKUP($A182,[1]Hugst!$R$5:$W$9,MATCH(ROUNDUP((AE$1)/10,0)*10,[1]Hugst!$R$4:$W$4,0))))</f>
        <v>70.681612143180047</v>
      </c>
      <c r="AF182">
        <f>IF($C182-AF$1&lt;År1,0,AE181*(1-VLOOKUP($A182,[1]Hugst!$R$5:$W$9,MATCH(ROUNDUP((AF$1)/10,0)*10,[1]Hugst!$R$4:$W$4,0))))</f>
        <v>0</v>
      </c>
      <c r="AG182">
        <f>IF($C182-AG$1&lt;År1,0,AF181*(1-VLOOKUP($A182,[1]Hugst!$R$5:$W$9,MATCH(ROUNDUP((AG$1)/10,0)*10,[1]Hugst!$R$4:$W$4,0))))</f>
        <v>0</v>
      </c>
      <c r="AH182">
        <f>IF($C182-AH$1&lt;År1,0,AG181*(1-VLOOKUP($A182,[1]Hugst!$R$5:$W$9,MATCH(ROUNDUP((AH$1)/10,0)*10,[1]Hugst!$R$4:$W$4,0))))</f>
        <v>0</v>
      </c>
      <c r="AI182">
        <f>IF($C182-AI$1&lt;År1,0,AH181*(1-VLOOKUP($A182,[1]Hugst!$R$5:$W$9,MATCH(ROUNDUP((AI$1)/10,0)*10,[1]Hugst!$R$4:$W$4,0))))</f>
        <v>0</v>
      </c>
      <c r="AJ182">
        <f>IF($C182-AJ$1&lt;År1,0,AI181*(1-VLOOKUP($A182,[1]Hugst!$R$5:$W$9,MATCH(ROUNDUP((AJ$1)/10,0)*10,[1]Hugst!$R$4:$W$4,0))))</f>
        <v>0</v>
      </c>
    </row>
    <row r="183" spans="1:36" x14ac:dyDescent="0.25">
      <c r="A183" t="s">
        <v>178</v>
      </c>
      <c r="B183" t="s">
        <v>24</v>
      </c>
      <c r="C183">
        <v>2046</v>
      </c>
      <c r="D183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27.946256269443325</v>
      </c>
      <c r="E183">
        <f t="shared" ca="1" si="3"/>
        <v>0</v>
      </c>
      <c r="F183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88.988780274930321</v>
      </c>
      <c r="G183">
        <f ca="1">IF($C183-G$1&lt;År1,0,F182*(1-VLOOKUP($A183,[1]Hugst!$R$5:$W$9,MATCH(ROUNDUP((G$1)/10,0)*10,[1]Hugst!$R$4:$W$4,0))))</f>
        <v>89.12921372351974</v>
      </c>
      <c r="H183">
        <f ca="1">IF($C183-H$1&lt;År1,0,G182*(1-VLOOKUP($A183,[1]Hugst!$R$5:$W$9,MATCH(ROUNDUP((H$1)/10,0)*10,[1]Hugst!$R$4:$W$4,0))))</f>
        <v>89.27035286783115</v>
      </c>
      <c r="I183">
        <f ca="1">IF($C183-I$1&lt;År1,0,H182*(1-VLOOKUP($A183,[1]Hugst!$R$5:$W$9,MATCH(ROUNDUP((I$1)/10,0)*10,[1]Hugst!$R$4:$W$4,0))))</f>
        <v>89.41220125407466</v>
      </c>
      <c r="J183">
        <f ca="1">IF($C183-J$1&lt;År1,0,I182*(1-VLOOKUP($A183,[1]Hugst!$R$5:$W$9,MATCH(ROUNDUP((J$1)/10,0)*10,[1]Hugst!$R$4:$W$4,0))))</f>
        <v>89.554762446278403</v>
      </c>
      <c r="K183">
        <f ca="1">IF($C183-K$1&lt;År1,0,J182*(1-VLOOKUP($A183,[1]Hugst!$R$5:$W$9,MATCH(ROUNDUP((K$1)/10,0)*10,[1]Hugst!$R$4:$W$4,0))))</f>
        <v>89.698040026383126</v>
      </c>
      <c r="L183">
        <f ca="1">IF($C183-L$1&lt;År1,0,K182*(1-VLOOKUP($A183,[1]Hugst!$R$5:$W$9,MATCH(ROUNDUP((L$1)/10,0)*10,[1]Hugst!$R$4:$W$4,0))))</f>
        <v>89.842037594326996</v>
      </c>
      <c r="M183">
        <f ca="1">IF($C183-M$1&lt;År1,0,L182*(1-VLOOKUP($A183,[1]Hugst!$R$5:$W$9,MATCH(ROUNDUP((M$1)/10,0)*10,[1]Hugst!$R$4:$W$4,0))))</f>
        <v>89.98675876813985</v>
      </c>
      <c r="N183">
        <f ca="1">IF($C183-N$1&lt;År1,0,M182*(1-VLOOKUP($A183,[1]Hugst!$R$5:$W$9,MATCH(ROUNDUP((N$1)/10,0)*10,[1]Hugst!$R$4:$W$4,0))))</f>
        <v>90.132207184033689</v>
      </c>
      <c r="O183">
        <f ca="1">IF($C183-O$1&lt;År1,0,N182*(1-VLOOKUP($A183,[1]Hugst!$R$5:$W$9,MATCH(ROUNDUP((O$1)/10,0)*10,[1]Hugst!$R$4:$W$4,0))))</f>
        <v>90.278386496488167</v>
      </c>
      <c r="P183">
        <f ca="1">IF($C183-P$1&lt;År1,0,O182*(1-VLOOKUP($A183,[1]Hugst!$R$5:$W$9,MATCH(ROUNDUP((P$1)/10,0)*10,[1]Hugst!$R$4:$W$4,0))))</f>
        <v>90.425300378352233</v>
      </c>
      <c r="Q183">
        <f ca="1">IF($C183-Q$1&lt;År1,0,P182*(1-VLOOKUP($A183,[1]Hugst!$R$5:$W$9,MATCH(ROUNDUP((Q$1)/10,0)*10,[1]Hugst!$R$4:$W$4,0))))</f>
        <v>90.572952520930073</v>
      </c>
      <c r="R183">
        <f ca="1">IF($C183-R$1&lt;År1,0,Q182*(1-VLOOKUP($A183,[1]Hugst!$R$5:$W$9,MATCH(ROUNDUP((R$1)/10,0)*10,[1]Hugst!$R$4:$W$4,0))))</f>
        <v>90.721346634072461</v>
      </c>
      <c r="S183">
        <f ca="1">IF($C183-S$1&lt;År1,0,R182*(1-VLOOKUP($A183,[1]Hugst!$R$5:$W$9,MATCH(ROUNDUP((S$1)/10,0)*10,[1]Hugst!$R$4:$W$4,0))))</f>
        <v>90.870486446276232</v>
      </c>
      <c r="T183">
        <f ca="1">IF($C183-T$1&lt;År1,0,S182*(1-VLOOKUP($A183,[1]Hugst!$R$5:$W$9,MATCH(ROUNDUP((T$1)/10,0)*10,[1]Hugst!$R$4:$W$4,0))))</f>
        <v>91.02037570477313</v>
      </c>
      <c r="U183">
        <f ca="1">IF($C183-U$1&lt;År1,0,T182*(1-VLOOKUP($A183,[1]Hugst!$R$5:$W$9,MATCH(ROUNDUP((U$1)/10,0)*10,[1]Hugst!$R$4:$W$4,0))))</f>
        <v>91.171018175622692</v>
      </c>
      <c r="V183">
        <f ca="1">IF($C183-V$1&lt;År1,0,U182*(1-VLOOKUP($A183,[1]Hugst!$R$5:$W$9,MATCH(ROUNDUP((V$1)/10,0)*10,[1]Hugst!$R$4:$W$4,0))))</f>
        <v>69.125136187275132</v>
      </c>
      <c r="W183">
        <f ca="1">IF($C183-W$1&lt;År1,0,V182*(1-VLOOKUP($A183,[1]Hugst!$R$5:$W$9,MATCH(ROUNDUP((W$1)/10,0)*10,[1]Hugst!$R$4:$W$4,0))))</f>
        <v>69.277296456813701</v>
      </c>
      <c r="X183">
        <f ca="1">IF($C183-X$1&lt;År1,0,W182*(1-VLOOKUP($A183,[1]Hugst!$R$5:$W$9,MATCH(ROUNDUP((X$1)/10,0)*10,[1]Hugst!$R$4:$W$4,0))))</f>
        <v>69.430221350823388</v>
      </c>
      <c r="Y183">
        <f ca="1">IF($C183-Y$1&lt;År1,0,X182*(1-VLOOKUP($A183,[1]Hugst!$R$5:$W$9,MATCH(ROUNDUP((Y$1)/10,0)*10,[1]Hugst!$R$4:$W$4,0))))</f>
        <v>69.583914711636112</v>
      </c>
      <c r="Z183">
        <f ca="1">IF($C183-Z$1&lt;År1,0,Y182*(1-VLOOKUP($A183,[1]Hugst!$R$5:$W$9,MATCH(ROUNDUP((Z$1)/10,0)*10,[1]Hugst!$R$4:$W$4,0))))</f>
        <v>69.73838040089737</v>
      </c>
      <c r="AA183">
        <f ca="1">IF($C183-AA$1&lt;År1,0,Z182*(1-VLOOKUP($A183,[1]Hugst!$R$5:$W$9,MATCH(ROUNDUP((AA$1)/10,0)*10,[1]Hugst!$R$4:$W$4,0))))</f>
        <v>69.893622299649508</v>
      </c>
      <c r="AB183">
        <f ca="1">IF($C183-AB$1&lt;År1,0,AA182*(1-VLOOKUP($A183,[1]Hugst!$R$5:$W$9,MATCH(ROUNDUP((AB$1)/10,0)*10,[1]Hugst!$R$4:$W$4,0))))</f>
        <v>70.049644308447569</v>
      </c>
      <c r="AC183">
        <f ca="1">IF($C183-AC$1&lt;År1,0,AB182*(1-VLOOKUP($A183,[1]Hugst!$R$5:$W$9,MATCH(ROUNDUP((AC$1)/10,0)*10,[1]Hugst!$R$4:$W$4,0))))</f>
        <v>70.206450347439187</v>
      </c>
      <c r="AD183">
        <f ca="1">IF($C183-AD$1&lt;År1,0,AC182*(1-VLOOKUP($A183,[1]Hugst!$R$5:$W$9,MATCH(ROUNDUP((AD$1)/10,0)*10,[1]Hugst!$R$4:$W$4,0))))</f>
        <v>70.364044356477635</v>
      </c>
      <c r="AE183">
        <f ca="1">IF($C183-AE$1&lt;År1,0,AD182*(1-VLOOKUP($A183,[1]Hugst!$R$5:$W$9,MATCH(ROUNDUP((AE$1)/10,0)*10,[1]Hugst!$R$4:$W$4,0))))</f>
        <v>70.522430295208849</v>
      </c>
      <c r="AF183">
        <f ca="1">IF($C183-AF$1&lt;År1,0,AE182*(1-VLOOKUP($A183,[1]Hugst!$R$5:$W$9,MATCH(ROUNDUP((AF$1)/10,0)*10,[1]Hugst!$R$4:$W$4,0))))</f>
        <v>70.681612143180047</v>
      </c>
      <c r="AG183">
        <f>IF($C183-AG$1&lt;År1,0,AF182*(1-VLOOKUP($A183,[1]Hugst!$R$5:$W$9,MATCH(ROUNDUP((AG$1)/10,0)*10,[1]Hugst!$R$4:$W$4,0))))</f>
        <v>0</v>
      </c>
      <c r="AH183">
        <f>IF($C183-AH$1&lt;År1,0,AG182*(1-VLOOKUP($A183,[1]Hugst!$R$5:$W$9,MATCH(ROUNDUP((AH$1)/10,0)*10,[1]Hugst!$R$4:$W$4,0))))</f>
        <v>0</v>
      </c>
      <c r="AI183">
        <f>IF($C183-AI$1&lt;År1,0,AH182*(1-VLOOKUP($A183,[1]Hugst!$R$5:$W$9,MATCH(ROUNDUP((AI$1)/10,0)*10,[1]Hugst!$R$4:$W$4,0))))</f>
        <v>0</v>
      </c>
      <c r="AJ183">
        <f>IF($C183-AJ$1&lt;År1,0,AI182*(1-VLOOKUP($A183,[1]Hugst!$R$5:$W$9,MATCH(ROUNDUP((AJ$1)/10,0)*10,[1]Hugst!$R$4:$W$4,0))))</f>
        <v>0</v>
      </c>
    </row>
    <row r="184" spans="1:36" x14ac:dyDescent="0.25">
      <c r="A184" t="s">
        <v>178</v>
      </c>
      <c r="B184" t="s">
        <v>24</v>
      </c>
      <c r="C184">
        <v>2047</v>
      </c>
      <c r="D184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27.806524988094225</v>
      </c>
      <c r="E184">
        <f t="shared" ca="1" si="3"/>
        <v>0</v>
      </c>
      <c r="F184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88.849048993581221</v>
      </c>
      <c r="G184">
        <f ca="1">IF($C184-G$1&lt;År1,0,F183*(1-VLOOKUP($A184,[1]Hugst!$R$5:$W$9,MATCH(ROUNDUP((G$1)/10,0)*10,[1]Hugst!$R$4:$W$4,0))))</f>
        <v>88.988780274930321</v>
      </c>
      <c r="H184">
        <f ca="1">IF($C184-H$1&lt;År1,0,G183*(1-VLOOKUP($A184,[1]Hugst!$R$5:$W$9,MATCH(ROUNDUP((H$1)/10,0)*10,[1]Hugst!$R$4:$W$4,0))))</f>
        <v>89.12921372351974</v>
      </c>
      <c r="I184">
        <f ca="1">IF($C184-I$1&lt;År1,0,H183*(1-VLOOKUP($A184,[1]Hugst!$R$5:$W$9,MATCH(ROUNDUP((I$1)/10,0)*10,[1]Hugst!$R$4:$W$4,0))))</f>
        <v>89.27035286783115</v>
      </c>
      <c r="J184">
        <f ca="1">IF($C184-J$1&lt;År1,0,I183*(1-VLOOKUP($A184,[1]Hugst!$R$5:$W$9,MATCH(ROUNDUP((J$1)/10,0)*10,[1]Hugst!$R$4:$W$4,0))))</f>
        <v>89.41220125407466</v>
      </c>
      <c r="K184">
        <f ca="1">IF($C184-K$1&lt;År1,0,J183*(1-VLOOKUP($A184,[1]Hugst!$R$5:$W$9,MATCH(ROUNDUP((K$1)/10,0)*10,[1]Hugst!$R$4:$W$4,0))))</f>
        <v>89.554762446278403</v>
      </c>
      <c r="L184">
        <f ca="1">IF($C184-L$1&lt;År1,0,K183*(1-VLOOKUP($A184,[1]Hugst!$R$5:$W$9,MATCH(ROUNDUP((L$1)/10,0)*10,[1]Hugst!$R$4:$W$4,0))))</f>
        <v>89.698040026383126</v>
      </c>
      <c r="M184">
        <f ca="1">IF($C184-M$1&lt;År1,0,L183*(1-VLOOKUP($A184,[1]Hugst!$R$5:$W$9,MATCH(ROUNDUP((M$1)/10,0)*10,[1]Hugst!$R$4:$W$4,0))))</f>
        <v>89.842037594326996</v>
      </c>
      <c r="N184">
        <f ca="1">IF($C184-N$1&lt;År1,0,M183*(1-VLOOKUP($A184,[1]Hugst!$R$5:$W$9,MATCH(ROUNDUP((N$1)/10,0)*10,[1]Hugst!$R$4:$W$4,0))))</f>
        <v>89.98675876813985</v>
      </c>
      <c r="O184">
        <f ca="1">IF($C184-O$1&lt;År1,0,N183*(1-VLOOKUP($A184,[1]Hugst!$R$5:$W$9,MATCH(ROUNDUP((O$1)/10,0)*10,[1]Hugst!$R$4:$W$4,0))))</f>
        <v>90.132207184033689</v>
      </c>
      <c r="P184">
        <f ca="1">IF($C184-P$1&lt;År1,0,O183*(1-VLOOKUP($A184,[1]Hugst!$R$5:$W$9,MATCH(ROUNDUP((P$1)/10,0)*10,[1]Hugst!$R$4:$W$4,0))))</f>
        <v>90.278386496488167</v>
      </c>
      <c r="Q184">
        <f ca="1">IF($C184-Q$1&lt;År1,0,P183*(1-VLOOKUP($A184,[1]Hugst!$R$5:$W$9,MATCH(ROUNDUP((Q$1)/10,0)*10,[1]Hugst!$R$4:$W$4,0))))</f>
        <v>90.425300378352233</v>
      </c>
      <c r="R184">
        <f ca="1">IF($C184-R$1&lt;År1,0,Q183*(1-VLOOKUP($A184,[1]Hugst!$R$5:$W$9,MATCH(ROUNDUP((R$1)/10,0)*10,[1]Hugst!$R$4:$W$4,0))))</f>
        <v>90.572952520930073</v>
      </c>
      <c r="S184">
        <f ca="1">IF($C184-S$1&lt;År1,0,R183*(1-VLOOKUP($A184,[1]Hugst!$R$5:$W$9,MATCH(ROUNDUP((S$1)/10,0)*10,[1]Hugst!$R$4:$W$4,0))))</f>
        <v>90.721346634072461</v>
      </c>
      <c r="T184">
        <f ca="1">IF($C184-T$1&lt;År1,0,S183*(1-VLOOKUP($A184,[1]Hugst!$R$5:$W$9,MATCH(ROUNDUP((T$1)/10,0)*10,[1]Hugst!$R$4:$W$4,0))))</f>
        <v>90.870486446276232</v>
      </c>
      <c r="U184">
        <f ca="1">IF($C184-U$1&lt;År1,0,T183*(1-VLOOKUP($A184,[1]Hugst!$R$5:$W$9,MATCH(ROUNDUP((U$1)/10,0)*10,[1]Hugst!$R$4:$W$4,0))))</f>
        <v>91.02037570477313</v>
      </c>
      <c r="V184">
        <f ca="1">IF($C184-V$1&lt;År1,0,U183*(1-VLOOKUP($A184,[1]Hugst!$R$5:$W$9,MATCH(ROUNDUP((V$1)/10,0)*10,[1]Hugst!$R$4:$W$4,0))))</f>
        <v>91.171018175622692</v>
      </c>
      <c r="W184">
        <f ca="1">IF($C184-W$1&lt;År1,0,V183*(1-VLOOKUP($A184,[1]Hugst!$R$5:$W$9,MATCH(ROUNDUP((W$1)/10,0)*10,[1]Hugst!$R$4:$W$4,0))))</f>
        <v>69.125136187275132</v>
      </c>
      <c r="X184">
        <f ca="1">IF($C184-X$1&lt;År1,0,W183*(1-VLOOKUP($A184,[1]Hugst!$R$5:$W$9,MATCH(ROUNDUP((X$1)/10,0)*10,[1]Hugst!$R$4:$W$4,0))))</f>
        <v>69.277296456813701</v>
      </c>
      <c r="Y184">
        <f ca="1">IF($C184-Y$1&lt;År1,0,X183*(1-VLOOKUP($A184,[1]Hugst!$R$5:$W$9,MATCH(ROUNDUP((Y$1)/10,0)*10,[1]Hugst!$R$4:$W$4,0))))</f>
        <v>69.430221350823388</v>
      </c>
      <c r="Z184">
        <f ca="1">IF($C184-Z$1&lt;År1,0,Y183*(1-VLOOKUP($A184,[1]Hugst!$R$5:$W$9,MATCH(ROUNDUP((Z$1)/10,0)*10,[1]Hugst!$R$4:$W$4,0))))</f>
        <v>69.583914711636112</v>
      </c>
      <c r="AA184">
        <f ca="1">IF($C184-AA$1&lt;År1,0,Z183*(1-VLOOKUP($A184,[1]Hugst!$R$5:$W$9,MATCH(ROUNDUP((AA$1)/10,0)*10,[1]Hugst!$R$4:$W$4,0))))</f>
        <v>69.73838040089737</v>
      </c>
      <c r="AB184">
        <f ca="1">IF($C184-AB$1&lt;År1,0,AA183*(1-VLOOKUP($A184,[1]Hugst!$R$5:$W$9,MATCH(ROUNDUP((AB$1)/10,0)*10,[1]Hugst!$R$4:$W$4,0))))</f>
        <v>69.893622299649508</v>
      </c>
      <c r="AC184">
        <f ca="1">IF($C184-AC$1&lt;År1,0,AB183*(1-VLOOKUP($A184,[1]Hugst!$R$5:$W$9,MATCH(ROUNDUP((AC$1)/10,0)*10,[1]Hugst!$R$4:$W$4,0))))</f>
        <v>70.049644308447569</v>
      </c>
      <c r="AD184">
        <f ca="1">IF($C184-AD$1&lt;År1,0,AC183*(1-VLOOKUP($A184,[1]Hugst!$R$5:$W$9,MATCH(ROUNDUP((AD$1)/10,0)*10,[1]Hugst!$R$4:$W$4,0))))</f>
        <v>70.206450347439187</v>
      </c>
      <c r="AE184">
        <f ca="1">IF($C184-AE$1&lt;År1,0,AD183*(1-VLOOKUP($A184,[1]Hugst!$R$5:$W$9,MATCH(ROUNDUP((AE$1)/10,0)*10,[1]Hugst!$R$4:$W$4,0))))</f>
        <v>70.364044356477635</v>
      </c>
      <c r="AF184">
        <f ca="1">IF($C184-AF$1&lt;År1,0,AE183*(1-VLOOKUP($A184,[1]Hugst!$R$5:$W$9,MATCH(ROUNDUP((AF$1)/10,0)*10,[1]Hugst!$R$4:$W$4,0))))</f>
        <v>70.522430295208849</v>
      </c>
      <c r="AG184">
        <f ca="1">IF($C184-AG$1&lt;År1,0,AF183*(1-VLOOKUP($A184,[1]Hugst!$R$5:$W$9,MATCH(ROUNDUP((AG$1)/10,0)*10,[1]Hugst!$R$4:$W$4,0))))</f>
        <v>70.681612143180047</v>
      </c>
      <c r="AH184">
        <f>IF($C184-AH$1&lt;År1,0,AG183*(1-VLOOKUP($A184,[1]Hugst!$R$5:$W$9,MATCH(ROUNDUP((AH$1)/10,0)*10,[1]Hugst!$R$4:$W$4,0))))</f>
        <v>0</v>
      </c>
      <c r="AI184">
        <f>IF($C184-AI$1&lt;År1,0,AH183*(1-VLOOKUP($A184,[1]Hugst!$R$5:$W$9,MATCH(ROUNDUP((AI$1)/10,0)*10,[1]Hugst!$R$4:$W$4,0))))</f>
        <v>0</v>
      </c>
      <c r="AJ184">
        <f>IF($C184-AJ$1&lt;År1,0,AI183*(1-VLOOKUP($A184,[1]Hugst!$R$5:$W$9,MATCH(ROUNDUP((AJ$1)/10,0)*10,[1]Hugst!$R$4:$W$4,0))))</f>
        <v>0</v>
      </c>
    </row>
    <row r="185" spans="1:36" x14ac:dyDescent="0.25">
      <c r="A185" t="s">
        <v>178</v>
      </c>
      <c r="B185" t="s">
        <v>24</v>
      </c>
      <c r="C185">
        <v>2048</v>
      </c>
      <c r="D185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27.667492363154452</v>
      </c>
      <c r="E185">
        <f t="shared" ca="1" si="3"/>
        <v>0</v>
      </c>
      <c r="F185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88.710016368641448</v>
      </c>
      <c r="G185">
        <f ca="1">IF($C185-G$1&lt;År1,0,F184*(1-VLOOKUP($A185,[1]Hugst!$R$5:$W$9,MATCH(ROUNDUP((G$1)/10,0)*10,[1]Hugst!$R$4:$W$4,0))))</f>
        <v>88.849048993581221</v>
      </c>
      <c r="H185">
        <f ca="1">IF($C185-H$1&lt;År1,0,G184*(1-VLOOKUP($A185,[1]Hugst!$R$5:$W$9,MATCH(ROUNDUP((H$1)/10,0)*10,[1]Hugst!$R$4:$W$4,0))))</f>
        <v>88.988780274930321</v>
      </c>
      <c r="I185">
        <f ca="1">IF($C185-I$1&lt;År1,0,H184*(1-VLOOKUP($A185,[1]Hugst!$R$5:$W$9,MATCH(ROUNDUP((I$1)/10,0)*10,[1]Hugst!$R$4:$W$4,0))))</f>
        <v>89.12921372351974</v>
      </c>
      <c r="J185">
        <f ca="1">IF($C185-J$1&lt;År1,0,I184*(1-VLOOKUP($A185,[1]Hugst!$R$5:$W$9,MATCH(ROUNDUP((J$1)/10,0)*10,[1]Hugst!$R$4:$W$4,0))))</f>
        <v>89.27035286783115</v>
      </c>
      <c r="K185">
        <f ca="1">IF($C185-K$1&lt;År1,0,J184*(1-VLOOKUP($A185,[1]Hugst!$R$5:$W$9,MATCH(ROUNDUP((K$1)/10,0)*10,[1]Hugst!$R$4:$W$4,0))))</f>
        <v>89.41220125407466</v>
      </c>
      <c r="L185">
        <f ca="1">IF($C185-L$1&lt;År1,0,K184*(1-VLOOKUP($A185,[1]Hugst!$R$5:$W$9,MATCH(ROUNDUP((L$1)/10,0)*10,[1]Hugst!$R$4:$W$4,0))))</f>
        <v>89.554762446278403</v>
      </c>
      <c r="M185">
        <f ca="1">IF($C185-M$1&lt;År1,0,L184*(1-VLOOKUP($A185,[1]Hugst!$R$5:$W$9,MATCH(ROUNDUP((M$1)/10,0)*10,[1]Hugst!$R$4:$W$4,0))))</f>
        <v>89.698040026383126</v>
      </c>
      <c r="N185">
        <f ca="1">IF($C185-N$1&lt;År1,0,M184*(1-VLOOKUP($A185,[1]Hugst!$R$5:$W$9,MATCH(ROUNDUP((N$1)/10,0)*10,[1]Hugst!$R$4:$W$4,0))))</f>
        <v>89.842037594326996</v>
      </c>
      <c r="O185">
        <f ca="1">IF($C185-O$1&lt;År1,0,N184*(1-VLOOKUP($A185,[1]Hugst!$R$5:$W$9,MATCH(ROUNDUP((O$1)/10,0)*10,[1]Hugst!$R$4:$W$4,0))))</f>
        <v>89.98675876813985</v>
      </c>
      <c r="P185">
        <f ca="1">IF($C185-P$1&lt;År1,0,O184*(1-VLOOKUP($A185,[1]Hugst!$R$5:$W$9,MATCH(ROUNDUP((P$1)/10,0)*10,[1]Hugst!$R$4:$W$4,0))))</f>
        <v>90.132207184033689</v>
      </c>
      <c r="Q185">
        <f ca="1">IF($C185-Q$1&lt;År1,0,P184*(1-VLOOKUP($A185,[1]Hugst!$R$5:$W$9,MATCH(ROUNDUP((Q$1)/10,0)*10,[1]Hugst!$R$4:$W$4,0))))</f>
        <v>90.278386496488167</v>
      </c>
      <c r="R185">
        <f ca="1">IF($C185-R$1&lt;År1,0,Q184*(1-VLOOKUP($A185,[1]Hugst!$R$5:$W$9,MATCH(ROUNDUP((R$1)/10,0)*10,[1]Hugst!$R$4:$W$4,0))))</f>
        <v>90.425300378352233</v>
      </c>
      <c r="S185">
        <f ca="1">IF($C185-S$1&lt;År1,0,R184*(1-VLOOKUP($A185,[1]Hugst!$R$5:$W$9,MATCH(ROUNDUP((S$1)/10,0)*10,[1]Hugst!$R$4:$W$4,0))))</f>
        <v>90.572952520930073</v>
      </c>
      <c r="T185">
        <f ca="1">IF($C185-T$1&lt;År1,0,S184*(1-VLOOKUP($A185,[1]Hugst!$R$5:$W$9,MATCH(ROUNDUP((T$1)/10,0)*10,[1]Hugst!$R$4:$W$4,0))))</f>
        <v>90.721346634072461</v>
      </c>
      <c r="U185">
        <f ca="1">IF($C185-U$1&lt;År1,0,T184*(1-VLOOKUP($A185,[1]Hugst!$R$5:$W$9,MATCH(ROUNDUP((U$1)/10,0)*10,[1]Hugst!$R$4:$W$4,0))))</f>
        <v>90.870486446276232</v>
      </c>
      <c r="V185">
        <f ca="1">IF($C185-V$1&lt;År1,0,U184*(1-VLOOKUP($A185,[1]Hugst!$R$5:$W$9,MATCH(ROUNDUP((V$1)/10,0)*10,[1]Hugst!$R$4:$W$4,0))))</f>
        <v>91.02037570477313</v>
      </c>
      <c r="W185">
        <f ca="1">IF($C185-W$1&lt;År1,0,V184*(1-VLOOKUP($A185,[1]Hugst!$R$5:$W$9,MATCH(ROUNDUP((W$1)/10,0)*10,[1]Hugst!$R$4:$W$4,0))))</f>
        <v>91.171018175622692</v>
      </c>
      <c r="X185">
        <f ca="1">IF($C185-X$1&lt;År1,0,W184*(1-VLOOKUP($A185,[1]Hugst!$R$5:$W$9,MATCH(ROUNDUP((X$1)/10,0)*10,[1]Hugst!$R$4:$W$4,0))))</f>
        <v>69.125136187275132</v>
      </c>
      <c r="Y185">
        <f ca="1">IF($C185-Y$1&lt;År1,0,X184*(1-VLOOKUP($A185,[1]Hugst!$R$5:$W$9,MATCH(ROUNDUP((Y$1)/10,0)*10,[1]Hugst!$R$4:$W$4,0))))</f>
        <v>69.277296456813701</v>
      </c>
      <c r="Z185">
        <f ca="1">IF($C185-Z$1&lt;År1,0,Y184*(1-VLOOKUP($A185,[1]Hugst!$R$5:$W$9,MATCH(ROUNDUP((Z$1)/10,0)*10,[1]Hugst!$R$4:$W$4,0))))</f>
        <v>69.430221350823388</v>
      </c>
      <c r="AA185">
        <f ca="1">IF($C185-AA$1&lt;År1,0,Z184*(1-VLOOKUP($A185,[1]Hugst!$R$5:$W$9,MATCH(ROUNDUP((AA$1)/10,0)*10,[1]Hugst!$R$4:$W$4,0))))</f>
        <v>69.583914711636112</v>
      </c>
      <c r="AB185">
        <f ca="1">IF($C185-AB$1&lt;År1,0,AA184*(1-VLOOKUP($A185,[1]Hugst!$R$5:$W$9,MATCH(ROUNDUP((AB$1)/10,0)*10,[1]Hugst!$R$4:$W$4,0))))</f>
        <v>69.73838040089737</v>
      </c>
      <c r="AC185">
        <f ca="1">IF($C185-AC$1&lt;År1,0,AB184*(1-VLOOKUP($A185,[1]Hugst!$R$5:$W$9,MATCH(ROUNDUP((AC$1)/10,0)*10,[1]Hugst!$R$4:$W$4,0))))</f>
        <v>69.893622299649508</v>
      </c>
      <c r="AD185">
        <f ca="1">IF($C185-AD$1&lt;År1,0,AC184*(1-VLOOKUP($A185,[1]Hugst!$R$5:$W$9,MATCH(ROUNDUP((AD$1)/10,0)*10,[1]Hugst!$R$4:$W$4,0))))</f>
        <v>70.049644308447569</v>
      </c>
      <c r="AE185">
        <f ca="1">IF($C185-AE$1&lt;År1,0,AD184*(1-VLOOKUP($A185,[1]Hugst!$R$5:$W$9,MATCH(ROUNDUP((AE$1)/10,0)*10,[1]Hugst!$R$4:$W$4,0))))</f>
        <v>70.206450347439187</v>
      </c>
      <c r="AF185">
        <f ca="1">IF($C185-AF$1&lt;År1,0,AE184*(1-VLOOKUP($A185,[1]Hugst!$R$5:$W$9,MATCH(ROUNDUP((AF$1)/10,0)*10,[1]Hugst!$R$4:$W$4,0))))</f>
        <v>70.364044356477635</v>
      </c>
      <c r="AG185">
        <f ca="1">IF($C185-AG$1&lt;År1,0,AF184*(1-VLOOKUP($A185,[1]Hugst!$R$5:$W$9,MATCH(ROUNDUP((AG$1)/10,0)*10,[1]Hugst!$R$4:$W$4,0))))</f>
        <v>70.522430295208849</v>
      </c>
      <c r="AH185">
        <f ca="1">IF($C185-AH$1&lt;År1,0,AG184*(1-VLOOKUP($A185,[1]Hugst!$R$5:$W$9,MATCH(ROUNDUP((AH$1)/10,0)*10,[1]Hugst!$R$4:$W$4,0))))</f>
        <v>70.681612143180047</v>
      </c>
      <c r="AI185">
        <f>IF($C185-AI$1&lt;År1,0,AH184*(1-VLOOKUP($A185,[1]Hugst!$R$5:$W$9,MATCH(ROUNDUP((AI$1)/10,0)*10,[1]Hugst!$R$4:$W$4,0))))</f>
        <v>0</v>
      </c>
      <c r="AJ185">
        <f>IF($C185-AJ$1&lt;År1,0,AI184*(1-VLOOKUP($A185,[1]Hugst!$R$5:$W$9,MATCH(ROUNDUP((AJ$1)/10,0)*10,[1]Hugst!$R$4:$W$4,0))))</f>
        <v>0</v>
      </c>
    </row>
    <row r="186" spans="1:36" x14ac:dyDescent="0.25">
      <c r="A186" t="s">
        <v>178</v>
      </c>
      <c r="B186" t="s">
        <v>24</v>
      </c>
      <c r="C186">
        <v>2049</v>
      </c>
      <c r="D186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27.529154901339666</v>
      </c>
      <c r="E186">
        <f t="shared" ca="1" si="3"/>
        <v>0</v>
      </c>
      <c r="F186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88.571678906826662</v>
      </c>
      <c r="G186">
        <f ca="1">IF($C186-G$1&lt;År1,0,F185*(1-VLOOKUP($A186,[1]Hugst!$R$5:$W$9,MATCH(ROUNDUP((G$1)/10,0)*10,[1]Hugst!$R$4:$W$4,0))))</f>
        <v>88.710016368641448</v>
      </c>
      <c r="H186">
        <f ca="1">IF($C186-H$1&lt;År1,0,G185*(1-VLOOKUP($A186,[1]Hugst!$R$5:$W$9,MATCH(ROUNDUP((H$1)/10,0)*10,[1]Hugst!$R$4:$W$4,0))))</f>
        <v>88.849048993581221</v>
      </c>
      <c r="I186">
        <f ca="1">IF($C186-I$1&lt;År1,0,H185*(1-VLOOKUP($A186,[1]Hugst!$R$5:$W$9,MATCH(ROUNDUP((I$1)/10,0)*10,[1]Hugst!$R$4:$W$4,0))))</f>
        <v>88.988780274930321</v>
      </c>
      <c r="J186">
        <f ca="1">IF($C186-J$1&lt;År1,0,I185*(1-VLOOKUP($A186,[1]Hugst!$R$5:$W$9,MATCH(ROUNDUP((J$1)/10,0)*10,[1]Hugst!$R$4:$W$4,0))))</f>
        <v>89.12921372351974</v>
      </c>
      <c r="K186">
        <f ca="1">IF($C186-K$1&lt;År1,0,J185*(1-VLOOKUP($A186,[1]Hugst!$R$5:$W$9,MATCH(ROUNDUP((K$1)/10,0)*10,[1]Hugst!$R$4:$W$4,0))))</f>
        <v>89.27035286783115</v>
      </c>
      <c r="L186">
        <f ca="1">IF($C186-L$1&lt;År1,0,K185*(1-VLOOKUP($A186,[1]Hugst!$R$5:$W$9,MATCH(ROUNDUP((L$1)/10,0)*10,[1]Hugst!$R$4:$W$4,0))))</f>
        <v>89.41220125407466</v>
      </c>
      <c r="M186">
        <f ca="1">IF($C186-M$1&lt;År1,0,L185*(1-VLOOKUP($A186,[1]Hugst!$R$5:$W$9,MATCH(ROUNDUP((M$1)/10,0)*10,[1]Hugst!$R$4:$W$4,0))))</f>
        <v>89.554762446278403</v>
      </c>
      <c r="N186">
        <f ca="1">IF($C186-N$1&lt;År1,0,M185*(1-VLOOKUP($A186,[1]Hugst!$R$5:$W$9,MATCH(ROUNDUP((N$1)/10,0)*10,[1]Hugst!$R$4:$W$4,0))))</f>
        <v>89.698040026383126</v>
      </c>
      <c r="O186">
        <f ca="1">IF($C186-O$1&lt;År1,0,N185*(1-VLOOKUP($A186,[1]Hugst!$R$5:$W$9,MATCH(ROUNDUP((O$1)/10,0)*10,[1]Hugst!$R$4:$W$4,0))))</f>
        <v>89.842037594326996</v>
      </c>
      <c r="P186">
        <f ca="1">IF($C186-P$1&lt;År1,0,O185*(1-VLOOKUP($A186,[1]Hugst!$R$5:$W$9,MATCH(ROUNDUP((P$1)/10,0)*10,[1]Hugst!$R$4:$W$4,0))))</f>
        <v>89.98675876813985</v>
      </c>
      <c r="Q186">
        <f ca="1">IF($C186-Q$1&lt;År1,0,P185*(1-VLOOKUP($A186,[1]Hugst!$R$5:$W$9,MATCH(ROUNDUP((Q$1)/10,0)*10,[1]Hugst!$R$4:$W$4,0))))</f>
        <v>90.132207184033689</v>
      </c>
      <c r="R186">
        <f ca="1">IF($C186-R$1&lt;År1,0,Q185*(1-VLOOKUP($A186,[1]Hugst!$R$5:$W$9,MATCH(ROUNDUP((R$1)/10,0)*10,[1]Hugst!$R$4:$W$4,0))))</f>
        <v>90.278386496488167</v>
      </c>
      <c r="S186">
        <f ca="1">IF($C186-S$1&lt;År1,0,R185*(1-VLOOKUP($A186,[1]Hugst!$R$5:$W$9,MATCH(ROUNDUP((S$1)/10,0)*10,[1]Hugst!$R$4:$W$4,0))))</f>
        <v>90.425300378352233</v>
      </c>
      <c r="T186">
        <f ca="1">IF($C186-T$1&lt;År1,0,S185*(1-VLOOKUP($A186,[1]Hugst!$R$5:$W$9,MATCH(ROUNDUP((T$1)/10,0)*10,[1]Hugst!$R$4:$W$4,0))))</f>
        <v>90.572952520930073</v>
      </c>
      <c r="U186">
        <f ca="1">IF($C186-U$1&lt;År1,0,T185*(1-VLOOKUP($A186,[1]Hugst!$R$5:$W$9,MATCH(ROUNDUP((U$1)/10,0)*10,[1]Hugst!$R$4:$W$4,0))))</f>
        <v>90.721346634072461</v>
      </c>
      <c r="V186">
        <f ca="1">IF($C186-V$1&lt;År1,0,U185*(1-VLOOKUP($A186,[1]Hugst!$R$5:$W$9,MATCH(ROUNDUP((V$1)/10,0)*10,[1]Hugst!$R$4:$W$4,0))))</f>
        <v>90.870486446276232</v>
      </c>
      <c r="W186">
        <f ca="1">IF($C186-W$1&lt;År1,0,V185*(1-VLOOKUP($A186,[1]Hugst!$R$5:$W$9,MATCH(ROUNDUP((W$1)/10,0)*10,[1]Hugst!$R$4:$W$4,0))))</f>
        <v>91.02037570477313</v>
      </c>
      <c r="X186">
        <f ca="1">IF($C186-X$1&lt;År1,0,W185*(1-VLOOKUP($A186,[1]Hugst!$R$5:$W$9,MATCH(ROUNDUP((X$1)/10,0)*10,[1]Hugst!$R$4:$W$4,0))))</f>
        <v>91.171018175622692</v>
      </c>
      <c r="Y186">
        <f ca="1">IF($C186-Y$1&lt;År1,0,X185*(1-VLOOKUP($A186,[1]Hugst!$R$5:$W$9,MATCH(ROUNDUP((Y$1)/10,0)*10,[1]Hugst!$R$4:$W$4,0))))</f>
        <v>69.125136187275132</v>
      </c>
      <c r="Z186">
        <f ca="1">IF($C186-Z$1&lt;År1,0,Y185*(1-VLOOKUP($A186,[1]Hugst!$R$5:$W$9,MATCH(ROUNDUP((Z$1)/10,0)*10,[1]Hugst!$R$4:$W$4,0))))</f>
        <v>69.277296456813701</v>
      </c>
      <c r="AA186">
        <f ca="1">IF($C186-AA$1&lt;År1,0,Z185*(1-VLOOKUP($A186,[1]Hugst!$R$5:$W$9,MATCH(ROUNDUP((AA$1)/10,0)*10,[1]Hugst!$R$4:$W$4,0))))</f>
        <v>69.430221350823388</v>
      </c>
      <c r="AB186">
        <f ca="1">IF($C186-AB$1&lt;År1,0,AA185*(1-VLOOKUP($A186,[1]Hugst!$R$5:$W$9,MATCH(ROUNDUP((AB$1)/10,0)*10,[1]Hugst!$R$4:$W$4,0))))</f>
        <v>69.583914711636112</v>
      </c>
      <c r="AC186">
        <f ca="1">IF($C186-AC$1&lt;År1,0,AB185*(1-VLOOKUP($A186,[1]Hugst!$R$5:$W$9,MATCH(ROUNDUP((AC$1)/10,0)*10,[1]Hugst!$R$4:$W$4,0))))</f>
        <v>69.73838040089737</v>
      </c>
      <c r="AD186">
        <f ca="1">IF($C186-AD$1&lt;År1,0,AC185*(1-VLOOKUP($A186,[1]Hugst!$R$5:$W$9,MATCH(ROUNDUP((AD$1)/10,0)*10,[1]Hugst!$R$4:$W$4,0))))</f>
        <v>69.893622299649508</v>
      </c>
      <c r="AE186">
        <f ca="1">IF($C186-AE$1&lt;År1,0,AD185*(1-VLOOKUP($A186,[1]Hugst!$R$5:$W$9,MATCH(ROUNDUP((AE$1)/10,0)*10,[1]Hugst!$R$4:$W$4,0))))</f>
        <v>70.049644308447569</v>
      </c>
      <c r="AF186">
        <f ca="1">IF($C186-AF$1&lt;År1,0,AE185*(1-VLOOKUP($A186,[1]Hugst!$R$5:$W$9,MATCH(ROUNDUP((AF$1)/10,0)*10,[1]Hugst!$R$4:$W$4,0))))</f>
        <v>70.206450347439187</v>
      </c>
      <c r="AG186">
        <f ca="1">IF($C186-AG$1&lt;År1,0,AF185*(1-VLOOKUP($A186,[1]Hugst!$R$5:$W$9,MATCH(ROUNDUP((AG$1)/10,0)*10,[1]Hugst!$R$4:$W$4,0))))</f>
        <v>70.364044356477635</v>
      </c>
      <c r="AH186">
        <f ca="1">IF($C186-AH$1&lt;År1,0,AG185*(1-VLOOKUP($A186,[1]Hugst!$R$5:$W$9,MATCH(ROUNDUP((AH$1)/10,0)*10,[1]Hugst!$R$4:$W$4,0))))</f>
        <v>70.522430295208849</v>
      </c>
      <c r="AI186">
        <f ca="1">IF($C186-AI$1&lt;År1,0,AH185*(1-VLOOKUP($A186,[1]Hugst!$R$5:$W$9,MATCH(ROUNDUP((AI$1)/10,0)*10,[1]Hugst!$R$4:$W$4,0))))</f>
        <v>70.681612143180047</v>
      </c>
      <c r="AJ186">
        <f>IF($C186-AJ$1&lt;År1,0,AI185*(1-VLOOKUP($A186,[1]Hugst!$R$5:$W$9,MATCH(ROUNDUP((AJ$1)/10,0)*10,[1]Hugst!$R$4:$W$4,0))))</f>
        <v>0</v>
      </c>
    </row>
    <row r="187" spans="1:36" x14ac:dyDescent="0.25">
      <c r="A187" t="s">
        <v>178</v>
      </c>
      <c r="B187" t="s">
        <v>24</v>
      </c>
      <c r="C187">
        <v>2050</v>
      </c>
      <c r="D187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27.391509126832602</v>
      </c>
      <c r="E187">
        <f t="shared" ca="1" si="3"/>
        <v>0.12851202207866663</v>
      </c>
      <c r="F187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88.562545154398265</v>
      </c>
      <c r="G187">
        <f ca="1">IF($C187-G$1&lt;År1,0,F186*(1-VLOOKUP($A187,[1]Hugst!$R$5:$W$9,MATCH(ROUNDUP((G$1)/10,0)*10,[1]Hugst!$R$4:$W$4,0))))</f>
        <v>88.571678906826662</v>
      </c>
      <c r="H187">
        <f ca="1">IF($C187-H$1&lt;År1,0,G186*(1-VLOOKUP($A187,[1]Hugst!$R$5:$W$9,MATCH(ROUNDUP((H$1)/10,0)*10,[1]Hugst!$R$4:$W$4,0))))</f>
        <v>88.710016368641448</v>
      </c>
      <c r="I187">
        <f ca="1">IF($C187-I$1&lt;År1,0,H186*(1-VLOOKUP($A187,[1]Hugst!$R$5:$W$9,MATCH(ROUNDUP((I$1)/10,0)*10,[1]Hugst!$R$4:$W$4,0))))</f>
        <v>88.849048993581221</v>
      </c>
      <c r="J187">
        <f ca="1">IF($C187-J$1&lt;År1,0,I186*(1-VLOOKUP($A187,[1]Hugst!$R$5:$W$9,MATCH(ROUNDUP((J$1)/10,0)*10,[1]Hugst!$R$4:$W$4,0))))</f>
        <v>88.988780274930321</v>
      </c>
      <c r="K187">
        <f ca="1">IF($C187-K$1&lt;År1,0,J186*(1-VLOOKUP($A187,[1]Hugst!$R$5:$W$9,MATCH(ROUNDUP((K$1)/10,0)*10,[1]Hugst!$R$4:$W$4,0))))</f>
        <v>89.12921372351974</v>
      </c>
      <c r="L187">
        <f ca="1">IF($C187-L$1&lt;År1,0,K186*(1-VLOOKUP($A187,[1]Hugst!$R$5:$W$9,MATCH(ROUNDUP((L$1)/10,0)*10,[1]Hugst!$R$4:$W$4,0))))</f>
        <v>89.27035286783115</v>
      </c>
      <c r="M187">
        <f ca="1">IF($C187-M$1&lt;År1,0,L186*(1-VLOOKUP($A187,[1]Hugst!$R$5:$W$9,MATCH(ROUNDUP((M$1)/10,0)*10,[1]Hugst!$R$4:$W$4,0))))</f>
        <v>89.41220125407466</v>
      </c>
      <c r="N187">
        <f ca="1">IF($C187-N$1&lt;År1,0,M186*(1-VLOOKUP($A187,[1]Hugst!$R$5:$W$9,MATCH(ROUNDUP((N$1)/10,0)*10,[1]Hugst!$R$4:$W$4,0))))</f>
        <v>89.554762446278403</v>
      </c>
      <c r="O187">
        <f ca="1">IF($C187-O$1&lt;År1,0,N186*(1-VLOOKUP($A187,[1]Hugst!$R$5:$W$9,MATCH(ROUNDUP((O$1)/10,0)*10,[1]Hugst!$R$4:$W$4,0))))</f>
        <v>89.698040026383126</v>
      </c>
      <c r="P187">
        <f ca="1">IF($C187-P$1&lt;År1,0,O186*(1-VLOOKUP($A187,[1]Hugst!$R$5:$W$9,MATCH(ROUNDUP((P$1)/10,0)*10,[1]Hugst!$R$4:$W$4,0))))</f>
        <v>89.842037594326996</v>
      </c>
      <c r="Q187">
        <f ca="1">IF($C187-Q$1&lt;År1,0,P186*(1-VLOOKUP($A187,[1]Hugst!$R$5:$W$9,MATCH(ROUNDUP((Q$1)/10,0)*10,[1]Hugst!$R$4:$W$4,0))))</f>
        <v>89.98675876813985</v>
      </c>
      <c r="R187">
        <f ca="1">IF($C187-R$1&lt;År1,0,Q186*(1-VLOOKUP($A187,[1]Hugst!$R$5:$W$9,MATCH(ROUNDUP((R$1)/10,0)*10,[1]Hugst!$R$4:$W$4,0))))</f>
        <v>90.132207184033689</v>
      </c>
      <c r="S187">
        <f ca="1">IF($C187-S$1&lt;År1,0,R186*(1-VLOOKUP($A187,[1]Hugst!$R$5:$W$9,MATCH(ROUNDUP((S$1)/10,0)*10,[1]Hugst!$R$4:$W$4,0))))</f>
        <v>90.278386496488167</v>
      </c>
      <c r="T187">
        <f ca="1">IF($C187-T$1&lt;År1,0,S186*(1-VLOOKUP($A187,[1]Hugst!$R$5:$W$9,MATCH(ROUNDUP((T$1)/10,0)*10,[1]Hugst!$R$4:$W$4,0))))</f>
        <v>90.425300378352233</v>
      </c>
      <c r="U187">
        <f ca="1">IF($C187-U$1&lt;År1,0,T186*(1-VLOOKUP($A187,[1]Hugst!$R$5:$W$9,MATCH(ROUNDUP((U$1)/10,0)*10,[1]Hugst!$R$4:$W$4,0))))</f>
        <v>90.572952520930073</v>
      </c>
      <c r="V187">
        <f ca="1">IF($C187-V$1&lt;År1,0,U186*(1-VLOOKUP($A187,[1]Hugst!$R$5:$W$9,MATCH(ROUNDUP((V$1)/10,0)*10,[1]Hugst!$R$4:$W$4,0))))</f>
        <v>90.721346634072461</v>
      </c>
      <c r="W187">
        <f ca="1">IF($C187-W$1&lt;År1,0,V186*(1-VLOOKUP($A187,[1]Hugst!$R$5:$W$9,MATCH(ROUNDUP((W$1)/10,0)*10,[1]Hugst!$R$4:$W$4,0))))</f>
        <v>90.870486446276232</v>
      </c>
      <c r="X187">
        <f ca="1">IF($C187-X$1&lt;År1,0,W186*(1-VLOOKUP($A187,[1]Hugst!$R$5:$W$9,MATCH(ROUNDUP((X$1)/10,0)*10,[1]Hugst!$R$4:$W$4,0))))</f>
        <v>91.02037570477313</v>
      </c>
      <c r="Y187">
        <f ca="1">IF($C187-Y$1&lt;År1,0,X186*(1-VLOOKUP($A187,[1]Hugst!$R$5:$W$9,MATCH(ROUNDUP((Y$1)/10,0)*10,[1]Hugst!$R$4:$W$4,0))))</f>
        <v>91.171018175622692</v>
      </c>
      <c r="Z187">
        <f ca="1">IF($C187-Z$1&lt;År1,0,Y186*(1-VLOOKUP($A187,[1]Hugst!$R$5:$W$9,MATCH(ROUNDUP((Z$1)/10,0)*10,[1]Hugst!$R$4:$W$4,0))))</f>
        <v>69.125136187275132</v>
      </c>
      <c r="AA187">
        <f ca="1">IF($C187-AA$1&lt;År1,0,Z186*(1-VLOOKUP($A187,[1]Hugst!$R$5:$W$9,MATCH(ROUNDUP((AA$1)/10,0)*10,[1]Hugst!$R$4:$W$4,0))))</f>
        <v>69.277296456813701</v>
      </c>
      <c r="AB187">
        <f ca="1">IF($C187-AB$1&lt;År1,0,AA186*(1-VLOOKUP($A187,[1]Hugst!$R$5:$W$9,MATCH(ROUNDUP((AB$1)/10,0)*10,[1]Hugst!$R$4:$W$4,0))))</f>
        <v>69.430221350823388</v>
      </c>
      <c r="AC187">
        <f ca="1">IF($C187-AC$1&lt;År1,0,AB186*(1-VLOOKUP($A187,[1]Hugst!$R$5:$W$9,MATCH(ROUNDUP((AC$1)/10,0)*10,[1]Hugst!$R$4:$W$4,0))))</f>
        <v>69.583914711636112</v>
      </c>
      <c r="AD187">
        <f ca="1">IF($C187-AD$1&lt;År1,0,AC186*(1-VLOOKUP($A187,[1]Hugst!$R$5:$W$9,MATCH(ROUNDUP((AD$1)/10,0)*10,[1]Hugst!$R$4:$W$4,0))))</f>
        <v>69.73838040089737</v>
      </c>
      <c r="AE187">
        <f ca="1">IF($C187-AE$1&lt;År1,0,AD186*(1-VLOOKUP($A187,[1]Hugst!$R$5:$W$9,MATCH(ROUNDUP((AE$1)/10,0)*10,[1]Hugst!$R$4:$W$4,0))))</f>
        <v>69.893622299649508</v>
      </c>
      <c r="AF187">
        <f ca="1">IF($C187-AF$1&lt;År1,0,AE186*(1-VLOOKUP($A187,[1]Hugst!$R$5:$W$9,MATCH(ROUNDUP((AF$1)/10,0)*10,[1]Hugst!$R$4:$W$4,0))))</f>
        <v>70.049644308447569</v>
      </c>
      <c r="AG187">
        <f ca="1">IF($C187-AG$1&lt;År1,0,AF186*(1-VLOOKUP($A187,[1]Hugst!$R$5:$W$9,MATCH(ROUNDUP((AG$1)/10,0)*10,[1]Hugst!$R$4:$W$4,0))))</f>
        <v>70.206450347439187</v>
      </c>
      <c r="AH187">
        <f ca="1">IF($C187-AH$1&lt;År1,0,AG186*(1-VLOOKUP($A187,[1]Hugst!$R$5:$W$9,MATCH(ROUNDUP((AH$1)/10,0)*10,[1]Hugst!$R$4:$W$4,0))))</f>
        <v>70.364044356477635</v>
      </c>
      <c r="AI187">
        <f ca="1">IF($C187-AI$1&lt;År1,0,AH186*(1-VLOOKUP($A187,[1]Hugst!$R$5:$W$9,MATCH(ROUNDUP((AI$1)/10,0)*10,[1]Hugst!$R$4:$W$4,0))))</f>
        <v>70.522430295208849</v>
      </c>
      <c r="AJ187">
        <f ca="1">IF($C187-AJ$1&lt;År1,0,AI186*(1-VLOOKUP($A187,[1]Hugst!$R$5:$W$9,MATCH(ROUNDUP((AJ$1)/10,0)*10,[1]Hugst!$R$4:$W$4,0))))</f>
        <v>70.553100121101537</v>
      </c>
    </row>
    <row r="188" spans="1:36" x14ac:dyDescent="0.25">
      <c r="A188" t="s">
        <v>179</v>
      </c>
      <c r="B188" t="s">
        <v>23</v>
      </c>
      <c r="C188">
        <v>2020</v>
      </c>
      <c r="D18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978.89517365189681</v>
      </c>
      <c r="E188">
        <f>IF(C188=2020,SUM(G188:AJ188),SUM(F187:AJ187)-SUM(G188:AJ188))</f>
        <v>0</v>
      </c>
      <c r="F18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3280.8031422265312</v>
      </c>
      <c r="G188">
        <f>IF($C188-G$1&lt;År1,0,F187*(1-VLOOKUP($A188,[1]Hugst!$R$5:$W$9,MATCH(ROUNDUP((G$1)/10,0)*10,[1]Hugst!$R$4:$W$4,0))))</f>
        <v>0</v>
      </c>
      <c r="H188">
        <f>IF($C188-H$1&lt;År1,0,G187*(1-VLOOKUP($A188,[1]Hugst!$R$5:$W$9,MATCH(ROUNDUP((H$1)/10,0)*10,[1]Hugst!$R$4:$W$4,0))))</f>
        <v>0</v>
      </c>
      <c r="I188">
        <f>IF($C188-I$1&lt;År1,0,H187*(1-VLOOKUP($A188,[1]Hugst!$R$5:$W$9,MATCH(ROUNDUP((I$1)/10,0)*10,[1]Hugst!$R$4:$W$4,0))))</f>
        <v>0</v>
      </c>
      <c r="J188">
        <f>IF($C188-J$1&lt;År1,0,I187*(1-VLOOKUP($A188,[1]Hugst!$R$5:$W$9,MATCH(ROUNDUP((J$1)/10,0)*10,[1]Hugst!$R$4:$W$4,0))))</f>
        <v>0</v>
      </c>
      <c r="K188">
        <f>IF($C188-K$1&lt;År1,0,J187*(1-VLOOKUP($A188,[1]Hugst!$R$5:$W$9,MATCH(ROUNDUP((K$1)/10,0)*10,[1]Hugst!$R$4:$W$4,0))))</f>
        <v>0</v>
      </c>
      <c r="L188">
        <f>IF($C188-L$1&lt;År1,0,K187*(1-VLOOKUP($A188,[1]Hugst!$R$5:$W$9,MATCH(ROUNDUP((L$1)/10,0)*10,[1]Hugst!$R$4:$W$4,0))))</f>
        <v>0</v>
      </c>
      <c r="M188">
        <f>IF($C188-M$1&lt;År1,0,L187*(1-VLOOKUP($A188,[1]Hugst!$R$5:$W$9,MATCH(ROUNDUP((M$1)/10,0)*10,[1]Hugst!$R$4:$W$4,0))))</f>
        <v>0</v>
      </c>
      <c r="N188">
        <f>IF($C188-N$1&lt;År1,0,M187*(1-VLOOKUP($A188,[1]Hugst!$R$5:$W$9,MATCH(ROUNDUP((N$1)/10,0)*10,[1]Hugst!$R$4:$W$4,0))))</f>
        <v>0</v>
      </c>
      <c r="O188">
        <f>IF($C188-O$1&lt;År1,0,N187*(1-VLOOKUP($A188,[1]Hugst!$R$5:$W$9,MATCH(ROUNDUP((O$1)/10,0)*10,[1]Hugst!$R$4:$W$4,0))))</f>
        <v>0</v>
      </c>
      <c r="P188">
        <f>IF($C188-P$1&lt;År1,0,O187*(1-VLOOKUP($A188,[1]Hugst!$R$5:$W$9,MATCH(ROUNDUP((P$1)/10,0)*10,[1]Hugst!$R$4:$W$4,0))))</f>
        <v>0</v>
      </c>
      <c r="Q188">
        <f>IF($C188-Q$1&lt;År1,0,P187*(1-VLOOKUP($A188,[1]Hugst!$R$5:$W$9,MATCH(ROUNDUP((Q$1)/10,0)*10,[1]Hugst!$R$4:$W$4,0))))</f>
        <v>0</v>
      </c>
      <c r="R188">
        <f>IF($C188-R$1&lt;År1,0,Q187*(1-VLOOKUP($A188,[1]Hugst!$R$5:$W$9,MATCH(ROUNDUP((R$1)/10,0)*10,[1]Hugst!$R$4:$W$4,0))))</f>
        <v>0</v>
      </c>
      <c r="S188">
        <f>IF($C188-S$1&lt;År1,0,R187*(1-VLOOKUP($A188,[1]Hugst!$R$5:$W$9,MATCH(ROUNDUP((S$1)/10,0)*10,[1]Hugst!$R$4:$W$4,0))))</f>
        <v>0</v>
      </c>
      <c r="T188">
        <f>IF($C188-T$1&lt;År1,0,S187*(1-VLOOKUP($A188,[1]Hugst!$R$5:$W$9,MATCH(ROUNDUP((T$1)/10,0)*10,[1]Hugst!$R$4:$W$4,0))))</f>
        <v>0</v>
      </c>
      <c r="U188">
        <f>IF($C188-U$1&lt;År1,0,T187*(1-VLOOKUP($A188,[1]Hugst!$R$5:$W$9,MATCH(ROUNDUP((U$1)/10,0)*10,[1]Hugst!$R$4:$W$4,0))))</f>
        <v>0</v>
      </c>
      <c r="V188">
        <f>IF($C188-V$1&lt;År1,0,U187*(1-VLOOKUP($A188,[1]Hugst!$R$5:$W$9,MATCH(ROUNDUP((V$1)/10,0)*10,[1]Hugst!$R$4:$W$4,0))))</f>
        <v>0</v>
      </c>
      <c r="W188">
        <f>IF($C188-W$1&lt;År1,0,V187*(1-VLOOKUP($A188,[1]Hugst!$R$5:$W$9,MATCH(ROUNDUP((W$1)/10,0)*10,[1]Hugst!$R$4:$W$4,0))))</f>
        <v>0</v>
      </c>
      <c r="X188">
        <f>IF($C188-X$1&lt;År1,0,W187*(1-VLOOKUP($A188,[1]Hugst!$R$5:$W$9,MATCH(ROUNDUP((X$1)/10,0)*10,[1]Hugst!$R$4:$W$4,0))))</f>
        <v>0</v>
      </c>
      <c r="Y188">
        <f>IF($C188-Y$1&lt;År1,0,X187*(1-VLOOKUP($A188,[1]Hugst!$R$5:$W$9,MATCH(ROUNDUP((Y$1)/10,0)*10,[1]Hugst!$R$4:$W$4,0))))</f>
        <v>0</v>
      </c>
      <c r="Z188">
        <f>IF($C188-Z$1&lt;År1,0,Y187*(1-VLOOKUP($A188,[1]Hugst!$R$5:$W$9,MATCH(ROUNDUP((Z$1)/10,0)*10,[1]Hugst!$R$4:$W$4,0))))</f>
        <v>0</v>
      </c>
      <c r="AA188">
        <f>IF($C188-AA$1&lt;År1,0,Z187*(1-VLOOKUP($A188,[1]Hugst!$R$5:$W$9,MATCH(ROUNDUP((AA$1)/10,0)*10,[1]Hugst!$R$4:$W$4,0))))</f>
        <v>0</v>
      </c>
      <c r="AB188">
        <f>IF($C188-AB$1&lt;År1,0,AA187*(1-VLOOKUP($A188,[1]Hugst!$R$5:$W$9,MATCH(ROUNDUP((AB$1)/10,0)*10,[1]Hugst!$R$4:$W$4,0))))</f>
        <v>0</v>
      </c>
      <c r="AC188">
        <f>IF($C188-AC$1&lt;År1,0,AB187*(1-VLOOKUP($A188,[1]Hugst!$R$5:$W$9,MATCH(ROUNDUP((AC$1)/10,0)*10,[1]Hugst!$R$4:$W$4,0))))</f>
        <v>0</v>
      </c>
      <c r="AD188">
        <f>IF($C188-AD$1&lt;År1,0,AC187*(1-VLOOKUP($A188,[1]Hugst!$R$5:$W$9,MATCH(ROUNDUP((AD$1)/10,0)*10,[1]Hugst!$R$4:$W$4,0))))</f>
        <v>0</v>
      </c>
      <c r="AE188">
        <f>IF($C188-AE$1&lt;År1,0,AD187*(1-VLOOKUP($A188,[1]Hugst!$R$5:$W$9,MATCH(ROUNDUP((AE$1)/10,0)*10,[1]Hugst!$R$4:$W$4,0))))</f>
        <v>0</v>
      </c>
      <c r="AF188">
        <f>IF($C188-AF$1&lt;År1,0,AE187*(1-VLOOKUP($A188,[1]Hugst!$R$5:$W$9,MATCH(ROUNDUP((AF$1)/10,0)*10,[1]Hugst!$R$4:$W$4,0))))</f>
        <v>0</v>
      </c>
      <c r="AG188">
        <f>IF($C188-AG$1&lt;År1,0,AF187*(1-VLOOKUP($A188,[1]Hugst!$R$5:$W$9,MATCH(ROUNDUP((AG$1)/10,0)*10,[1]Hugst!$R$4:$W$4,0))))</f>
        <v>0</v>
      </c>
      <c r="AH188">
        <f>IF($C188-AH$1&lt;År1,0,AG187*(1-VLOOKUP($A188,[1]Hugst!$R$5:$W$9,MATCH(ROUNDUP((AH$1)/10,0)*10,[1]Hugst!$R$4:$W$4,0))))</f>
        <v>0</v>
      </c>
      <c r="AI188">
        <f>IF($C188-AI$1&lt;År1,0,AH187*(1-VLOOKUP($A188,[1]Hugst!$R$5:$W$9,MATCH(ROUNDUP((AI$1)/10,0)*10,[1]Hugst!$R$4:$W$4,0))))</f>
        <v>0</v>
      </c>
      <c r="AJ188">
        <f>IF($C188-AJ$1&lt;År1,0,AI187*(1-VLOOKUP($A188,[1]Hugst!$R$5:$W$9,MATCH(ROUNDUP((AJ$1)/10,0)*10,[1]Hugst!$R$4:$W$4,0))))</f>
        <v>0</v>
      </c>
    </row>
    <row r="189" spans="1:36" x14ac:dyDescent="0.25">
      <c r="A189" t="s">
        <v>179</v>
      </c>
      <c r="B189" t="s">
        <v>23</v>
      </c>
      <c r="C189">
        <v>2021</v>
      </c>
      <c r="D189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974.00069778361353</v>
      </c>
      <c r="E189">
        <f t="shared" ref="E189:E218" ca="1" si="4">IF(C189=2020,SUM(G189:AJ189),SUM(F188:AJ188)-SUM(G189:AJ189))</f>
        <v>0</v>
      </c>
      <c r="F18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3275.9086663582484</v>
      </c>
      <c r="G189">
        <f ca="1">IF($C189-G$1&lt;År1,0,F188*(1-VLOOKUP($A189,[1]Hugst!$R$5:$W$9,MATCH(ROUNDUP((G$1)/10,0)*10,[1]Hugst!$R$4:$W$4,0))))</f>
        <v>3280.8031422265312</v>
      </c>
      <c r="H189">
        <f>IF($C189-H$1&lt;År1,0,G188*(1-VLOOKUP($A189,[1]Hugst!$R$5:$W$9,MATCH(ROUNDUP((H$1)/10,0)*10,[1]Hugst!$R$4:$W$4,0))))</f>
        <v>0</v>
      </c>
      <c r="I189">
        <f>IF($C189-I$1&lt;År1,0,H188*(1-VLOOKUP($A189,[1]Hugst!$R$5:$W$9,MATCH(ROUNDUP((I$1)/10,0)*10,[1]Hugst!$R$4:$W$4,0))))</f>
        <v>0</v>
      </c>
      <c r="J189">
        <f>IF($C189-J$1&lt;År1,0,I188*(1-VLOOKUP($A189,[1]Hugst!$R$5:$W$9,MATCH(ROUNDUP((J$1)/10,0)*10,[1]Hugst!$R$4:$W$4,0))))</f>
        <v>0</v>
      </c>
      <c r="K189">
        <f>IF($C189-K$1&lt;År1,0,J188*(1-VLOOKUP($A189,[1]Hugst!$R$5:$W$9,MATCH(ROUNDUP((K$1)/10,0)*10,[1]Hugst!$R$4:$W$4,0))))</f>
        <v>0</v>
      </c>
      <c r="L189">
        <f>IF($C189-L$1&lt;År1,0,K188*(1-VLOOKUP($A189,[1]Hugst!$R$5:$W$9,MATCH(ROUNDUP((L$1)/10,0)*10,[1]Hugst!$R$4:$W$4,0))))</f>
        <v>0</v>
      </c>
      <c r="M189">
        <f>IF($C189-M$1&lt;År1,0,L188*(1-VLOOKUP($A189,[1]Hugst!$R$5:$W$9,MATCH(ROUNDUP((M$1)/10,0)*10,[1]Hugst!$R$4:$W$4,0))))</f>
        <v>0</v>
      </c>
      <c r="N189">
        <f>IF($C189-N$1&lt;År1,0,M188*(1-VLOOKUP($A189,[1]Hugst!$R$5:$W$9,MATCH(ROUNDUP((N$1)/10,0)*10,[1]Hugst!$R$4:$W$4,0))))</f>
        <v>0</v>
      </c>
      <c r="O189">
        <f>IF($C189-O$1&lt;År1,0,N188*(1-VLOOKUP($A189,[1]Hugst!$R$5:$W$9,MATCH(ROUNDUP((O$1)/10,0)*10,[1]Hugst!$R$4:$W$4,0))))</f>
        <v>0</v>
      </c>
      <c r="P189">
        <f>IF($C189-P$1&lt;År1,0,O188*(1-VLOOKUP($A189,[1]Hugst!$R$5:$W$9,MATCH(ROUNDUP((P$1)/10,0)*10,[1]Hugst!$R$4:$W$4,0))))</f>
        <v>0</v>
      </c>
      <c r="Q189">
        <f>IF($C189-Q$1&lt;År1,0,P188*(1-VLOOKUP($A189,[1]Hugst!$R$5:$W$9,MATCH(ROUNDUP((Q$1)/10,0)*10,[1]Hugst!$R$4:$W$4,0))))</f>
        <v>0</v>
      </c>
      <c r="R189">
        <f>IF($C189-R$1&lt;År1,0,Q188*(1-VLOOKUP($A189,[1]Hugst!$R$5:$W$9,MATCH(ROUNDUP((R$1)/10,0)*10,[1]Hugst!$R$4:$W$4,0))))</f>
        <v>0</v>
      </c>
      <c r="S189">
        <f>IF($C189-S$1&lt;År1,0,R188*(1-VLOOKUP($A189,[1]Hugst!$R$5:$W$9,MATCH(ROUNDUP((S$1)/10,0)*10,[1]Hugst!$R$4:$W$4,0))))</f>
        <v>0</v>
      </c>
      <c r="T189">
        <f>IF($C189-T$1&lt;År1,0,S188*(1-VLOOKUP($A189,[1]Hugst!$R$5:$W$9,MATCH(ROUNDUP((T$1)/10,0)*10,[1]Hugst!$R$4:$W$4,0))))</f>
        <v>0</v>
      </c>
      <c r="U189">
        <f>IF($C189-U$1&lt;År1,0,T188*(1-VLOOKUP($A189,[1]Hugst!$R$5:$W$9,MATCH(ROUNDUP((U$1)/10,0)*10,[1]Hugst!$R$4:$W$4,0))))</f>
        <v>0</v>
      </c>
      <c r="V189">
        <f>IF($C189-V$1&lt;År1,0,U188*(1-VLOOKUP($A189,[1]Hugst!$R$5:$W$9,MATCH(ROUNDUP((V$1)/10,0)*10,[1]Hugst!$R$4:$W$4,0))))</f>
        <v>0</v>
      </c>
      <c r="W189">
        <f>IF($C189-W$1&lt;År1,0,V188*(1-VLOOKUP($A189,[1]Hugst!$R$5:$W$9,MATCH(ROUNDUP((W$1)/10,0)*10,[1]Hugst!$R$4:$W$4,0))))</f>
        <v>0</v>
      </c>
      <c r="X189">
        <f>IF($C189-X$1&lt;År1,0,W188*(1-VLOOKUP($A189,[1]Hugst!$R$5:$W$9,MATCH(ROUNDUP((X$1)/10,0)*10,[1]Hugst!$R$4:$W$4,0))))</f>
        <v>0</v>
      </c>
      <c r="Y189">
        <f>IF($C189-Y$1&lt;År1,0,X188*(1-VLOOKUP($A189,[1]Hugst!$R$5:$W$9,MATCH(ROUNDUP((Y$1)/10,0)*10,[1]Hugst!$R$4:$W$4,0))))</f>
        <v>0</v>
      </c>
      <c r="Z189">
        <f>IF($C189-Z$1&lt;År1,0,Y188*(1-VLOOKUP($A189,[1]Hugst!$R$5:$W$9,MATCH(ROUNDUP((Z$1)/10,0)*10,[1]Hugst!$R$4:$W$4,0))))</f>
        <v>0</v>
      </c>
      <c r="AA189">
        <f>IF($C189-AA$1&lt;År1,0,Z188*(1-VLOOKUP($A189,[1]Hugst!$R$5:$W$9,MATCH(ROUNDUP((AA$1)/10,0)*10,[1]Hugst!$R$4:$W$4,0))))</f>
        <v>0</v>
      </c>
      <c r="AB189">
        <f>IF($C189-AB$1&lt;År1,0,AA188*(1-VLOOKUP($A189,[1]Hugst!$R$5:$W$9,MATCH(ROUNDUP((AB$1)/10,0)*10,[1]Hugst!$R$4:$W$4,0))))</f>
        <v>0</v>
      </c>
      <c r="AC189">
        <f>IF($C189-AC$1&lt;År1,0,AB188*(1-VLOOKUP($A189,[1]Hugst!$R$5:$W$9,MATCH(ROUNDUP((AC$1)/10,0)*10,[1]Hugst!$R$4:$W$4,0))))</f>
        <v>0</v>
      </c>
      <c r="AD189">
        <f>IF($C189-AD$1&lt;År1,0,AC188*(1-VLOOKUP($A189,[1]Hugst!$R$5:$W$9,MATCH(ROUNDUP((AD$1)/10,0)*10,[1]Hugst!$R$4:$W$4,0))))</f>
        <v>0</v>
      </c>
      <c r="AE189">
        <f>IF($C189-AE$1&lt;År1,0,AD188*(1-VLOOKUP($A189,[1]Hugst!$R$5:$W$9,MATCH(ROUNDUP((AE$1)/10,0)*10,[1]Hugst!$R$4:$W$4,0))))</f>
        <v>0</v>
      </c>
      <c r="AF189">
        <f>IF($C189-AF$1&lt;År1,0,AE188*(1-VLOOKUP($A189,[1]Hugst!$R$5:$W$9,MATCH(ROUNDUP((AF$1)/10,0)*10,[1]Hugst!$R$4:$W$4,0))))</f>
        <v>0</v>
      </c>
      <c r="AG189">
        <f>IF($C189-AG$1&lt;År1,0,AF188*(1-VLOOKUP($A189,[1]Hugst!$R$5:$W$9,MATCH(ROUNDUP((AG$1)/10,0)*10,[1]Hugst!$R$4:$W$4,0))))</f>
        <v>0</v>
      </c>
      <c r="AH189">
        <f>IF($C189-AH$1&lt;År1,0,AG188*(1-VLOOKUP($A189,[1]Hugst!$R$5:$W$9,MATCH(ROUNDUP((AH$1)/10,0)*10,[1]Hugst!$R$4:$W$4,0))))</f>
        <v>0</v>
      </c>
      <c r="AI189">
        <f>IF($C189-AI$1&lt;År1,0,AH188*(1-VLOOKUP($A189,[1]Hugst!$R$5:$W$9,MATCH(ROUNDUP((AI$1)/10,0)*10,[1]Hugst!$R$4:$W$4,0))))</f>
        <v>0</v>
      </c>
      <c r="AJ189">
        <f>IF($C189-AJ$1&lt;År1,0,AI188*(1-VLOOKUP($A189,[1]Hugst!$R$5:$W$9,MATCH(ROUNDUP((AJ$1)/10,0)*10,[1]Hugst!$R$4:$W$4,0))))</f>
        <v>0</v>
      </c>
    </row>
    <row r="190" spans="1:36" x14ac:dyDescent="0.25">
      <c r="A190" t="s">
        <v>179</v>
      </c>
      <c r="B190" t="s">
        <v>23</v>
      </c>
      <c r="C190">
        <v>2022</v>
      </c>
      <c r="D190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969.13069429472398</v>
      </c>
      <c r="E190">
        <f t="shared" ca="1" si="4"/>
        <v>0</v>
      </c>
      <c r="F190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3271.0386628693586</v>
      </c>
      <c r="G190">
        <f ca="1">IF($C190-G$1&lt;År1,0,F189*(1-VLOOKUP($A190,[1]Hugst!$R$5:$W$9,MATCH(ROUNDUP((G$1)/10,0)*10,[1]Hugst!$R$4:$W$4,0))))</f>
        <v>3275.9086663582484</v>
      </c>
      <c r="H190">
        <f ca="1">IF($C190-H$1&lt;År1,0,G189*(1-VLOOKUP($A190,[1]Hugst!$R$5:$W$9,MATCH(ROUNDUP((H$1)/10,0)*10,[1]Hugst!$R$4:$W$4,0))))</f>
        <v>3280.8031422265312</v>
      </c>
      <c r="I190">
        <f>IF($C190-I$1&lt;År1,0,H189*(1-VLOOKUP($A190,[1]Hugst!$R$5:$W$9,MATCH(ROUNDUP((I$1)/10,0)*10,[1]Hugst!$R$4:$W$4,0))))</f>
        <v>0</v>
      </c>
      <c r="J190">
        <f>IF($C190-J$1&lt;År1,0,I189*(1-VLOOKUP($A190,[1]Hugst!$R$5:$W$9,MATCH(ROUNDUP((J$1)/10,0)*10,[1]Hugst!$R$4:$W$4,0))))</f>
        <v>0</v>
      </c>
      <c r="K190">
        <f>IF($C190-K$1&lt;År1,0,J189*(1-VLOOKUP($A190,[1]Hugst!$R$5:$W$9,MATCH(ROUNDUP((K$1)/10,0)*10,[1]Hugst!$R$4:$W$4,0))))</f>
        <v>0</v>
      </c>
      <c r="L190">
        <f>IF($C190-L$1&lt;År1,0,K189*(1-VLOOKUP($A190,[1]Hugst!$R$5:$W$9,MATCH(ROUNDUP((L$1)/10,0)*10,[1]Hugst!$R$4:$W$4,0))))</f>
        <v>0</v>
      </c>
      <c r="M190">
        <f>IF($C190-M$1&lt;År1,0,L189*(1-VLOOKUP($A190,[1]Hugst!$R$5:$W$9,MATCH(ROUNDUP((M$1)/10,0)*10,[1]Hugst!$R$4:$W$4,0))))</f>
        <v>0</v>
      </c>
      <c r="N190">
        <f>IF($C190-N$1&lt;År1,0,M189*(1-VLOOKUP($A190,[1]Hugst!$R$5:$W$9,MATCH(ROUNDUP((N$1)/10,0)*10,[1]Hugst!$R$4:$W$4,0))))</f>
        <v>0</v>
      </c>
      <c r="O190">
        <f>IF($C190-O$1&lt;År1,0,N189*(1-VLOOKUP($A190,[1]Hugst!$R$5:$W$9,MATCH(ROUNDUP((O$1)/10,0)*10,[1]Hugst!$R$4:$W$4,0))))</f>
        <v>0</v>
      </c>
      <c r="P190">
        <f>IF($C190-P$1&lt;År1,0,O189*(1-VLOOKUP($A190,[1]Hugst!$R$5:$W$9,MATCH(ROUNDUP((P$1)/10,0)*10,[1]Hugst!$R$4:$W$4,0))))</f>
        <v>0</v>
      </c>
      <c r="Q190">
        <f>IF($C190-Q$1&lt;År1,0,P189*(1-VLOOKUP($A190,[1]Hugst!$R$5:$W$9,MATCH(ROUNDUP((Q$1)/10,0)*10,[1]Hugst!$R$4:$W$4,0))))</f>
        <v>0</v>
      </c>
      <c r="R190">
        <f>IF($C190-R$1&lt;År1,0,Q189*(1-VLOOKUP($A190,[1]Hugst!$R$5:$W$9,MATCH(ROUNDUP((R$1)/10,0)*10,[1]Hugst!$R$4:$W$4,0))))</f>
        <v>0</v>
      </c>
      <c r="S190">
        <f>IF($C190-S$1&lt;År1,0,R189*(1-VLOOKUP($A190,[1]Hugst!$R$5:$W$9,MATCH(ROUNDUP((S$1)/10,0)*10,[1]Hugst!$R$4:$W$4,0))))</f>
        <v>0</v>
      </c>
      <c r="T190">
        <f>IF($C190-T$1&lt;År1,0,S189*(1-VLOOKUP($A190,[1]Hugst!$R$5:$W$9,MATCH(ROUNDUP((T$1)/10,0)*10,[1]Hugst!$R$4:$W$4,0))))</f>
        <v>0</v>
      </c>
      <c r="U190">
        <f>IF($C190-U$1&lt;År1,0,T189*(1-VLOOKUP($A190,[1]Hugst!$R$5:$W$9,MATCH(ROUNDUP((U$1)/10,0)*10,[1]Hugst!$R$4:$W$4,0))))</f>
        <v>0</v>
      </c>
      <c r="V190">
        <f>IF($C190-V$1&lt;År1,0,U189*(1-VLOOKUP($A190,[1]Hugst!$R$5:$W$9,MATCH(ROUNDUP((V$1)/10,0)*10,[1]Hugst!$R$4:$W$4,0))))</f>
        <v>0</v>
      </c>
      <c r="W190">
        <f>IF($C190-W$1&lt;År1,0,V189*(1-VLOOKUP($A190,[1]Hugst!$R$5:$W$9,MATCH(ROUNDUP((W$1)/10,0)*10,[1]Hugst!$R$4:$W$4,0))))</f>
        <v>0</v>
      </c>
      <c r="X190">
        <f>IF($C190-X$1&lt;År1,0,W189*(1-VLOOKUP($A190,[1]Hugst!$R$5:$W$9,MATCH(ROUNDUP((X$1)/10,0)*10,[1]Hugst!$R$4:$W$4,0))))</f>
        <v>0</v>
      </c>
      <c r="Y190">
        <f>IF($C190-Y$1&lt;År1,0,X189*(1-VLOOKUP($A190,[1]Hugst!$R$5:$W$9,MATCH(ROUNDUP((Y$1)/10,0)*10,[1]Hugst!$R$4:$W$4,0))))</f>
        <v>0</v>
      </c>
      <c r="Z190">
        <f>IF($C190-Z$1&lt;År1,0,Y189*(1-VLOOKUP($A190,[1]Hugst!$R$5:$W$9,MATCH(ROUNDUP((Z$1)/10,0)*10,[1]Hugst!$R$4:$W$4,0))))</f>
        <v>0</v>
      </c>
      <c r="AA190">
        <f>IF($C190-AA$1&lt;År1,0,Z189*(1-VLOOKUP($A190,[1]Hugst!$R$5:$W$9,MATCH(ROUNDUP((AA$1)/10,0)*10,[1]Hugst!$R$4:$W$4,0))))</f>
        <v>0</v>
      </c>
      <c r="AB190">
        <f>IF($C190-AB$1&lt;År1,0,AA189*(1-VLOOKUP($A190,[1]Hugst!$R$5:$W$9,MATCH(ROUNDUP((AB$1)/10,0)*10,[1]Hugst!$R$4:$W$4,0))))</f>
        <v>0</v>
      </c>
      <c r="AC190">
        <f>IF($C190-AC$1&lt;År1,0,AB189*(1-VLOOKUP($A190,[1]Hugst!$R$5:$W$9,MATCH(ROUNDUP((AC$1)/10,0)*10,[1]Hugst!$R$4:$W$4,0))))</f>
        <v>0</v>
      </c>
      <c r="AD190">
        <f>IF($C190-AD$1&lt;År1,0,AC189*(1-VLOOKUP($A190,[1]Hugst!$R$5:$W$9,MATCH(ROUNDUP((AD$1)/10,0)*10,[1]Hugst!$R$4:$W$4,0))))</f>
        <v>0</v>
      </c>
      <c r="AE190">
        <f>IF($C190-AE$1&lt;År1,0,AD189*(1-VLOOKUP($A190,[1]Hugst!$R$5:$W$9,MATCH(ROUNDUP((AE$1)/10,0)*10,[1]Hugst!$R$4:$W$4,0))))</f>
        <v>0</v>
      </c>
      <c r="AF190">
        <f>IF($C190-AF$1&lt;År1,0,AE189*(1-VLOOKUP($A190,[1]Hugst!$R$5:$W$9,MATCH(ROUNDUP((AF$1)/10,0)*10,[1]Hugst!$R$4:$W$4,0))))</f>
        <v>0</v>
      </c>
      <c r="AG190">
        <f>IF($C190-AG$1&lt;År1,0,AF189*(1-VLOOKUP($A190,[1]Hugst!$R$5:$W$9,MATCH(ROUNDUP((AG$1)/10,0)*10,[1]Hugst!$R$4:$W$4,0))))</f>
        <v>0</v>
      </c>
      <c r="AH190">
        <f>IF($C190-AH$1&lt;År1,0,AG189*(1-VLOOKUP($A190,[1]Hugst!$R$5:$W$9,MATCH(ROUNDUP((AH$1)/10,0)*10,[1]Hugst!$R$4:$W$4,0))))</f>
        <v>0</v>
      </c>
      <c r="AI190">
        <f>IF($C190-AI$1&lt;År1,0,AH189*(1-VLOOKUP($A190,[1]Hugst!$R$5:$W$9,MATCH(ROUNDUP((AI$1)/10,0)*10,[1]Hugst!$R$4:$W$4,0))))</f>
        <v>0</v>
      </c>
      <c r="AJ190">
        <f>IF($C190-AJ$1&lt;År1,0,AI189*(1-VLOOKUP($A190,[1]Hugst!$R$5:$W$9,MATCH(ROUNDUP((AJ$1)/10,0)*10,[1]Hugst!$R$4:$W$4,0))))</f>
        <v>0</v>
      </c>
    </row>
    <row r="191" spans="1:36" x14ac:dyDescent="0.25">
      <c r="A191" t="s">
        <v>179</v>
      </c>
      <c r="B191" t="s">
        <v>23</v>
      </c>
      <c r="C191">
        <v>2023</v>
      </c>
      <c r="D191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964.2850408232448</v>
      </c>
      <c r="E191">
        <f t="shared" ca="1" si="4"/>
        <v>0</v>
      </c>
      <c r="F191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3266.1930093978795</v>
      </c>
      <c r="G191">
        <f ca="1">IF($C191-G$1&lt;År1,0,F190*(1-VLOOKUP($A191,[1]Hugst!$R$5:$W$9,MATCH(ROUNDUP((G$1)/10,0)*10,[1]Hugst!$R$4:$W$4,0))))</f>
        <v>3271.0386628693586</v>
      </c>
      <c r="H191">
        <f ca="1">IF($C191-H$1&lt;År1,0,G190*(1-VLOOKUP($A191,[1]Hugst!$R$5:$W$9,MATCH(ROUNDUP((H$1)/10,0)*10,[1]Hugst!$R$4:$W$4,0))))</f>
        <v>3275.9086663582484</v>
      </c>
      <c r="I191">
        <f ca="1">IF($C191-I$1&lt;År1,0,H190*(1-VLOOKUP($A191,[1]Hugst!$R$5:$W$9,MATCH(ROUNDUP((I$1)/10,0)*10,[1]Hugst!$R$4:$W$4,0))))</f>
        <v>3280.8031422265312</v>
      </c>
      <c r="J191">
        <f>IF($C191-J$1&lt;År1,0,I190*(1-VLOOKUP($A191,[1]Hugst!$R$5:$W$9,MATCH(ROUNDUP((J$1)/10,0)*10,[1]Hugst!$R$4:$W$4,0))))</f>
        <v>0</v>
      </c>
      <c r="K191">
        <f>IF($C191-K$1&lt;År1,0,J190*(1-VLOOKUP($A191,[1]Hugst!$R$5:$W$9,MATCH(ROUNDUP((K$1)/10,0)*10,[1]Hugst!$R$4:$W$4,0))))</f>
        <v>0</v>
      </c>
      <c r="L191">
        <f>IF($C191-L$1&lt;År1,0,K190*(1-VLOOKUP($A191,[1]Hugst!$R$5:$W$9,MATCH(ROUNDUP((L$1)/10,0)*10,[1]Hugst!$R$4:$W$4,0))))</f>
        <v>0</v>
      </c>
      <c r="M191">
        <f>IF($C191-M$1&lt;År1,0,L190*(1-VLOOKUP($A191,[1]Hugst!$R$5:$W$9,MATCH(ROUNDUP((M$1)/10,0)*10,[1]Hugst!$R$4:$W$4,0))))</f>
        <v>0</v>
      </c>
      <c r="N191">
        <f>IF($C191-N$1&lt;År1,0,M190*(1-VLOOKUP($A191,[1]Hugst!$R$5:$W$9,MATCH(ROUNDUP((N$1)/10,0)*10,[1]Hugst!$R$4:$W$4,0))))</f>
        <v>0</v>
      </c>
      <c r="O191">
        <f>IF($C191-O$1&lt;År1,0,N190*(1-VLOOKUP($A191,[1]Hugst!$R$5:$W$9,MATCH(ROUNDUP((O$1)/10,0)*10,[1]Hugst!$R$4:$W$4,0))))</f>
        <v>0</v>
      </c>
      <c r="P191">
        <f>IF($C191-P$1&lt;År1,0,O190*(1-VLOOKUP($A191,[1]Hugst!$R$5:$W$9,MATCH(ROUNDUP((P$1)/10,0)*10,[1]Hugst!$R$4:$W$4,0))))</f>
        <v>0</v>
      </c>
      <c r="Q191">
        <f>IF($C191-Q$1&lt;År1,0,P190*(1-VLOOKUP($A191,[1]Hugst!$R$5:$W$9,MATCH(ROUNDUP((Q$1)/10,0)*10,[1]Hugst!$R$4:$W$4,0))))</f>
        <v>0</v>
      </c>
      <c r="R191">
        <f>IF($C191-R$1&lt;År1,0,Q190*(1-VLOOKUP($A191,[1]Hugst!$R$5:$W$9,MATCH(ROUNDUP((R$1)/10,0)*10,[1]Hugst!$R$4:$W$4,0))))</f>
        <v>0</v>
      </c>
      <c r="S191">
        <f>IF($C191-S$1&lt;År1,0,R190*(1-VLOOKUP($A191,[1]Hugst!$R$5:$W$9,MATCH(ROUNDUP((S$1)/10,0)*10,[1]Hugst!$R$4:$W$4,0))))</f>
        <v>0</v>
      </c>
      <c r="T191">
        <f>IF($C191-T$1&lt;År1,0,S190*(1-VLOOKUP($A191,[1]Hugst!$R$5:$W$9,MATCH(ROUNDUP((T$1)/10,0)*10,[1]Hugst!$R$4:$W$4,0))))</f>
        <v>0</v>
      </c>
      <c r="U191">
        <f>IF($C191-U$1&lt;År1,0,T190*(1-VLOOKUP($A191,[1]Hugst!$R$5:$W$9,MATCH(ROUNDUP((U$1)/10,0)*10,[1]Hugst!$R$4:$W$4,0))))</f>
        <v>0</v>
      </c>
      <c r="V191">
        <f>IF($C191-V$1&lt;År1,0,U190*(1-VLOOKUP($A191,[1]Hugst!$R$5:$W$9,MATCH(ROUNDUP((V$1)/10,0)*10,[1]Hugst!$R$4:$W$4,0))))</f>
        <v>0</v>
      </c>
      <c r="W191">
        <f>IF($C191-W$1&lt;År1,0,V190*(1-VLOOKUP($A191,[1]Hugst!$R$5:$W$9,MATCH(ROUNDUP((W$1)/10,0)*10,[1]Hugst!$R$4:$W$4,0))))</f>
        <v>0</v>
      </c>
      <c r="X191">
        <f>IF($C191-X$1&lt;År1,0,W190*(1-VLOOKUP($A191,[1]Hugst!$R$5:$W$9,MATCH(ROUNDUP((X$1)/10,0)*10,[1]Hugst!$R$4:$W$4,0))))</f>
        <v>0</v>
      </c>
      <c r="Y191">
        <f>IF($C191-Y$1&lt;År1,0,X190*(1-VLOOKUP($A191,[1]Hugst!$R$5:$W$9,MATCH(ROUNDUP((Y$1)/10,0)*10,[1]Hugst!$R$4:$W$4,0))))</f>
        <v>0</v>
      </c>
      <c r="Z191">
        <f>IF($C191-Z$1&lt;År1,0,Y190*(1-VLOOKUP($A191,[1]Hugst!$R$5:$W$9,MATCH(ROUNDUP((Z$1)/10,0)*10,[1]Hugst!$R$4:$W$4,0))))</f>
        <v>0</v>
      </c>
      <c r="AA191">
        <f>IF($C191-AA$1&lt;År1,0,Z190*(1-VLOOKUP($A191,[1]Hugst!$R$5:$W$9,MATCH(ROUNDUP((AA$1)/10,0)*10,[1]Hugst!$R$4:$W$4,0))))</f>
        <v>0</v>
      </c>
      <c r="AB191">
        <f>IF($C191-AB$1&lt;År1,0,AA190*(1-VLOOKUP($A191,[1]Hugst!$R$5:$W$9,MATCH(ROUNDUP((AB$1)/10,0)*10,[1]Hugst!$R$4:$W$4,0))))</f>
        <v>0</v>
      </c>
      <c r="AC191">
        <f>IF($C191-AC$1&lt;År1,0,AB190*(1-VLOOKUP($A191,[1]Hugst!$R$5:$W$9,MATCH(ROUNDUP((AC$1)/10,0)*10,[1]Hugst!$R$4:$W$4,0))))</f>
        <v>0</v>
      </c>
      <c r="AD191">
        <f>IF($C191-AD$1&lt;År1,0,AC190*(1-VLOOKUP($A191,[1]Hugst!$R$5:$W$9,MATCH(ROUNDUP((AD$1)/10,0)*10,[1]Hugst!$R$4:$W$4,0))))</f>
        <v>0</v>
      </c>
      <c r="AE191">
        <f>IF($C191-AE$1&lt;År1,0,AD190*(1-VLOOKUP($A191,[1]Hugst!$R$5:$W$9,MATCH(ROUNDUP((AE$1)/10,0)*10,[1]Hugst!$R$4:$W$4,0))))</f>
        <v>0</v>
      </c>
      <c r="AF191">
        <f>IF($C191-AF$1&lt;År1,0,AE190*(1-VLOOKUP($A191,[1]Hugst!$R$5:$W$9,MATCH(ROUNDUP((AF$1)/10,0)*10,[1]Hugst!$R$4:$W$4,0))))</f>
        <v>0</v>
      </c>
      <c r="AG191">
        <f>IF($C191-AG$1&lt;År1,0,AF190*(1-VLOOKUP($A191,[1]Hugst!$R$5:$W$9,MATCH(ROUNDUP((AG$1)/10,0)*10,[1]Hugst!$R$4:$W$4,0))))</f>
        <v>0</v>
      </c>
      <c r="AH191">
        <f>IF($C191-AH$1&lt;År1,0,AG190*(1-VLOOKUP($A191,[1]Hugst!$R$5:$W$9,MATCH(ROUNDUP((AH$1)/10,0)*10,[1]Hugst!$R$4:$W$4,0))))</f>
        <v>0</v>
      </c>
      <c r="AI191">
        <f>IF($C191-AI$1&lt;År1,0,AH190*(1-VLOOKUP($A191,[1]Hugst!$R$5:$W$9,MATCH(ROUNDUP((AI$1)/10,0)*10,[1]Hugst!$R$4:$W$4,0))))</f>
        <v>0</v>
      </c>
      <c r="AJ191">
        <f>IF($C191-AJ$1&lt;År1,0,AI190*(1-VLOOKUP($A191,[1]Hugst!$R$5:$W$9,MATCH(ROUNDUP((AJ$1)/10,0)*10,[1]Hugst!$R$4:$W$4,0))))</f>
        <v>0</v>
      </c>
    </row>
    <row r="192" spans="1:36" x14ac:dyDescent="0.25">
      <c r="A192" t="s">
        <v>179</v>
      </c>
      <c r="B192" t="s">
        <v>23</v>
      </c>
      <c r="C192">
        <v>2024</v>
      </c>
      <c r="D192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959.46361561912681</v>
      </c>
      <c r="E192">
        <f t="shared" ca="1" si="4"/>
        <v>0</v>
      </c>
      <c r="F192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3261.3715841937615</v>
      </c>
      <c r="G192">
        <f ca="1">IF($C192-G$1&lt;År1,0,F191*(1-VLOOKUP($A192,[1]Hugst!$R$5:$W$9,MATCH(ROUNDUP((G$1)/10,0)*10,[1]Hugst!$R$4:$W$4,0))))</f>
        <v>3266.1930093978795</v>
      </c>
      <c r="H192">
        <f ca="1">IF($C192-H$1&lt;År1,0,G191*(1-VLOOKUP($A192,[1]Hugst!$R$5:$W$9,MATCH(ROUNDUP((H$1)/10,0)*10,[1]Hugst!$R$4:$W$4,0))))</f>
        <v>3271.0386628693586</v>
      </c>
      <c r="I192">
        <f ca="1">IF($C192-I$1&lt;År1,0,H191*(1-VLOOKUP($A192,[1]Hugst!$R$5:$W$9,MATCH(ROUNDUP((I$1)/10,0)*10,[1]Hugst!$R$4:$W$4,0))))</f>
        <v>3275.9086663582484</v>
      </c>
      <c r="J192">
        <f ca="1">IF($C192-J$1&lt;År1,0,I191*(1-VLOOKUP($A192,[1]Hugst!$R$5:$W$9,MATCH(ROUNDUP((J$1)/10,0)*10,[1]Hugst!$R$4:$W$4,0))))</f>
        <v>3280.8031422265312</v>
      </c>
      <c r="K192">
        <f>IF($C192-K$1&lt;År1,0,J191*(1-VLOOKUP($A192,[1]Hugst!$R$5:$W$9,MATCH(ROUNDUP((K$1)/10,0)*10,[1]Hugst!$R$4:$W$4,0))))</f>
        <v>0</v>
      </c>
      <c r="L192">
        <f>IF($C192-L$1&lt;År1,0,K191*(1-VLOOKUP($A192,[1]Hugst!$R$5:$W$9,MATCH(ROUNDUP((L$1)/10,0)*10,[1]Hugst!$R$4:$W$4,0))))</f>
        <v>0</v>
      </c>
      <c r="M192">
        <f>IF($C192-M$1&lt;År1,0,L191*(1-VLOOKUP($A192,[1]Hugst!$R$5:$W$9,MATCH(ROUNDUP((M$1)/10,0)*10,[1]Hugst!$R$4:$W$4,0))))</f>
        <v>0</v>
      </c>
      <c r="N192">
        <f>IF($C192-N$1&lt;År1,0,M191*(1-VLOOKUP($A192,[1]Hugst!$R$5:$W$9,MATCH(ROUNDUP((N$1)/10,0)*10,[1]Hugst!$R$4:$W$4,0))))</f>
        <v>0</v>
      </c>
      <c r="O192">
        <f>IF($C192-O$1&lt;År1,0,N191*(1-VLOOKUP($A192,[1]Hugst!$R$5:$W$9,MATCH(ROUNDUP((O$1)/10,0)*10,[1]Hugst!$R$4:$W$4,0))))</f>
        <v>0</v>
      </c>
      <c r="P192">
        <f>IF($C192-P$1&lt;År1,0,O191*(1-VLOOKUP($A192,[1]Hugst!$R$5:$W$9,MATCH(ROUNDUP((P$1)/10,0)*10,[1]Hugst!$R$4:$W$4,0))))</f>
        <v>0</v>
      </c>
      <c r="Q192">
        <f>IF($C192-Q$1&lt;År1,0,P191*(1-VLOOKUP($A192,[1]Hugst!$R$5:$W$9,MATCH(ROUNDUP((Q$1)/10,0)*10,[1]Hugst!$R$4:$W$4,0))))</f>
        <v>0</v>
      </c>
      <c r="R192">
        <f>IF($C192-R$1&lt;År1,0,Q191*(1-VLOOKUP($A192,[1]Hugst!$R$5:$W$9,MATCH(ROUNDUP((R$1)/10,0)*10,[1]Hugst!$R$4:$W$4,0))))</f>
        <v>0</v>
      </c>
      <c r="S192">
        <f>IF($C192-S$1&lt;År1,0,R191*(1-VLOOKUP($A192,[1]Hugst!$R$5:$W$9,MATCH(ROUNDUP((S$1)/10,0)*10,[1]Hugst!$R$4:$W$4,0))))</f>
        <v>0</v>
      </c>
      <c r="T192">
        <f>IF($C192-T$1&lt;År1,0,S191*(1-VLOOKUP($A192,[1]Hugst!$R$5:$W$9,MATCH(ROUNDUP((T$1)/10,0)*10,[1]Hugst!$R$4:$W$4,0))))</f>
        <v>0</v>
      </c>
      <c r="U192">
        <f>IF($C192-U$1&lt;År1,0,T191*(1-VLOOKUP($A192,[1]Hugst!$R$5:$W$9,MATCH(ROUNDUP((U$1)/10,0)*10,[1]Hugst!$R$4:$W$4,0))))</f>
        <v>0</v>
      </c>
      <c r="V192">
        <f>IF($C192-V$1&lt;År1,0,U191*(1-VLOOKUP($A192,[1]Hugst!$R$5:$W$9,MATCH(ROUNDUP((V$1)/10,0)*10,[1]Hugst!$R$4:$W$4,0))))</f>
        <v>0</v>
      </c>
      <c r="W192">
        <f>IF($C192-W$1&lt;År1,0,V191*(1-VLOOKUP($A192,[1]Hugst!$R$5:$W$9,MATCH(ROUNDUP((W$1)/10,0)*10,[1]Hugst!$R$4:$W$4,0))))</f>
        <v>0</v>
      </c>
      <c r="X192">
        <f>IF($C192-X$1&lt;År1,0,W191*(1-VLOOKUP($A192,[1]Hugst!$R$5:$W$9,MATCH(ROUNDUP((X$1)/10,0)*10,[1]Hugst!$R$4:$W$4,0))))</f>
        <v>0</v>
      </c>
      <c r="Y192">
        <f>IF($C192-Y$1&lt;År1,0,X191*(1-VLOOKUP($A192,[1]Hugst!$R$5:$W$9,MATCH(ROUNDUP((Y$1)/10,0)*10,[1]Hugst!$R$4:$W$4,0))))</f>
        <v>0</v>
      </c>
      <c r="Z192">
        <f>IF($C192-Z$1&lt;År1,0,Y191*(1-VLOOKUP($A192,[1]Hugst!$R$5:$W$9,MATCH(ROUNDUP((Z$1)/10,0)*10,[1]Hugst!$R$4:$W$4,0))))</f>
        <v>0</v>
      </c>
      <c r="AA192">
        <f>IF($C192-AA$1&lt;År1,0,Z191*(1-VLOOKUP($A192,[1]Hugst!$R$5:$W$9,MATCH(ROUNDUP((AA$1)/10,0)*10,[1]Hugst!$R$4:$W$4,0))))</f>
        <v>0</v>
      </c>
      <c r="AB192">
        <f>IF($C192-AB$1&lt;År1,0,AA191*(1-VLOOKUP($A192,[1]Hugst!$R$5:$W$9,MATCH(ROUNDUP((AB$1)/10,0)*10,[1]Hugst!$R$4:$W$4,0))))</f>
        <v>0</v>
      </c>
      <c r="AC192">
        <f>IF($C192-AC$1&lt;År1,0,AB191*(1-VLOOKUP($A192,[1]Hugst!$R$5:$W$9,MATCH(ROUNDUP((AC$1)/10,0)*10,[1]Hugst!$R$4:$W$4,0))))</f>
        <v>0</v>
      </c>
      <c r="AD192">
        <f>IF($C192-AD$1&lt;År1,0,AC191*(1-VLOOKUP($A192,[1]Hugst!$R$5:$W$9,MATCH(ROUNDUP((AD$1)/10,0)*10,[1]Hugst!$R$4:$W$4,0))))</f>
        <v>0</v>
      </c>
      <c r="AE192">
        <f>IF($C192-AE$1&lt;År1,0,AD191*(1-VLOOKUP($A192,[1]Hugst!$R$5:$W$9,MATCH(ROUNDUP((AE$1)/10,0)*10,[1]Hugst!$R$4:$W$4,0))))</f>
        <v>0</v>
      </c>
      <c r="AF192">
        <f>IF($C192-AF$1&lt;År1,0,AE191*(1-VLOOKUP($A192,[1]Hugst!$R$5:$W$9,MATCH(ROUNDUP((AF$1)/10,0)*10,[1]Hugst!$R$4:$W$4,0))))</f>
        <v>0</v>
      </c>
      <c r="AG192">
        <f>IF($C192-AG$1&lt;År1,0,AF191*(1-VLOOKUP($A192,[1]Hugst!$R$5:$W$9,MATCH(ROUNDUP((AG$1)/10,0)*10,[1]Hugst!$R$4:$W$4,0))))</f>
        <v>0</v>
      </c>
      <c r="AH192">
        <f>IF($C192-AH$1&lt;År1,0,AG191*(1-VLOOKUP($A192,[1]Hugst!$R$5:$W$9,MATCH(ROUNDUP((AH$1)/10,0)*10,[1]Hugst!$R$4:$W$4,0))))</f>
        <v>0</v>
      </c>
      <c r="AI192">
        <f>IF($C192-AI$1&lt;År1,0,AH191*(1-VLOOKUP($A192,[1]Hugst!$R$5:$W$9,MATCH(ROUNDUP((AI$1)/10,0)*10,[1]Hugst!$R$4:$W$4,0))))</f>
        <v>0</v>
      </c>
      <c r="AJ192">
        <f>IF($C192-AJ$1&lt;År1,0,AI191*(1-VLOOKUP($A192,[1]Hugst!$R$5:$W$9,MATCH(ROUNDUP((AJ$1)/10,0)*10,[1]Hugst!$R$4:$W$4,0))))</f>
        <v>0</v>
      </c>
    </row>
    <row r="193" spans="1:36" x14ac:dyDescent="0.25">
      <c r="A193" t="s">
        <v>179</v>
      </c>
      <c r="B193" t="s">
        <v>23</v>
      </c>
      <c r="C193">
        <v>2025</v>
      </c>
      <c r="D193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954.66629754102632</v>
      </c>
      <c r="E193">
        <f t="shared" ca="1" si="4"/>
        <v>0</v>
      </c>
      <c r="F193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3256.574266115661</v>
      </c>
      <c r="G193">
        <f ca="1">IF($C193-G$1&lt;År1,0,F192*(1-VLOOKUP($A193,[1]Hugst!$R$5:$W$9,MATCH(ROUNDUP((G$1)/10,0)*10,[1]Hugst!$R$4:$W$4,0))))</f>
        <v>3261.3715841937615</v>
      </c>
      <c r="H193">
        <f ca="1">IF($C193-H$1&lt;År1,0,G192*(1-VLOOKUP($A193,[1]Hugst!$R$5:$W$9,MATCH(ROUNDUP((H$1)/10,0)*10,[1]Hugst!$R$4:$W$4,0))))</f>
        <v>3266.1930093978795</v>
      </c>
      <c r="I193">
        <f ca="1">IF($C193-I$1&lt;År1,0,H192*(1-VLOOKUP($A193,[1]Hugst!$R$5:$W$9,MATCH(ROUNDUP((I$1)/10,0)*10,[1]Hugst!$R$4:$W$4,0))))</f>
        <v>3271.0386628693586</v>
      </c>
      <c r="J193">
        <f ca="1">IF($C193-J$1&lt;År1,0,I192*(1-VLOOKUP($A193,[1]Hugst!$R$5:$W$9,MATCH(ROUNDUP((J$1)/10,0)*10,[1]Hugst!$R$4:$W$4,0))))</f>
        <v>3275.9086663582484</v>
      </c>
      <c r="K193">
        <f ca="1">IF($C193-K$1&lt;År1,0,J192*(1-VLOOKUP($A193,[1]Hugst!$R$5:$W$9,MATCH(ROUNDUP((K$1)/10,0)*10,[1]Hugst!$R$4:$W$4,0))))</f>
        <v>3280.8031422265312</v>
      </c>
      <c r="L193">
        <f>IF($C193-L$1&lt;År1,0,K192*(1-VLOOKUP($A193,[1]Hugst!$R$5:$W$9,MATCH(ROUNDUP((L$1)/10,0)*10,[1]Hugst!$R$4:$W$4,0))))</f>
        <v>0</v>
      </c>
      <c r="M193">
        <f>IF($C193-M$1&lt;År1,0,L192*(1-VLOOKUP($A193,[1]Hugst!$R$5:$W$9,MATCH(ROUNDUP((M$1)/10,0)*10,[1]Hugst!$R$4:$W$4,0))))</f>
        <v>0</v>
      </c>
      <c r="N193">
        <f>IF($C193-N$1&lt;År1,0,M192*(1-VLOOKUP($A193,[1]Hugst!$R$5:$W$9,MATCH(ROUNDUP((N$1)/10,0)*10,[1]Hugst!$R$4:$W$4,0))))</f>
        <v>0</v>
      </c>
      <c r="O193">
        <f>IF($C193-O$1&lt;År1,0,N192*(1-VLOOKUP($A193,[1]Hugst!$R$5:$W$9,MATCH(ROUNDUP((O$1)/10,0)*10,[1]Hugst!$R$4:$W$4,0))))</f>
        <v>0</v>
      </c>
      <c r="P193">
        <f>IF($C193-P$1&lt;År1,0,O192*(1-VLOOKUP($A193,[1]Hugst!$R$5:$W$9,MATCH(ROUNDUP((P$1)/10,0)*10,[1]Hugst!$R$4:$W$4,0))))</f>
        <v>0</v>
      </c>
      <c r="Q193">
        <f>IF($C193-Q$1&lt;År1,0,P192*(1-VLOOKUP($A193,[1]Hugst!$R$5:$W$9,MATCH(ROUNDUP((Q$1)/10,0)*10,[1]Hugst!$R$4:$W$4,0))))</f>
        <v>0</v>
      </c>
      <c r="R193">
        <f>IF($C193-R$1&lt;År1,0,Q192*(1-VLOOKUP($A193,[1]Hugst!$R$5:$W$9,MATCH(ROUNDUP((R$1)/10,0)*10,[1]Hugst!$R$4:$W$4,0))))</f>
        <v>0</v>
      </c>
      <c r="S193">
        <f>IF($C193-S$1&lt;År1,0,R192*(1-VLOOKUP($A193,[1]Hugst!$R$5:$W$9,MATCH(ROUNDUP((S$1)/10,0)*10,[1]Hugst!$R$4:$W$4,0))))</f>
        <v>0</v>
      </c>
      <c r="T193">
        <f>IF($C193-T$1&lt;År1,0,S192*(1-VLOOKUP($A193,[1]Hugst!$R$5:$W$9,MATCH(ROUNDUP((T$1)/10,0)*10,[1]Hugst!$R$4:$W$4,0))))</f>
        <v>0</v>
      </c>
      <c r="U193">
        <f>IF($C193-U$1&lt;År1,0,T192*(1-VLOOKUP($A193,[1]Hugst!$R$5:$W$9,MATCH(ROUNDUP((U$1)/10,0)*10,[1]Hugst!$R$4:$W$4,0))))</f>
        <v>0</v>
      </c>
      <c r="V193">
        <f>IF($C193-V$1&lt;År1,0,U192*(1-VLOOKUP($A193,[1]Hugst!$R$5:$W$9,MATCH(ROUNDUP((V$1)/10,0)*10,[1]Hugst!$R$4:$W$4,0))))</f>
        <v>0</v>
      </c>
      <c r="W193">
        <f>IF($C193-W$1&lt;År1,0,V192*(1-VLOOKUP($A193,[1]Hugst!$R$5:$W$9,MATCH(ROUNDUP((W$1)/10,0)*10,[1]Hugst!$R$4:$W$4,0))))</f>
        <v>0</v>
      </c>
      <c r="X193">
        <f>IF($C193-X$1&lt;År1,0,W192*(1-VLOOKUP($A193,[1]Hugst!$R$5:$W$9,MATCH(ROUNDUP((X$1)/10,0)*10,[1]Hugst!$R$4:$W$4,0))))</f>
        <v>0</v>
      </c>
      <c r="Y193">
        <f>IF($C193-Y$1&lt;År1,0,X192*(1-VLOOKUP($A193,[1]Hugst!$R$5:$W$9,MATCH(ROUNDUP((Y$1)/10,0)*10,[1]Hugst!$R$4:$W$4,0))))</f>
        <v>0</v>
      </c>
      <c r="Z193">
        <f>IF($C193-Z$1&lt;År1,0,Y192*(1-VLOOKUP($A193,[1]Hugst!$R$5:$W$9,MATCH(ROUNDUP((Z$1)/10,0)*10,[1]Hugst!$R$4:$W$4,0))))</f>
        <v>0</v>
      </c>
      <c r="AA193">
        <f>IF($C193-AA$1&lt;År1,0,Z192*(1-VLOOKUP($A193,[1]Hugst!$R$5:$W$9,MATCH(ROUNDUP((AA$1)/10,0)*10,[1]Hugst!$R$4:$W$4,0))))</f>
        <v>0</v>
      </c>
      <c r="AB193">
        <f>IF($C193-AB$1&lt;År1,0,AA192*(1-VLOOKUP($A193,[1]Hugst!$R$5:$W$9,MATCH(ROUNDUP((AB$1)/10,0)*10,[1]Hugst!$R$4:$W$4,0))))</f>
        <v>0</v>
      </c>
      <c r="AC193">
        <f>IF($C193-AC$1&lt;År1,0,AB192*(1-VLOOKUP($A193,[1]Hugst!$R$5:$W$9,MATCH(ROUNDUP((AC$1)/10,0)*10,[1]Hugst!$R$4:$W$4,0))))</f>
        <v>0</v>
      </c>
      <c r="AD193">
        <f>IF($C193-AD$1&lt;År1,0,AC192*(1-VLOOKUP($A193,[1]Hugst!$R$5:$W$9,MATCH(ROUNDUP((AD$1)/10,0)*10,[1]Hugst!$R$4:$W$4,0))))</f>
        <v>0</v>
      </c>
      <c r="AE193">
        <f>IF($C193-AE$1&lt;År1,0,AD192*(1-VLOOKUP($A193,[1]Hugst!$R$5:$W$9,MATCH(ROUNDUP((AE$1)/10,0)*10,[1]Hugst!$R$4:$W$4,0))))</f>
        <v>0</v>
      </c>
      <c r="AF193">
        <f>IF($C193-AF$1&lt;År1,0,AE192*(1-VLOOKUP($A193,[1]Hugst!$R$5:$W$9,MATCH(ROUNDUP((AF$1)/10,0)*10,[1]Hugst!$R$4:$W$4,0))))</f>
        <v>0</v>
      </c>
      <c r="AG193">
        <f>IF($C193-AG$1&lt;År1,0,AF192*(1-VLOOKUP($A193,[1]Hugst!$R$5:$W$9,MATCH(ROUNDUP((AG$1)/10,0)*10,[1]Hugst!$R$4:$W$4,0))))</f>
        <v>0</v>
      </c>
      <c r="AH193">
        <f>IF($C193-AH$1&lt;År1,0,AG192*(1-VLOOKUP($A193,[1]Hugst!$R$5:$W$9,MATCH(ROUNDUP((AH$1)/10,0)*10,[1]Hugst!$R$4:$W$4,0))))</f>
        <v>0</v>
      </c>
      <c r="AI193">
        <f>IF($C193-AI$1&lt;År1,0,AH192*(1-VLOOKUP($A193,[1]Hugst!$R$5:$W$9,MATCH(ROUNDUP((AI$1)/10,0)*10,[1]Hugst!$R$4:$W$4,0))))</f>
        <v>0</v>
      </c>
      <c r="AJ193">
        <f>IF($C193-AJ$1&lt;År1,0,AI192*(1-VLOOKUP($A193,[1]Hugst!$R$5:$W$9,MATCH(ROUNDUP((AJ$1)/10,0)*10,[1]Hugst!$R$4:$W$4,0))))</f>
        <v>0</v>
      </c>
    </row>
    <row r="194" spans="1:36" x14ac:dyDescent="0.25">
      <c r="A194" t="s">
        <v>179</v>
      </c>
      <c r="B194" t="s">
        <v>23</v>
      </c>
      <c r="C194">
        <v>2026</v>
      </c>
      <c r="D194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949.89296605332584</v>
      </c>
      <c r="E194">
        <f t="shared" ca="1" si="4"/>
        <v>0</v>
      </c>
      <c r="F194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3251.8009346279605</v>
      </c>
      <c r="G194">
        <f ca="1">IF($C194-G$1&lt;År1,0,F193*(1-VLOOKUP($A194,[1]Hugst!$R$5:$W$9,MATCH(ROUNDUP((G$1)/10,0)*10,[1]Hugst!$R$4:$W$4,0))))</f>
        <v>3256.574266115661</v>
      </c>
      <c r="H194">
        <f ca="1">IF($C194-H$1&lt;År1,0,G193*(1-VLOOKUP($A194,[1]Hugst!$R$5:$W$9,MATCH(ROUNDUP((H$1)/10,0)*10,[1]Hugst!$R$4:$W$4,0))))</f>
        <v>3261.3715841937615</v>
      </c>
      <c r="I194">
        <f ca="1">IF($C194-I$1&lt;År1,0,H193*(1-VLOOKUP($A194,[1]Hugst!$R$5:$W$9,MATCH(ROUNDUP((I$1)/10,0)*10,[1]Hugst!$R$4:$W$4,0))))</f>
        <v>3266.1930093978795</v>
      </c>
      <c r="J194">
        <f ca="1">IF($C194-J$1&lt;År1,0,I193*(1-VLOOKUP($A194,[1]Hugst!$R$5:$W$9,MATCH(ROUNDUP((J$1)/10,0)*10,[1]Hugst!$R$4:$W$4,0))))</f>
        <v>3271.0386628693586</v>
      </c>
      <c r="K194">
        <f ca="1">IF($C194-K$1&lt;År1,0,J193*(1-VLOOKUP($A194,[1]Hugst!$R$5:$W$9,MATCH(ROUNDUP((K$1)/10,0)*10,[1]Hugst!$R$4:$W$4,0))))</f>
        <v>3275.9086663582484</v>
      </c>
      <c r="L194">
        <f ca="1">IF($C194-L$1&lt;År1,0,K193*(1-VLOOKUP($A194,[1]Hugst!$R$5:$W$9,MATCH(ROUNDUP((L$1)/10,0)*10,[1]Hugst!$R$4:$W$4,0))))</f>
        <v>3280.8031422265312</v>
      </c>
      <c r="M194">
        <f>IF($C194-M$1&lt;År1,0,L193*(1-VLOOKUP($A194,[1]Hugst!$R$5:$W$9,MATCH(ROUNDUP((M$1)/10,0)*10,[1]Hugst!$R$4:$W$4,0))))</f>
        <v>0</v>
      </c>
      <c r="N194">
        <f>IF($C194-N$1&lt;År1,0,M193*(1-VLOOKUP($A194,[1]Hugst!$R$5:$W$9,MATCH(ROUNDUP((N$1)/10,0)*10,[1]Hugst!$R$4:$W$4,0))))</f>
        <v>0</v>
      </c>
      <c r="O194">
        <f>IF($C194-O$1&lt;År1,0,N193*(1-VLOOKUP($A194,[1]Hugst!$R$5:$W$9,MATCH(ROUNDUP((O$1)/10,0)*10,[1]Hugst!$R$4:$W$4,0))))</f>
        <v>0</v>
      </c>
      <c r="P194">
        <f>IF($C194-P$1&lt;År1,0,O193*(1-VLOOKUP($A194,[1]Hugst!$R$5:$W$9,MATCH(ROUNDUP((P$1)/10,0)*10,[1]Hugst!$R$4:$W$4,0))))</f>
        <v>0</v>
      </c>
      <c r="Q194">
        <f>IF($C194-Q$1&lt;År1,0,P193*(1-VLOOKUP($A194,[1]Hugst!$R$5:$W$9,MATCH(ROUNDUP((Q$1)/10,0)*10,[1]Hugst!$R$4:$W$4,0))))</f>
        <v>0</v>
      </c>
      <c r="R194">
        <f>IF($C194-R$1&lt;År1,0,Q193*(1-VLOOKUP($A194,[1]Hugst!$R$5:$W$9,MATCH(ROUNDUP((R$1)/10,0)*10,[1]Hugst!$R$4:$W$4,0))))</f>
        <v>0</v>
      </c>
      <c r="S194">
        <f>IF($C194-S$1&lt;År1,0,R193*(1-VLOOKUP($A194,[1]Hugst!$R$5:$W$9,MATCH(ROUNDUP((S$1)/10,0)*10,[1]Hugst!$R$4:$W$4,0))))</f>
        <v>0</v>
      </c>
      <c r="T194">
        <f>IF($C194-T$1&lt;År1,0,S193*(1-VLOOKUP($A194,[1]Hugst!$R$5:$W$9,MATCH(ROUNDUP((T$1)/10,0)*10,[1]Hugst!$R$4:$W$4,0))))</f>
        <v>0</v>
      </c>
      <c r="U194">
        <f>IF($C194-U$1&lt;År1,0,T193*(1-VLOOKUP($A194,[1]Hugst!$R$5:$W$9,MATCH(ROUNDUP((U$1)/10,0)*10,[1]Hugst!$R$4:$W$4,0))))</f>
        <v>0</v>
      </c>
      <c r="V194">
        <f>IF($C194-V$1&lt;År1,0,U193*(1-VLOOKUP($A194,[1]Hugst!$R$5:$W$9,MATCH(ROUNDUP((V$1)/10,0)*10,[1]Hugst!$R$4:$W$4,0))))</f>
        <v>0</v>
      </c>
      <c r="W194">
        <f>IF($C194-W$1&lt;År1,0,V193*(1-VLOOKUP($A194,[1]Hugst!$R$5:$W$9,MATCH(ROUNDUP((W$1)/10,0)*10,[1]Hugst!$R$4:$W$4,0))))</f>
        <v>0</v>
      </c>
      <c r="X194">
        <f>IF($C194-X$1&lt;År1,0,W193*(1-VLOOKUP($A194,[1]Hugst!$R$5:$W$9,MATCH(ROUNDUP((X$1)/10,0)*10,[1]Hugst!$R$4:$W$4,0))))</f>
        <v>0</v>
      </c>
      <c r="Y194">
        <f>IF($C194-Y$1&lt;År1,0,X193*(1-VLOOKUP($A194,[1]Hugst!$R$5:$W$9,MATCH(ROUNDUP((Y$1)/10,0)*10,[1]Hugst!$R$4:$W$4,0))))</f>
        <v>0</v>
      </c>
      <c r="Z194">
        <f>IF($C194-Z$1&lt;År1,0,Y193*(1-VLOOKUP($A194,[1]Hugst!$R$5:$W$9,MATCH(ROUNDUP((Z$1)/10,0)*10,[1]Hugst!$R$4:$W$4,0))))</f>
        <v>0</v>
      </c>
      <c r="AA194">
        <f>IF($C194-AA$1&lt;År1,0,Z193*(1-VLOOKUP($A194,[1]Hugst!$R$5:$W$9,MATCH(ROUNDUP((AA$1)/10,0)*10,[1]Hugst!$R$4:$W$4,0))))</f>
        <v>0</v>
      </c>
      <c r="AB194">
        <f>IF($C194-AB$1&lt;År1,0,AA193*(1-VLOOKUP($A194,[1]Hugst!$R$5:$W$9,MATCH(ROUNDUP((AB$1)/10,0)*10,[1]Hugst!$R$4:$W$4,0))))</f>
        <v>0</v>
      </c>
      <c r="AC194">
        <f>IF($C194-AC$1&lt;År1,0,AB193*(1-VLOOKUP($A194,[1]Hugst!$R$5:$W$9,MATCH(ROUNDUP((AC$1)/10,0)*10,[1]Hugst!$R$4:$W$4,0))))</f>
        <v>0</v>
      </c>
      <c r="AD194">
        <f>IF($C194-AD$1&lt;År1,0,AC193*(1-VLOOKUP($A194,[1]Hugst!$R$5:$W$9,MATCH(ROUNDUP((AD$1)/10,0)*10,[1]Hugst!$R$4:$W$4,0))))</f>
        <v>0</v>
      </c>
      <c r="AE194">
        <f>IF($C194-AE$1&lt;År1,0,AD193*(1-VLOOKUP($A194,[1]Hugst!$R$5:$W$9,MATCH(ROUNDUP((AE$1)/10,0)*10,[1]Hugst!$R$4:$W$4,0))))</f>
        <v>0</v>
      </c>
      <c r="AF194">
        <f>IF($C194-AF$1&lt;År1,0,AE193*(1-VLOOKUP($A194,[1]Hugst!$R$5:$W$9,MATCH(ROUNDUP((AF$1)/10,0)*10,[1]Hugst!$R$4:$W$4,0))))</f>
        <v>0</v>
      </c>
      <c r="AG194">
        <f>IF($C194-AG$1&lt;År1,0,AF193*(1-VLOOKUP($A194,[1]Hugst!$R$5:$W$9,MATCH(ROUNDUP((AG$1)/10,0)*10,[1]Hugst!$R$4:$W$4,0))))</f>
        <v>0</v>
      </c>
      <c r="AH194">
        <f>IF($C194-AH$1&lt;År1,0,AG193*(1-VLOOKUP($A194,[1]Hugst!$R$5:$W$9,MATCH(ROUNDUP((AH$1)/10,0)*10,[1]Hugst!$R$4:$W$4,0))))</f>
        <v>0</v>
      </c>
      <c r="AI194">
        <f>IF($C194-AI$1&lt;År1,0,AH193*(1-VLOOKUP($A194,[1]Hugst!$R$5:$W$9,MATCH(ROUNDUP((AI$1)/10,0)*10,[1]Hugst!$R$4:$W$4,0))))</f>
        <v>0</v>
      </c>
      <c r="AJ194">
        <f>IF($C194-AJ$1&lt;År1,0,AI193*(1-VLOOKUP($A194,[1]Hugst!$R$5:$W$9,MATCH(ROUNDUP((AJ$1)/10,0)*10,[1]Hugst!$R$4:$W$4,0))))</f>
        <v>0</v>
      </c>
    </row>
    <row r="195" spans="1:36" x14ac:dyDescent="0.25">
      <c r="A195" t="s">
        <v>179</v>
      </c>
      <c r="B195" t="s">
        <v>23</v>
      </c>
      <c r="C195">
        <v>2027</v>
      </c>
      <c r="D195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945.14350122306769</v>
      </c>
      <c r="E195">
        <f t="shared" ca="1" si="4"/>
        <v>0</v>
      </c>
      <c r="F195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3247.0514697977023</v>
      </c>
      <c r="G195">
        <f ca="1">IF($C195-G$1&lt;År1,0,F194*(1-VLOOKUP($A195,[1]Hugst!$R$5:$W$9,MATCH(ROUNDUP((G$1)/10,0)*10,[1]Hugst!$R$4:$W$4,0))))</f>
        <v>3251.8009346279605</v>
      </c>
      <c r="H195">
        <f ca="1">IF($C195-H$1&lt;År1,0,G194*(1-VLOOKUP($A195,[1]Hugst!$R$5:$W$9,MATCH(ROUNDUP((H$1)/10,0)*10,[1]Hugst!$R$4:$W$4,0))))</f>
        <v>3256.574266115661</v>
      </c>
      <c r="I195">
        <f ca="1">IF($C195-I$1&lt;År1,0,H194*(1-VLOOKUP($A195,[1]Hugst!$R$5:$W$9,MATCH(ROUNDUP((I$1)/10,0)*10,[1]Hugst!$R$4:$W$4,0))))</f>
        <v>3261.3715841937615</v>
      </c>
      <c r="J195">
        <f ca="1">IF($C195-J$1&lt;År1,0,I194*(1-VLOOKUP($A195,[1]Hugst!$R$5:$W$9,MATCH(ROUNDUP((J$1)/10,0)*10,[1]Hugst!$R$4:$W$4,0))))</f>
        <v>3266.1930093978795</v>
      </c>
      <c r="K195">
        <f ca="1">IF($C195-K$1&lt;År1,0,J194*(1-VLOOKUP($A195,[1]Hugst!$R$5:$W$9,MATCH(ROUNDUP((K$1)/10,0)*10,[1]Hugst!$R$4:$W$4,0))))</f>
        <v>3271.0386628693586</v>
      </c>
      <c r="L195">
        <f ca="1">IF($C195-L$1&lt;År1,0,K194*(1-VLOOKUP($A195,[1]Hugst!$R$5:$W$9,MATCH(ROUNDUP((L$1)/10,0)*10,[1]Hugst!$R$4:$W$4,0))))</f>
        <v>3275.9086663582484</v>
      </c>
      <c r="M195">
        <f ca="1">IF($C195-M$1&lt;År1,0,L194*(1-VLOOKUP($A195,[1]Hugst!$R$5:$W$9,MATCH(ROUNDUP((M$1)/10,0)*10,[1]Hugst!$R$4:$W$4,0))))</f>
        <v>3280.8031422265312</v>
      </c>
      <c r="N195">
        <f>IF($C195-N$1&lt;År1,0,M194*(1-VLOOKUP($A195,[1]Hugst!$R$5:$W$9,MATCH(ROUNDUP((N$1)/10,0)*10,[1]Hugst!$R$4:$W$4,0))))</f>
        <v>0</v>
      </c>
      <c r="O195">
        <f>IF($C195-O$1&lt;År1,0,N194*(1-VLOOKUP($A195,[1]Hugst!$R$5:$W$9,MATCH(ROUNDUP((O$1)/10,0)*10,[1]Hugst!$R$4:$W$4,0))))</f>
        <v>0</v>
      </c>
      <c r="P195">
        <f>IF($C195-P$1&lt;År1,0,O194*(1-VLOOKUP($A195,[1]Hugst!$R$5:$W$9,MATCH(ROUNDUP((P$1)/10,0)*10,[1]Hugst!$R$4:$W$4,0))))</f>
        <v>0</v>
      </c>
      <c r="Q195">
        <f>IF($C195-Q$1&lt;År1,0,P194*(1-VLOOKUP($A195,[1]Hugst!$R$5:$W$9,MATCH(ROUNDUP((Q$1)/10,0)*10,[1]Hugst!$R$4:$W$4,0))))</f>
        <v>0</v>
      </c>
      <c r="R195">
        <f>IF($C195-R$1&lt;År1,0,Q194*(1-VLOOKUP($A195,[1]Hugst!$R$5:$W$9,MATCH(ROUNDUP((R$1)/10,0)*10,[1]Hugst!$R$4:$W$4,0))))</f>
        <v>0</v>
      </c>
      <c r="S195">
        <f>IF($C195-S$1&lt;År1,0,R194*(1-VLOOKUP($A195,[1]Hugst!$R$5:$W$9,MATCH(ROUNDUP((S$1)/10,0)*10,[1]Hugst!$R$4:$W$4,0))))</f>
        <v>0</v>
      </c>
      <c r="T195">
        <f>IF($C195-T$1&lt;År1,0,S194*(1-VLOOKUP($A195,[1]Hugst!$R$5:$W$9,MATCH(ROUNDUP((T$1)/10,0)*10,[1]Hugst!$R$4:$W$4,0))))</f>
        <v>0</v>
      </c>
      <c r="U195">
        <f>IF($C195-U$1&lt;År1,0,T194*(1-VLOOKUP($A195,[1]Hugst!$R$5:$W$9,MATCH(ROUNDUP((U$1)/10,0)*10,[1]Hugst!$R$4:$W$4,0))))</f>
        <v>0</v>
      </c>
      <c r="V195">
        <f>IF($C195-V$1&lt;År1,0,U194*(1-VLOOKUP($A195,[1]Hugst!$R$5:$W$9,MATCH(ROUNDUP((V$1)/10,0)*10,[1]Hugst!$R$4:$W$4,0))))</f>
        <v>0</v>
      </c>
      <c r="W195">
        <f>IF($C195-W$1&lt;År1,0,V194*(1-VLOOKUP($A195,[1]Hugst!$R$5:$W$9,MATCH(ROUNDUP((W$1)/10,0)*10,[1]Hugst!$R$4:$W$4,0))))</f>
        <v>0</v>
      </c>
      <c r="X195">
        <f>IF($C195-X$1&lt;År1,0,W194*(1-VLOOKUP($A195,[1]Hugst!$R$5:$W$9,MATCH(ROUNDUP((X$1)/10,0)*10,[1]Hugst!$R$4:$W$4,0))))</f>
        <v>0</v>
      </c>
      <c r="Y195">
        <f>IF($C195-Y$1&lt;År1,0,X194*(1-VLOOKUP($A195,[1]Hugst!$R$5:$W$9,MATCH(ROUNDUP((Y$1)/10,0)*10,[1]Hugst!$R$4:$W$4,0))))</f>
        <v>0</v>
      </c>
      <c r="Z195">
        <f>IF($C195-Z$1&lt;År1,0,Y194*(1-VLOOKUP($A195,[1]Hugst!$R$5:$W$9,MATCH(ROUNDUP((Z$1)/10,0)*10,[1]Hugst!$R$4:$W$4,0))))</f>
        <v>0</v>
      </c>
      <c r="AA195">
        <f>IF($C195-AA$1&lt;År1,0,Z194*(1-VLOOKUP($A195,[1]Hugst!$R$5:$W$9,MATCH(ROUNDUP((AA$1)/10,0)*10,[1]Hugst!$R$4:$W$4,0))))</f>
        <v>0</v>
      </c>
      <c r="AB195">
        <f>IF($C195-AB$1&lt;År1,0,AA194*(1-VLOOKUP($A195,[1]Hugst!$R$5:$W$9,MATCH(ROUNDUP((AB$1)/10,0)*10,[1]Hugst!$R$4:$W$4,0))))</f>
        <v>0</v>
      </c>
      <c r="AC195">
        <f>IF($C195-AC$1&lt;År1,0,AB194*(1-VLOOKUP($A195,[1]Hugst!$R$5:$W$9,MATCH(ROUNDUP((AC$1)/10,0)*10,[1]Hugst!$R$4:$W$4,0))))</f>
        <v>0</v>
      </c>
      <c r="AD195">
        <f>IF($C195-AD$1&lt;År1,0,AC194*(1-VLOOKUP($A195,[1]Hugst!$R$5:$W$9,MATCH(ROUNDUP((AD$1)/10,0)*10,[1]Hugst!$R$4:$W$4,0))))</f>
        <v>0</v>
      </c>
      <c r="AE195">
        <f>IF($C195-AE$1&lt;År1,0,AD194*(1-VLOOKUP($A195,[1]Hugst!$R$5:$W$9,MATCH(ROUNDUP((AE$1)/10,0)*10,[1]Hugst!$R$4:$W$4,0))))</f>
        <v>0</v>
      </c>
      <c r="AF195">
        <f>IF($C195-AF$1&lt;År1,0,AE194*(1-VLOOKUP($A195,[1]Hugst!$R$5:$W$9,MATCH(ROUNDUP((AF$1)/10,0)*10,[1]Hugst!$R$4:$W$4,0))))</f>
        <v>0</v>
      </c>
      <c r="AG195">
        <f>IF($C195-AG$1&lt;År1,0,AF194*(1-VLOOKUP($A195,[1]Hugst!$R$5:$W$9,MATCH(ROUNDUP((AG$1)/10,0)*10,[1]Hugst!$R$4:$W$4,0))))</f>
        <v>0</v>
      </c>
      <c r="AH195">
        <f>IF($C195-AH$1&lt;År1,0,AG194*(1-VLOOKUP($A195,[1]Hugst!$R$5:$W$9,MATCH(ROUNDUP((AH$1)/10,0)*10,[1]Hugst!$R$4:$W$4,0))))</f>
        <v>0</v>
      </c>
      <c r="AI195">
        <f>IF($C195-AI$1&lt;År1,0,AH194*(1-VLOOKUP($A195,[1]Hugst!$R$5:$W$9,MATCH(ROUNDUP((AI$1)/10,0)*10,[1]Hugst!$R$4:$W$4,0))))</f>
        <v>0</v>
      </c>
      <c r="AJ195">
        <f>IF($C195-AJ$1&lt;År1,0,AI194*(1-VLOOKUP($A195,[1]Hugst!$R$5:$W$9,MATCH(ROUNDUP((AJ$1)/10,0)*10,[1]Hugst!$R$4:$W$4,0))))</f>
        <v>0</v>
      </c>
    </row>
    <row r="196" spans="1:36" x14ac:dyDescent="0.25">
      <c r="A196" t="s">
        <v>179</v>
      </c>
      <c r="B196" t="s">
        <v>23</v>
      </c>
      <c r="C196">
        <v>2028</v>
      </c>
      <c r="D196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940.41778371696546</v>
      </c>
      <c r="E196">
        <f t="shared" ca="1" si="4"/>
        <v>0</v>
      </c>
      <c r="F196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3242.3257522916001</v>
      </c>
      <c r="G196">
        <f ca="1">IF($C196-G$1&lt;År1,0,F195*(1-VLOOKUP($A196,[1]Hugst!$R$5:$W$9,MATCH(ROUNDUP((G$1)/10,0)*10,[1]Hugst!$R$4:$W$4,0))))</f>
        <v>3247.0514697977023</v>
      </c>
      <c r="H196">
        <f ca="1">IF($C196-H$1&lt;År1,0,G195*(1-VLOOKUP($A196,[1]Hugst!$R$5:$W$9,MATCH(ROUNDUP((H$1)/10,0)*10,[1]Hugst!$R$4:$W$4,0))))</f>
        <v>3251.8009346279605</v>
      </c>
      <c r="I196">
        <f ca="1">IF($C196-I$1&lt;År1,0,H195*(1-VLOOKUP($A196,[1]Hugst!$R$5:$W$9,MATCH(ROUNDUP((I$1)/10,0)*10,[1]Hugst!$R$4:$W$4,0))))</f>
        <v>3256.574266115661</v>
      </c>
      <c r="J196">
        <f ca="1">IF($C196-J$1&lt;År1,0,I195*(1-VLOOKUP($A196,[1]Hugst!$R$5:$W$9,MATCH(ROUNDUP((J$1)/10,0)*10,[1]Hugst!$R$4:$W$4,0))))</f>
        <v>3261.3715841937615</v>
      </c>
      <c r="K196">
        <f ca="1">IF($C196-K$1&lt;År1,0,J195*(1-VLOOKUP($A196,[1]Hugst!$R$5:$W$9,MATCH(ROUNDUP((K$1)/10,0)*10,[1]Hugst!$R$4:$W$4,0))))</f>
        <v>3266.1930093978795</v>
      </c>
      <c r="L196">
        <f ca="1">IF($C196-L$1&lt;År1,0,K195*(1-VLOOKUP($A196,[1]Hugst!$R$5:$W$9,MATCH(ROUNDUP((L$1)/10,0)*10,[1]Hugst!$R$4:$W$4,0))))</f>
        <v>3271.0386628693586</v>
      </c>
      <c r="M196">
        <f ca="1">IF($C196-M$1&lt;År1,0,L195*(1-VLOOKUP($A196,[1]Hugst!$R$5:$W$9,MATCH(ROUNDUP((M$1)/10,0)*10,[1]Hugst!$R$4:$W$4,0))))</f>
        <v>3275.9086663582484</v>
      </c>
      <c r="N196">
        <f ca="1">IF($C196-N$1&lt;År1,0,M195*(1-VLOOKUP($A196,[1]Hugst!$R$5:$W$9,MATCH(ROUNDUP((N$1)/10,0)*10,[1]Hugst!$R$4:$W$4,0))))</f>
        <v>3280.8031422265312</v>
      </c>
      <c r="O196">
        <f>IF($C196-O$1&lt;År1,0,N195*(1-VLOOKUP($A196,[1]Hugst!$R$5:$W$9,MATCH(ROUNDUP((O$1)/10,0)*10,[1]Hugst!$R$4:$W$4,0))))</f>
        <v>0</v>
      </c>
      <c r="P196">
        <f>IF($C196-P$1&lt;År1,0,O195*(1-VLOOKUP($A196,[1]Hugst!$R$5:$W$9,MATCH(ROUNDUP((P$1)/10,0)*10,[1]Hugst!$R$4:$W$4,0))))</f>
        <v>0</v>
      </c>
      <c r="Q196">
        <f>IF($C196-Q$1&lt;År1,0,P195*(1-VLOOKUP($A196,[1]Hugst!$R$5:$W$9,MATCH(ROUNDUP((Q$1)/10,0)*10,[1]Hugst!$R$4:$W$4,0))))</f>
        <v>0</v>
      </c>
      <c r="R196">
        <f>IF($C196-R$1&lt;År1,0,Q195*(1-VLOOKUP($A196,[1]Hugst!$R$5:$W$9,MATCH(ROUNDUP((R$1)/10,0)*10,[1]Hugst!$R$4:$W$4,0))))</f>
        <v>0</v>
      </c>
      <c r="S196">
        <f>IF($C196-S$1&lt;År1,0,R195*(1-VLOOKUP($A196,[1]Hugst!$R$5:$W$9,MATCH(ROUNDUP((S$1)/10,0)*10,[1]Hugst!$R$4:$W$4,0))))</f>
        <v>0</v>
      </c>
      <c r="T196">
        <f>IF($C196-T$1&lt;År1,0,S195*(1-VLOOKUP($A196,[1]Hugst!$R$5:$W$9,MATCH(ROUNDUP((T$1)/10,0)*10,[1]Hugst!$R$4:$W$4,0))))</f>
        <v>0</v>
      </c>
      <c r="U196">
        <f>IF($C196-U$1&lt;År1,0,T195*(1-VLOOKUP($A196,[1]Hugst!$R$5:$W$9,MATCH(ROUNDUP((U$1)/10,0)*10,[1]Hugst!$R$4:$W$4,0))))</f>
        <v>0</v>
      </c>
      <c r="V196">
        <f>IF($C196-V$1&lt;År1,0,U195*(1-VLOOKUP($A196,[1]Hugst!$R$5:$W$9,MATCH(ROUNDUP((V$1)/10,0)*10,[1]Hugst!$R$4:$W$4,0))))</f>
        <v>0</v>
      </c>
      <c r="W196">
        <f>IF($C196-W$1&lt;År1,0,V195*(1-VLOOKUP($A196,[1]Hugst!$R$5:$W$9,MATCH(ROUNDUP((W$1)/10,0)*10,[1]Hugst!$R$4:$W$4,0))))</f>
        <v>0</v>
      </c>
      <c r="X196">
        <f>IF($C196-X$1&lt;År1,0,W195*(1-VLOOKUP($A196,[1]Hugst!$R$5:$W$9,MATCH(ROUNDUP((X$1)/10,0)*10,[1]Hugst!$R$4:$W$4,0))))</f>
        <v>0</v>
      </c>
      <c r="Y196">
        <f>IF($C196-Y$1&lt;År1,0,X195*(1-VLOOKUP($A196,[1]Hugst!$R$5:$W$9,MATCH(ROUNDUP((Y$1)/10,0)*10,[1]Hugst!$R$4:$W$4,0))))</f>
        <v>0</v>
      </c>
      <c r="Z196">
        <f>IF($C196-Z$1&lt;År1,0,Y195*(1-VLOOKUP($A196,[1]Hugst!$R$5:$W$9,MATCH(ROUNDUP((Z$1)/10,0)*10,[1]Hugst!$R$4:$W$4,0))))</f>
        <v>0</v>
      </c>
      <c r="AA196">
        <f>IF($C196-AA$1&lt;År1,0,Z195*(1-VLOOKUP($A196,[1]Hugst!$R$5:$W$9,MATCH(ROUNDUP((AA$1)/10,0)*10,[1]Hugst!$R$4:$W$4,0))))</f>
        <v>0</v>
      </c>
      <c r="AB196">
        <f>IF($C196-AB$1&lt;År1,0,AA195*(1-VLOOKUP($A196,[1]Hugst!$R$5:$W$9,MATCH(ROUNDUP((AB$1)/10,0)*10,[1]Hugst!$R$4:$W$4,0))))</f>
        <v>0</v>
      </c>
      <c r="AC196">
        <f>IF($C196-AC$1&lt;År1,0,AB195*(1-VLOOKUP($A196,[1]Hugst!$R$5:$W$9,MATCH(ROUNDUP((AC$1)/10,0)*10,[1]Hugst!$R$4:$W$4,0))))</f>
        <v>0</v>
      </c>
      <c r="AD196">
        <f>IF($C196-AD$1&lt;År1,0,AC195*(1-VLOOKUP($A196,[1]Hugst!$R$5:$W$9,MATCH(ROUNDUP((AD$1)/10,0)*10,[1]Hugst!$R$4:$W$4,0))))</f>
        <v>0</v>
      </c>
      <c r="AE196">
        <f>IF($C196-AE$1&lt;År1,0,AD195*(1-VLOOKUP($A196,[1]Hugst!$R$5:$W$9,MATCH(ROUNDUP((AE$1)/10,0)*10,[1]Hugst!$R$4:$W$4,0))))</f>
        <v>0</v>
      </c>
      <c r="AF196">
        <f>IF($C196-AF$1&lt;År1,0,AE195*(1-VLOOKUP($A196,[1]Hugst!$R$5:$W$9,MATCH(ROUNDUP((AF$1)/10,0)*10,[1]Hugst!$R$4:$W$4,0))))</f>
        <v>0</v>
      </c>
      <c r="AG196">
        <f>IF($C196-AG$1&lt;År1,0,AF195*(1-VLOOKUP($A196,[1]Hugst!$R$5:$W$9,MATCH(ROUNDUP((AG$1)/10,0)*10,[1]Hugst!$R$4:$W$4,0))))</f>
        <v>0</v>
      </c>
      <c r="AH196">
        <f>IF($C196-AH$1&lt;År1,0,AG195*(1-VLOOKUP($A196,[1]Hugst!$R$5:$W$9,MATCH(ROUNDUP((AH$1)/10,0)*10,[1]Hugst!$R$4:$W$4,0))))</f>
        <v>0</v>
      </c>
      <c r="AI196">
        <f>IF($C196-AI$1&lt;År1,0,AH195*(1-VLOOKUP($A196,[1]Hugst!$R$5:$W$9,MATCH(ROUNDUP((AI$1)/10,0)*10,[1]Hugst!$R$4:$W$4,0))))</f>
        <v>0</v>
      </c>
      <c r="AJ196">
        <f>IF($C196-AJ$1&lt;År1,0,AI195*(1-VLOOKUP($A196,[1]Hugst!$R$5:$W$9,MATCH(ROUNDUP((AJ$1)/10,0)*10,[1]Hugst!$R$4:$W$4,0))))</f>
        <v>0</v>
      </c>
    </row>
    <row r="197" spans="1:36" x14ac:dyDescent="0.25">
      <c r="A197" t="s">
        <v>179</v>
      </c>
      <c r="B197" t="s">
        <v>23</v>
      </c>
      <c r="C197">
        <v>2029</v>
      </c>
      <c r="D197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935.7156947983367</v>
      </c>
      <c r="E197">
        <f t="shared" ca="1" si="4"/>
        <v>0</v>
      </c>
      <c r="F197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3237.6236633729714</v>
      </c>
      <c r="G197">
        <f ca="1">IF($C197-G$1&lt;År1,0,F196*(1-VLOOKUP($A197,[1]Hugst!$R$5:$W$9,MATCH(ROUNDUP((G$1)/10,0)*10,[1]Hugst!$R$4:$W$4,0))))</f>
        <v>3242.3257522916001</v>
      </c>
      <c r="H197">
        <f ca="1">IF($C197-H$1&lt;År1,0,G196*(1-VLOOKUP($A197,[1]Hugst!$R$5:$W$9,MATCH(ROUNDUP((H$1)/10,0)*10,[1]Hugst!$R$4:$W$4,0))))</f>
        <v>3247.0514697977023</v>
      </c>
      <c r="I197">
        <f ca="1">IF($C197-I$1&lt;År1,0,H196*(1-VLOOKUP($A197,[1]Hugst!$R$5:$W$9,MATCH(ROUNDUP((I$1)/10,0)*10,[1]Hugst!$R$4:$W$4,0))))</f>
        <v>3251.8009346279605</v>
      </c>
      <c r="J197">
        <f ca="1">IF($C197-J$1&lt;År1,0,I196*(1-VLOOKUP($A197,[1]Hugst!$R$5:$W$9,MATCH(ROUNDUP((J$1)/10,0)*10,[1]Hugst!$R$4:$W$4,0))))</f>
        <v>3256.574266115661</v>
      </c>
      <c r="K197">
        <f ca="1">IF($C197-K$1&lt;År1,0,J196*(1-VLOOKUP($A197,[1]Hugst!$R$5:$W$9,MATCH(ROUNDUP((K$1)/10,0)*10,[1]Hugst!$R$4:$W$4,0))))</f>
        <v>3261.3715841937615</v>
      </c>
      <c r="L197">
        <f ca="1">IF($C197-L$1&lt;År1,0,K196*(1-VLOOKUP($A197,[1]Hugst!$R$5:$W$9,MATCH(ROUNDUP((L$1)/10,0)*10,[1]Hugst!$R$4:$W$4,0))))</f>
        <v>3266.1930093978795</v>
      </c>
      <c r="M197">
        <f ca="1">IF($C197-M$1&lt;År1,0,L196*(1-VLOOKUP($A197,[1]Hugst!$R$5:$W$9,MATCH(ROUNDUP((M$1)/10,0)*10,[1]Hugst!$R$4:$W$4,0))))</f>
        <v>3271.0386628693586</v>
      </c>
      <c r="N197">
        <f ca="1">IF($C197-N$1&lt;År1,0,M196*(1-VLOOKUP($A197,[1]Hugst!$R$5:$W$9,MATCH(ROUNDUP((N$1)/10,0)*10,[1]Hugst!$R$4:$W$4,0))))</f>
        <v>3275.9086663582484</v>
      </c>
      <c r="O197">
        <f ca="1">IF($C197-O$1&lt;År1,0,N196*(1-VLOOKUP($A197,[1]Hugst!$R$5:$W$9,MATCH(ROUNDUP((O$1)/10,0)*10,[1]Hugst!$R$4:$W$4,0))))</f>
        <v>3280.8031422265312</v>
      </c>
      <c r="P197">
        <f>IF($C197-P$1&lt;År1,0,O196*(1-VLOOKUP($A197,[1]Hugst!$R$5:$W$9,MATCH(ROUNDUP((P$1)/10,0)*10,[1]Hugst!$R$4:$W$4,0))))</f>
        <v>0</v>
      </c>
      <c r="Q197">
        <f>IF($C197-Q$1&lt;År1,0,P196*(1-VLOOKUP($A197,[1]Hugst!$R$5:$W$9,MATCH(ROUNDUP((Q$1)/10,0)*10,[1]Hugst!$R$4:$W$4,0))))</f>
        <v>0</v>
      </c>
      <c r="R197">
        <f>IF($C197-R$1&lt;År1,0,Q196*(1-VLOOKUP($A197,[1]Hugst!$R$5:$W$9,MATCH(ROUNDUP((R$1)/10,0)*10,[1]Hugst!$R$4:$W$4,0))))</f>
        <v>0</v>
      </c>
      <c r="S197">
        <f>IF($C197-S$1&lt;År1,0,R196*(1-VLOOKUP($A197,[1]Hugst!$R$5:$W$9,MATCH(ROUNDUP((S$1)/10,0)*10,[1]Hugst!$R$4:$W$4,0))))</f>
        <v>0</v>
      </c>
      <c r="T197">
        <f>IF($C197-T$1&lt;År1,0,S196*(1-VLOOKUP($A197,[1]Hugst!$R$5:$W$9,MATCH(ROUNDUP((T$1)/10,0)*10,[1]Hugst!$R$4:$W$4,0))))</f>
        <v>0</v>
      </c>
      <c r="U197">
        <f>IF($C197-U$1&lt;År1,0,T196*(1-VLOOKUP($A197,[1]Hugst!$R$5:$W$9,MATCH(ROUNDUP((U$1)/10,0)*10,[1]Hugst!$R$4:$W$4,0))))</f>
        <v>0</v>
      </c>
      <c r="V197">
        <f>IF($C197-V$1&lt;År1,0,U196*(1-VLOOKUP($A197,[1]Hugst!$R$5:$W$9,MATCH(ROUNDUP((V$1)/10,0)*10,[1]Hugst!$R$4:$W$4,0))))</f>
        <v>0</v>
      </c>
      <c r="W197">
        <f>IF($C197-W$1&lt;År1,0,V196*(1-VLOOKUP($A197,[1]Hugst!$R$5:$W$9,MATCH(ROUNDUP((W$1)/10,0)*10,[1]Hugst!$R$4:$W$4,0))))</f>
        <v>0</v>
      </c>
      <c r="X197">
        <f>IF($C197-X$1&lt;År1,0,W196*(1-VLOOKUP($A197,[1]Hugst!$R$5:$W$9,MATCH(ROUNDUP((X$1)/10,0)*10,[1]Hugst!$R$4:$W$4,0))))</f>
        <v>0</v>
      </c>
      <c r="Y197">
        <f>IF($C197-Y$1&lt;År1,0,X196*(1-VLOOKUP($A197,[1]Hugst!$R$5:$W$9,MATCH(ROUNDUP((Y$1)/10,0)*10,[1]Hugst!$R$4:$W$4,0))))</f>
        <v>0</v>
      </c>
      <c r="Z197">
        <f>IF($C197-Z$1&lt;År1,0,Y196*(1-VLOOKUP($A197,[1]Hugst!$R$5:$W$9,MATCH(ROUNDUP((Z$1)/10,0)*10,[1]Hugst!$R$4:$W$4,0))))</f>
        <v>0</v>
      </c>
      <c r="AA197">
        <f>IF($C197-AA$1&lt;År1,0,Z196*(1-VLOOKUP($A197,[1]Hugst!$R$5:$W$9,MATCH(ROUNDUP((AA$1)/10,0)*10,[1]Hugst!$R$4:$W$4,0))))</f>
        <v>0</v>
      </c>
      <c r="AB197">
        <f>IF($C197-AB$1&lt;År1,0,AA196*(1-VLOOKUP($A197,[1]Hugst!$R$5:$W$9,MATCH(ROUNDUP((AB$1)/10,0)*10,[1]Hugst!$R$4:$W$4,0))))</f>
        <v>0</v>
      </c>
      <c r="AC197">
        <f>IF($C197-AC$1&lt;År1,0,AB196*(1-VLOOKUP($A197,[1]Hugst!$R$5:$W$9,MATCH(ROUNDUP((AC$1)/10,0)*10,[1]Hugst!$R$4:$W$4,0))))</f>
        <v>0</v>
      </c>
      <c r="AD197">
        <f>IF($C197-AD$1&lt;År1,0,AC196*(1-VLOOKUP($A197,[1]Hugst!$R$5:$W$9,MATCH(ROUNDUP((AD$1)/10,0)*10,[1]Hugst!$R$4:$W$4,0))))</f>
        <v>0</v>
      </c>
      <c r="AE197">
        <f>IF($C197-AE$1&lt;År1,0,AD196*(1-VLOOKUP($A197,[1]Hugst!$R$5:$W$9,MATCH(ROUNDUP((AE$1)/10,0)*10,[1]Hugst!$R$4:$W$4,0))))</f>
        <v>0</v>
      </c>
      <c r="AF197">
        <f>IF($C197-AF$1&lt;År1,0,AE196*(1-VLOOKUP($A197,[1]Hugst!$R$5:$W$9,MATCH(ROUNDUP((AF$1)/10,0)*10,[1]Hugst!$R$4:$W$4,0))))</f>
        <v>0</v>
      </c>
      <c r="AG197">
        <f>IF($C197-AG$1&lt;År1,0,AF196*(1-VLOOKUP($A197,[1]Hugst!$R$5:$W$9,MATCH(ROUNDUP((AG$1)/10,0)*10,[1]Hugst!$R$4:$W$4,0))))</f>
        <v>0</v>
      </c>
      <c r="AH197">
        <f>IF($C197-AH$1&lt;År1,0,AG196*(1-VLOOKUP($A197,[1]Hugst!$R$5:$W$9,MATCH(ROUNDUP((AH$1)/10,0)*10,[1]Hugst!$R$4:$W$4,0))))</f>
        <v>0</v>
      </c>
      <c r="AI197">
        <f>IF($C197-AI$1&lt;År1,0,AH196*(1-VLOOKUP($A197,[1]Hugst!$R$5:$W$9,MATCH(ROUNDUP((AI$1)/10,0)*10,[1]Hugst!$R$4:$W$4,0))))</f>
        <v>0</v>
      </c>
      <c r="AJ197">
        <f>IF($C197-AJ$1&lt;År1,0,AI196*(1-VLOOKUP($A197,[1]Hugst!$R$5:$W$9,MATCH(ROUNDUP((AJ$1)/10,0)*10,[1]Hugst!$R$4:$W$4,0))))</f>
        <v>0</v>
      </c>
    </row>
    <row r="198" spans="1:36" x14ac:dyDescent="0.25">
      <c r="A198" t="s">
        <v>179</v>
      </c>
      <c r="B198" t="s">
        <v>23</v>
      </c>
      <c r="C198">
        <v>2030</v>
      </c>
      <c r="D19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931.03711632439263</v>
      </c>
      <c r="E198">
        <f t="shared" ca="1" si="4"/>
        <v>7.201762995129684</v>
      </c>
      <c r="F19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3240.146847894157</v>
      </c>
      <c r="G198">
        <f ca="1">IF($C198-G$1&lt;År1,0,F197*(1-VLOOKUP($A198,[1]Hugst!$R$5:$W$9,MATCH(ROUNDUP((G$1)/10,0)*10,[1]Hugst!$R$4:$W$4,0))))</f>
        <v>3237.6236633729714</v>
      </c>
      <c r="H198">
        <f ca="1">IF($C198-H$1&lt;År1,0,G197*(1-VLOOKUP($A198,[1]Hugst!$R$5:$W$9,MATCH(ROUNDUP((H$1)/10,0)*10,[1]Hugst!$R$4:$W$4,0))))</f>
        <v>3242.3257522916001</v>
      </c>
      <c r="I198">
        <f ca="1">IF($C198-I$1&lt;År1,0,H197*(1-VLOOKUP($A198,[1]Hugst!$R$5:$W$9,MATCH(ROUNDUP((I$1)/10,0)*10,[1]Hugst!$R$4:$W$4,0))))</f>
        <v>3247.0514697977023</v>
      </c>
      <c r="J198">
        <f ca="1">IF($C198-J$1&lt;År1,0,I197*(1-VLOOKUP($A198,[1]Hugst!$R$5:$W$9,MATCH(ROUNDUP((J$1)/10,0)*10,[1]Hugst!$R$4:$W$4,0))))</f>
        <v>3251.8009346279605</v>
      </c>
      <c r="K198">
        <f ca="1">IF($C198-K$1&lt;År1,0,J197*(1-VLOOKUP($A198,[1]Hugst!$R$5:$W$9,MATCH(ROUNDUP((K$1)/10,0)*10,[1]Hugst!$R$4:$W$4,0))))</f>
        <v>3256.574266115661</v>
      </c>
      <c r="L198">
        <f ca="1">IF($C198-L$1&lt;År1,0,K197*(1-VLOOKUP($A198,[1]Hugst!$R$5:$W$9,MATCH(ROUNDUP((L$1)/10,0)*10,[1]Hugst!$R$4:$W$4,0))))</f>
        <v>3261.3715841937615</v>
      </c>
      <c r="M198">
        <f ca="1">IF($C198-M$1&lt;År1,0,L197*(1-VLOOKUP($A198,[1]Hugst!$R$5:$W$9,MATCH(ROUNDUP((M$1)/10,0)*10,[1]Hugst!$R$4:$W$4,0))))</f>
        <v>3266.1930093978795</v>
      </c>
      <c r="N198">
        <f ca="1">IF($C198-N$1&lt;År1,0,M197*(1-VLOOKUP($A198,[1]Hugst!$R$5:$W$9,MATCH(ROUNDUP((N$1)/10,0)*10,[1]Hugst!$R$4:$W$4,0))))</f>
        <v>3271.0386628693586</v>
      </c>
      <c r="O198">
        <f ca="1">IF($C198-O$1&lt;År1,0,N197*(1-VLOOKUP($A198,[1]Hugst!$R$5:$W$9,MATCH(ROUNDUP((O$1)/10,0)*10,[1]Hugst!$R$4:$W$4,0))))</f>
        <v>3275.9086663582484</v>
      </c>
      <c r="P198">
        <f ca="1">IF($C198-P$1&lt;År1,0,O197*(1-VLOOKUP($A198,[1]Hugst!$R$5:$W$9,MATCH(ROUNDUP((P$1)/10,0)*10,[1]Hugst!$R$4:$W$4,0))))</f>
        <v>3273.6013792313997</v>
      </c>
      <c r="Q198">
        <f>IF($C198-Q$1&lt;År1,0,P197*(1-VLOOKUP($A198,[1]Hugst!$R$5:$W$9,MATCH(ROUNDUP((Q$1)/10,0)*10,[1]Hugst!$R$4:$W$4,0))))</f>
        <v>0</v>
      </c>
      <c r="R198">
        <f>IF($C198-R$1&lt;År1,0,Q197*(1-VLOOKUP($A198,[1]Hugst!$R$5:$W$9,MATCH(ROUNDUP((R$1)/10,0)*10,[1]Hugst!$R$4:$W$4,0))))</f>
        <v>0</v>
      </c>
      <c r="S198">
        <f>IF($C198-S$1&lt;År1,0,R197*(1-VLOOKUP($A198,[1]Hugst!$R$5:$W$9,MATCH(ROUNDUP((S$1)/10,0)*10,[1]Hugst!$R$4:$W$4,0))))</f>
        <v>0</v>
      </c>
      <c r="T198">
        <f>IF($C198-T$1&lt;År1,0,S197*(1-VLOOKUP($A198,[1]Hugst!$R$5:$W$9,MATCH(ROUNDUP((T$1)/10,0)*10,[1]Hugst!$R$4:$W$4,0))))</f>
        <v>0</v>
      </c>
      <c r="U198">
        <f>IF($C198-U$1&lt;År1,0,T197*(1-VLOOKUP($A198,[1]Hugst!$R$5:$W$9,MATCH(ROUNDUP((U$1)/10,0)*10,[1]Hugst!$R$4:$W$4,0))))</f>
        <v>0</v>
      </c>
      <c r="V198">
        <f>IF($C198-V$1&lt;År1,0,U197*(1-VLOOKUP($A198,[1]Hugst!$R$5:$W$9,MATCH(ROUNDUP((V$1)/10,0)*10,[1]Hugst!$R$4:$W$4,0))))</f>
        <v>0</v>
      </c>
      <c r="W198">
        <f>IF($C198-W$1&lt;År1,0,V197*(1-VLOOKUP($A198,[1]Hugst!$R$5:$W$9,MATCH(ROUNDUP((W$1)/10,0)*10,[1]Hugst!$R$4:$W$4,0))))</f>
        <v>0</v>
      </c>
      <c r="X198">
        <f>IF($C198-X$1&lt;År1,0,W197*(1-VLOOKUP($A198,[1]Hugst!$R$5:$W$9,MATCH(ROUNDUP((X$1)/10,0)*10,[1]Hugst!$R$4:$W$4,0))))</f>
        <v>0</v>
      </c>
      <c r="Y198">
        <f>IF($C198-Y$1&lt;År1,0,X197*(1-VLOOKUP($A198,[1]Hugst!$R$5:$W$9,MATCH(ROUNDUP((Y$1)/10,0)*10,[1]Hugst!$R$4:$W$4,0))))</f>
        <v>0</v>
      </c>
      <c r="Z198">
        <f>IF($C198-Z$1&lt;År1,0,Y197*(1-VLOOKUP($A198,[1]Hugst!$R$5:$W$9,MATCH(ROUNDUP((Z$1)/10,0)*10,[1]Hugst!$R$4:$W$4,0))))</f>
        <v>0</v>
      </c>
      <c r="AA198">
        <f>IF($C198-AA$1&lt;År1,0,Z197*(1-VLOOKUP($A198,[1]Hugst!$R$5:$W$9,MATCH(ROUNDUP((AA$1)/10,0)*10,[1]Hugst!$R$4:$W$4,0))))</f>
        <v>0</v>
      </c>
      <c r="AB198">
        <f>IF($C198-AB$1&lt;År1,0,AA197*(1-VLOOKUP($A198,[1]Hugst!$R$5:$W$9,MATCH(ROUNDUP((AB$1)/10,0)*10,[1]Hugst!$R$4:$W$4,0))))</f>
        <v>0</v>
      </c>
      <c r="AC198">
        <f>IF($C198-AC$1&lt;År1,0,AB197*(1-VLOOKUP($A198,[1]Hugst!$R$5:$W$9,MATCH(ROUNDUP((AC$1)/10,0)*10,[1]Hugst!$R$4:$W$4,0))))</f>
        <v>0</v>
      </c>
      <c r="AD198">
        <f>IF($C198-AD$1&lt;År1,0,AC197*(1-VLOOKUP($A198,[1]Hugst!$R$5:$W$9,MATCH(ROUNDUP((AD$1)/10,0)*10,[1]Hugst!$R$4:$W$4,0))))</f>
        <v>0</v>
      </c>
      <c r="AE198">
        <f>IF($C198-AE$1&lt;År1,0,AD197*(1-VLOOKUP($A198,[1]Hugst!$R$5:$W$9,MATCH(ROUNDUP((AE$1)/10,0)*10,[1]Hugst!$R$4:$W$4,0))))</f>
        <v>0</v>
      </c>
      <c r="AF198">
        <f>IF($C198-AF$1&lt;År1,0,AE197*(1-VLOOKUP($A198,[1]Hugst!$R$5:$W$9,MATCH(ROUNDUP((AF$1)/10,0)*10,[1]Hugst!$R$4:$W$4,0))))</f>
        <v>0</v>
      </c>
      <c r="AG198">
        <f>IF($C198-AG$1&lt;År1,0,AF197*(1-VLOOKUP($A198,[1]Hugst!$R$5:$W$9,MATCH(ROUNDUP((AG$1)/10,0)*10,[1]Hugst!$R$4:$W$4,0))))</f>
        <v>0</v>
      </c>
      <c r="AH198">
        <f>IF($C198-AH$1&lt;År1,0,AG197*(1-VLOOKUP($A198,[1]Hugst!$R$5:$W$9,MATCH(ROUNDUP((AH$1)/10,0)*10,[1]Hugst!$R$4:$W$4,0))))</f>
        <v>0</v>
      </c>
      <c r="AI198">
        <f>IF($C198-AI$1&lt;År1,0,AH197*(1-VLOOKUP($A198,[1]Hugst!$R$5:$W$9,MATCH(ROUNDUP((AI$1)/10,0)*10,[1]Hugst!$R$4:$W$4,0))))</f>
        <v>0</v>
      </c>
      <c r="AJ198">
        <f>IF($C198-AJ$1&lt;År1,0,AI197*(1-VLOOKUP($A198,[1]Hugst!$R$5:$W$9,MATCH(ROUNDUP((AJ$1)/10,0)*10,[1]Hugst!$R$4:$W$4,0))))</f>
        <v>0</v>
      </c>
    </row>
    <row r="199" spans="1:36" x14ac:dyDescent="0.25">
      <c r="A199" t="s">
        <v>179</v>
      </c>
      <c r="B199" t="s">
        <v>23</v>
      </c>
      <c r="C199">
        <v>2031</v>
      </c>
      <c r="D199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926.3819307427093</v>
      </c>
      <c r="E199">
        <f t="shared" ca="1" si="4"/>
        <v>14.376973270809685</v>
      </c>
      <c r="F19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4558.042854630803</v>
      </c>
      <c r="G199">
        <f ca="1">IF($C199-G$1&lt;År1,0,F198*(1-VLOOKUP($A199,[1]Hugst!$R$5:$W$9,MATCH(ROUNDUP((G$1)/10,0)*10,[1]Hugst!$R$4:$W$4,0))))</f>
        <v>3240.146847894157</v>
      </c>
      <c r="H199">
        <f ca="1">IF($C199-H$1&lt;År1,0,G198*(1-VLOOKUP($A199,[1]Hugst!$R$5:$W$9,MATCH(ROUNDUP((H$1)/10,0)*10,[1]Hugst!$R$4:$W$4,0))))</f>
        <v>3237.6236633729714</v>
      </c>
      <c r="I199">
        <f ca="1">IF($C199-I$1&lt;År1,0,H198*(1-VLOOKUP($A199,[1]Hugst!$R$5:$W$9,MATCH(ROUNDUP((I$1)/10,0)*10,[1]Hugst!$R$4:$W$4,0))))</f>
        <v>3242.3257522916001</v>
      </c>
      <c r="J199">
        <f ca="1">IF($C199-J$1&lt;År1,0,I198*(1-VLOOKUP($A199,[1]Hugst!$R$5:$W$9,MATCH(ROUNDUP((J$1)/10,0)*10,[1]Hugst!$R$4:$W$4,0))))</f>
        <v>3247.0514697977023</v>
      </c>
      <c r="K199">
        <f ca="1">IF($C199-K$1&lt;År1,0,J198*(1-VLOOKUP($A199,[1]Hugst!$R$5:$W$9,MATCH(ROUNDUP((K$1)/10,0)*10,[1]Hugst!$R$4:$W$4,0))))</f>
        <v>3251.8009346279605</v>
      </c>
      <c r="L199">
        <f ca="1">IF($C199-L$1&lt;År1,0,K198*(1-VLOOKUP($A199,[1]Hugst!$R$5:$W$9,MATCH(ROUNDUP((L$1)/10,0)*10,[1]Hugst!$R$4:$W$4,0))))</f>
        <v>3256.574266115661</v>
      </c>
      <c r="M199">
        <f ca="1">IF($C199-M$1&lt;År1,0,L198*(1-VLOOKUP($A199,[1]Hugst!$R$5:$W$9,MATCH(ROUNDUP((M$1)/10,0)*10,[1]Hugst!$R$4:$W$4,0))))</f>
        <v>3261.3715841937615</v>
      </c>
      <c r="N199">
        <f ca="1">IF($C199-N$1&lt;År1,0,M198*(1-VLOOKUP($A199,[1]Hugst!$R$5:$W$9,MATCH(ROUNDUP((N$1)/10,0)*10,[1]Hugst!$R$4:$W$4,0))))</f>
        <v>3266.1930093978795</v>
      </c>
      <c r="O199">
        <f ca="1">IF($C199-O$1&lt;År1,0,N198*(1-VLOOKUP($A199,[1]Hugst!$R$5:$W$9,MATCH(ROUNDUP((O$1)/10,0)*10,[1]Hugst!$R$4:$W$4,0))))</f>
        <v>3271.0386628693586</v>
      </c>
      <c r="P199">
        <f ca="1">IF($C199-P$1&lt;År1,0,O198*(1-VLOOKUP($A199,[1]Hugst!$R$5:$W$9,MATCH(ROUNDUP((P$1)/10,0)*10,[1]Hugst!$R$4:$W$4,0))))</f>
        <v>3268.7176473345353</v>
      </c>
      <c r="Q199">
        <f ca="1">IF($C199-Q$1&lt;År1,0,P198*(1-VLOOKUP($A199,[1]Hugst!$R$5:$W$9,MATCH(ROUNDUP((Q$1)/10,0)*10,[1]Hugst!$R$4:$W$4,0))))</f>
        <v>3266.4154249843064</v>
      </c>
      <c r="R199">
        <f>IF($C199-R$1&lt;År1,0,Q198*(1-VLOOKUP($A199,[1]Hugst!$R$5:$W$9,MATCH(ROUNDUP((R$1)/10,0)*10,[1]Hugst!$R$4:$W$4,0))))</f>
        <v>0</v>
      </c>
      <c r="S199">
        <f>IF($C199-S$1&lt;År1,0,R198*(1-VLOOKUP($A199,[1]Hugst!$R$5:$W$9,MATCH(ROUNDUP((S$1)/10,0)*10,[1]Hugst!$R$4:$W$4,0))))</f>
        <v>0</v>
      </c>
      <c r="T199">
        <f>IF($C199-T$1&lt;År1,0,S198*(1-VLOOKUP($A199,[1]Hugst!$R$5:$W$9,MATCH(ROUNDUP((T$1)/10,0)*10,[1]Hugst!$R$4:$W$4,0))))</f>
        <v>0</v>
      </c>
      <c r="U199">
        <f>IF($C199-U$1&lt;År1,0,T198*(1-VLOOKUP($A199,[1]Hugst!$R$5:$W$9,MATCH(ROUNDUP((U$1)/10,0)*10,[1]Hugst!$R$4:$W$4,0))))</f>
        <v>0</v>
      </c>
      <c r="V199">
        <f>IF($C199-V$1&lt;År1,0,U198*(1-VLOOKUP($A199,[1]Hugst!$R$5:$W$9,MATCH(ROUNDUP((V$1)/10,0)*10,[1]Hugst!$R$4:$W$4,0))))</f>
        <v>0</v>
      </c>
      <c r="W199">
        <f>IF($C199-W$1&lt;År1,0,V198*(1-VLOOKUP($A199,[1]Hugst!$R$5:$W$9,MATCH(ROUNDUP((W$1)/10,0)*10,[1]Hugst!$R$4:$W$4,0))))</f>
        <v>0</v>
      </c>
      <c r="X199">
        <f>IF($C199-X$1&lt;År1,0,W198*(1-VLOOKUP($A199,[1]Hugst!$R$5:$W$9,MATCH(ROUNDUP((X$1)/10,0)*10,[1]Hugst!$R$4:$W$4,0))))</f>
        <v>0</v>
      </c>
      <c r="Y199">
        <f>IF($C199-Y$1&lt;År1,0,X198*(1-VLOOKUP($A199,[1]Hugst!$R$5:$W$9,MATCH(ROUNDUP((Y$1)/10,0)*10,[1]Hugst!$R$4:$W$4,0))))</f>
        <v>0</v>
      </c>
      <c r="Z199">
        <f>IF($C199-Z$1&lt;År1,0,Y198*(1-VLOOKUP($A199,[1]Hugst!$R$5:$W$9,MATCH(ROUNDUP((Z$1)/10,0)*10,[1]Hugst!$R$4:$W$4,0))))</f>
        <v>0</v>
      </c>
      <c r="AA199">
        <f>IF($C199-AA$1&lt;År1,0,Z198*(1-VLOOKUP($A199,[1]Hugst!$R$5:$W$9,MATCH(ROUNDUP((AA$1)/10,0)*10,[1]Hugst!$R$4:$W$4,0))))</f>
        <v>0</v>
      </c>
      <c r="AB199">
        <f>IF($C199-AB$1&lt;År1,0,AA198*(1-VLOOKUP($A199,[1]Hugst!$R$5:$W$9,MATCH(ROUNDUP((AB$1)/10,0)*10,[1]Hugst!$R$4:$W$4,0))))</f>
        <v>0</v>
      </c>
      <c r="AC199">
        <f>IF($C199-AC$1&lt;År1,0,AB198*(1-VLOOKUP($A199,[1]Hugst!$R$5:$W$9,MATCH(ROUNDUP((AC$1)/10,0)*10,[1]Hugst!$R$4:$W$4,0))))</f>
        <v>0</v>
      </c>
      <c r="AD199">
        <f>IF($C199-AD$1&lt;År1,0,AC198*(1-VLOOKUP($A199,[1]Hugst!$R$5:$W$9,MATCH(ROUNDUP((AD$1)/10,0)*10,[1]Hugst!$R$4:$W$4,0))))</f>
        <v>0</v>
      </c>
      <c r="AE199">
        <f>IF($C199-AE$1&lt;År1,0,AD198*(1-VLOOKUP($A199,[1]Hugst!$R$5:$W$9,MATCH(ROUNDUP((AE$1)/10,0)*10,[1]Hugst!$R$4:$W$4,0))))</f>
        <v>0</v>
      </c>
      <c r="AF199">
        <f>IF($C199-AF$1&lt;År1,0,AE198*(1-VLOOKUP($A199,[1]Hugst!$R$5:$W$9,MATCH(ROUNDUP((AF$1)/10,0)*10,[1]Hugst!$R$4:$W$4,0))))</f>
        <v>0</v>
      </c>
      <c r="AG199">
        <f>IF($C199-AG$1&lt;År1,0,AF198*(1-VLOOKUP($A199,[1]Hugst!$R$5:$W$9,MATCH(ROUNDUP((AG$1)/10,0)*10,[1]Hugst!$R$4:$W$4,0))))</f>
        <v>0</v>
      </c>
      <c r="AH199">
        <f>IF($C199-AH$1&lt;År1,0,AG198*(1-VLOOKUP($A199,[1]Hugst!$R$5:$W$9,MATCH(ROUNDUP((AH$1)/10,0)*10,[1]Hugst!$R$4:$W$4,0))))</f>
        <v>0</v>
      </c>
      <c r="AI199">
        <f>IF($C199-AI$1&lt;År1,0,AH198*(1-VLOOKUP($A199,[1]Hugst!$R$5:$W$9,MATCH(ROUNDUP((AI$1)/10,0)*10,[1]Hugst!$R$4:$W$4,0))))</f>
        <v>0</v>
      </c>
      <c r="AJ199">
        <f>IF($C199-AJ$1&lt;År1,0,AI198*(1-VLOOKUP($A199,[1]Hugst!$R$5:$W$9,MATCH(ROUNDUP((AJ$1)/10,0)*10,[1]Hugst!$R$4:$W$4,0))))</f>
        <v>0</v>
      </c>
    </row>
    <row r="200" spans="1:36" x14ac:dyDescent="0.25">
      <c r="A200" t="s">
        <v>179</v>
      </c>
      <c r="B200" t="s">
        <v>23</v>
      </c>
      <c r="C200">
        <v>2032</v>
      </c>
      <c r="D200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921.750021089043</v>
      </c>
      <c r="E200">
        <f t="shared" ca="1" si="4"/>
        <v>21.525742833327968</v>
      </c>
      <c r="F200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4560.559714539655</v>
      </c>
      <c r="G200">
        <f ca="1">IF($C200-G$1&lt;År1,0,F199*(1-VLOOKUP($A200,[1]Hugst!$R$5:$W$9,MATCH(ROUNDUP((G$1)/10,0)*10,[1]Hugst!$R$4:$W$4,0))))</f>
        <v>4558.042854630803</v>
      </c>
      <c r="H200">
        <f ca="1">IF($C200-H$1&lt;År1,0,G199*(1-VLOOKUP($A200,[1]Hugst!$R$5:$W$9,MATCH(ROUNDUP((H$1)/10,0)*10,[1]Hugst!$R$4:$W$4,0))))</f>
        <v>3240.146847894157</v>
      </c>
      <c r="I200">
        <f ca="1">IF($C200-I$1&lt;År1,0,H199*(1-VLOOKUP($A200,[1]Hugst!$R$5:$W$9,MATCH(ROUNDUP((I$1)/10,0)*10,[1]Hugst!$R$4:$W$4,0))))</f>
        <v>3237.6236633729714</v>
      </c>
      <c r="J200">
        <f ca="1">IF($C200-J$1&lt;År1,0,I199*(1-VLOOKUP($A200,[1]Hugst!$R$5:$W$9,MATCH(ROUNDUP((J$1)/10,0)*10,[1]Hugst!$R$4:$W$4,0))))</f>
        <v>3242.3257522916001</v>
      </c>
      <c r="K200">
        <f ca="1">IF($C200-K$1&lt;År1,0,J199*(1-VLOOKUP($A200,[1]Hugst!$R$5:$W$9,MATCH(ROUNDUP((K$1)/10,0)*10,[1]Hugst!$R$4:$W$4,0))))</f>
        <v>3247.0514697977023</v>
      </c>
      <c r="L200">
        <f ca="1">IF($C200-L$1&lt;År1,0,K199*(1-VLOOKUP($A200,[1]Hugst!$R$5:$W$9,MATCH(ROUNDUP((L$1)/10,0)*10,[1]Hugst!$R$4:$W$4,0))))</f>
        <v>3251.8009346279605</v>
      </c>
      <c r="M200">
        <f ca="1">IF($C200-M$1&lt;År1,0,L199*(1-VLOOKUP($A200,[1]Hugst!$R$5:$W$9,MATCH(ROUNDUP((M$1)/10,0)*10,[1]Hugst!$R$4:$W$4,0))))</f>
        <v>3256.574266115661</v>
      </c>
      <c r="N200">
        <f ca="1">IF($C200-N$1&lt;År1,0,M199*(1-VLOOKUP($A200,[1]Hugst!$R$5:$W$9,MATCH(ROUNDUP((N$1)/10,0)*10,[1]Hugst!$R$4:$W$4,0))))</f>
        <v>3261.3715841937615</v>
      </c>
      <c r="O200">
        <f ca="1">IF($C200-O$1&lt;År1,0,N199*(1-VLOOKUP($A200,[1]Hugst!$R$5:$W$9,MATCH(ROUNDUP((O$1)/10,0)*10,[1]Hugst!$R$4:$W$4,0))))</f>
        <v>3266.1930093978795</v>
      </c>
      <c r="P200">
        <f ca="1">IF($C200-P$1&lt;År1,0,O199*(1-VLOOKUP($A200,[1]Hugst!$R$5:$W$9,MATCH(ROUNDUP((P$1)/10,0)*10,[1]Hugst!$R$4:$W$4,0))))</f>
        <v>3263.8583340972064</v>
      </c>
      <c r="Q200">
        <f ca="1">IF($C200-Q$1&lt;År1,0,P199*(1-VLOOKUP($A200,[1]Hugst!$R$5:$W$9,MATCH(ROUNDUP((Q$1)/10,0)*10,[1]Hugst!$R$4:$W$4,0))))</f>
        <v>3261.5424134745326</v>
      </c>
      <c r="R200">
        <f ca="1">IF($C200-R$1&lt;År1,0,Q199*(1-VLOOKUP($A200,[1]Hugst!$R$5:$W$9,MATCH(ROUNDUP((R$1)/10,0)*10,[1]Hugst!$R$4:$W$4,0))))</f>
        <v>3259.2452447831215</v>
      </c>
      <c r="S200">
        <f>IF($C200-S$1&lt;År1,0,R199*(1-VLOOKUP($A200,[1]Hugst!$R$5:$W$9,MATCH(ROUNDUP((S$1)/10,0)*10,[1]Hugst!$R$4:$W$4,0))))</f>
        <v>0</v>
      </c>
      <c r="T200">
        <f>IF($C200-T$1&lt;År1,0,S199*(1-VLOOKUP($A200,[1]Hugst!$R$5:$W$9,MATCH(ROUNDUP((T$1)/10,0)*10,[1]Hugst!$R$4:$W$4,0))))</f>
        <v>0</v>
      </c>
      <c r="U200">
        <f>IF($C200-U$1&lt;År1,0,T199*(1-VLOOKUP($A200,[1]Hugst!$R$5:$W$9,MATCH(ROUNDUP((U$1)/10,0)*10,[1]Hugst!$R$4:$W$4,0))))</f>
        <v>0</v>
      </c>
      <c r="V200">
        <f>IF($C200-V$1&lt;År1,0,U199*(1-VLOOKUP($A200,[1]Hugst!$R$5:$W$9,MATCH(ROUNDUP((V$1)/10,0)*10,[1]Hugst!$R$4:$W$4,0))))</f>
        <v>0</v>
      </c>
      <c r="W200">
        <f>IF($C200-W$1&lt;År1,0,V199*(1-VLOOKUP($A200,[1]Hugst!$R$5:$W$9,MATCH(ROUNDUP((W$1)/10,0)*10,[1]Hugst!$R$4:$W$4,0))))</f>
        <v>0</v>
      </c>
      <c r="X200">
        <f>IF($C200-X$1&lt;År1,0,W199*(1-VLOOKUP($A200,[1]Hugst!$R$5:$W$9,MATCH(ROUNDUP((X$1)/10,0)*10,[1]Hugst!$R$4:$W$4,0))))</f>
        <v>0</v>
      </c>
      <c r="Y200">
        <f>IF($C200-Y$1&lt;År1,0,X199*(1-VLOOKUP($A200,[1]Hugst!$R$5:$W$9,MATCH(ROUNDUP((Y$1)/10,0)*10,[1]Hugst!$R$4:$W$4,0))))</f>
        <v>0</v>
      </c>
      <c r="Z200">
        <f>IF($C200-Z$1&lt;År1,0,Y199*(1-VLOOKUP($A200,[1]Hugst!$R$5:$W$9,MATCH(ROUNDUP((Z$1)/10,0)*10,[1]Hugst!$R$4:$W$4,0))))</f>
        <v>0</v>
      </c>
      <c r="AA200">
        <f>IF($C200-AA$1&lt;År1,0,Z199*(1-VLOOKUP($A200,[1]Hugst!$R$5:$W$9,MATCH(ROUNDUP((AA$1)/10,0)*10,[1]Hugst!$R$4:$W$4,0))))</f>
        <v>0</v>
      </c>
      <c r="AB200">
        <f>IF($C200-AB$1&lt;År1,0,AA199*(1-VLOOKUP($A200,[1]Hugst!$R$5:$W$9,MATCH(ROUNDUP((AB$1)/10,0)*10,[1]Hugst!$R$4:$W$4,0))))</f>
        <v>0</v>
      </c>
      <c r="AC200">
        <f>IF($C200-AC$1&lt;År1,0,AB199*(1-VLOOKUP($A200,[1]Hugst!$R$5:$W$9,MATCH(ROUNDUP((AC$1)/10,0)*10,[1]Hugst!$R$4:$W$4,0))))</f>
        <v>0</v>
      </c>
      <c r="AD200">
        <f>IF($C200-AD$1&lt;År1,0,AC199*(1-VLOOKUP($A200,[1]Hugst!$R$5:$W$9,MATCH(ROUNDUP((AD$1)/10,0)*10,[1]Hugst!$R$4:$W$4,0))))</f>
        <v>0</v>
      </c>
      <c r="AE200">
        <f>IF($C200-AE$1&lt;År1,0,AD199*(1-VLOOKUP($A200,[1]Hugst!$R$5:$W$9,MATCH(ROUNDUP((AE$1)/10,0)*10,[1]Hugst!$R$4:$W$4,0))))</f>
        <v>0</v>
      </c>
      <c r="AF200">
        <f>IF($C200-AF$1&lt;År1,0,AE199*(1-VLOOKUP($A200,[1]Hugst!$R$5:$W$9,MATCH(ROUNDUP((AF$1)/10,0)*10,[1]Hugst!$R$4:$W$4,0))))</f>
        <v>0</v>
      </c>
      <c r="AG200">
        <f>IF($C200-AG$1&lt;År1,0,AF199*(1-VLOOKUP($A200,[1]Hugst!$R$5:$W$9,MATCH(ROUNDUP((AG$1)/10,0)*10,[1]Hugst!$R$4:$W$4,0))))</f>
        <v>0</v>
      </c>
      <c r="AH200">
        <f>IF($C200-AH$1&lt;År1,0,AG199*(1-VLOOKUP($A200,[1]Hugst!$R$5:$W$9,MATCH(ROUNDUP((AH$1)/10,0)*10,[1]Hugst!$R$4:$W$4,0))))</f>
        <v>0</v>
      </c>
      <c r="AI200">
        <f>IF($C200-AI$1&lt;År1,0,AH199*(1-VLOOKUP($A200,[1]Hugst!$R$5:$W$9,MATCH(ROUNDUP((AI$1)/10,0)*10,[1]Hugst!$R$4:$W$4,0))))</f>
        <v>0</v>
      </c>
      <c r="AJ200">
        <f>IF($C200-AJ$1&lt;År1,0,AI199*(1-VLOOKUP($A200,[1]Hugst!$R$5:$W$9,MATCH(ROUNDUP((AJ$1)/10,0)*10,[1]Hugst!$R$4:$W$4,0))))</f>
        <v>0</v>
      </c>
    </row>
    <row r="201" spans="1:36" x14ac:dyDescent="0.25">
      <c r="A201" t="s">
        <v>179</v>
      </c>
      <c r="B201" t="s">
        <v>23</v>
      </c>
      <c r="C201">
        <v>2033</v>
      </c>
      <c r="D201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917.14127098357312</v>
      </c>
      <c r="E201">
        <f t="shared" ca="1" si="4"/>
        <v>28.648183174584119</v>
      </c>
      <c r="F201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4563.0734047754413</v>
      </c>
      <c r="G201">
        <f ca="1">IF($C201-G$1&lt;År1,0,F200*(1-VLOOKUP($A201,[1]Hugst!$R$5:$W$9,MATCH(ROUNDUP((G$1)/10,0)*10,[1]Hugst!$R$4:$W$4,0))))</f>
        <v>4560.559714539655</v>
      </c>
      <c r="H201">
        <f ca="1">IF($C201-H$1&lt;År1,0,G200*(1-VLOOKUP($A201,[1]Hugst!$R$5:$W$9,MATCH(ROUNDUP((H$1)/10,0)*10,[1]Hugst!$R$4:$W$4,0))))</f>
        <v>4558.042854630803</v>
      </c>
      <c r="I201">
        <f ca="1">IF($C201-I$1&lt;År1,0,H200*(1-VLOOKUP($A201,[1]Hugst!$R$5:$W$9,MATCH(ROUNDUP((I$1)/10,0)*10,[1]Hugst!$R$4:$W$4,0))))</f>
        <v>3240.146847894157</v>
      </c>
      <c r="J201">
        <f ca="1">IF($C201-J$1&lt;År1,0,I200*(1-VLOOKUP($A201,[1]Hugst!$R$5:$W$9,MATCH(ROUNDUP((J$1)/10,0)*10,[1]Hugst!$R$4:$W$4,0))))</f>
        <v>3237.6236633729714</v>
      </c>
      <c r="K201">
        <f ca="1">IF($C201-K$1&lt;År1,0,J200*(1-VLOOKUP($A201,[1]Hugst!$R$5:$W$9,MATCH(ROUNDUP((K$1)/10,0)*10,[1]Hugst!$R$4:$W$4,0))))</f>
        <v>3242.3257522916001</v>
      </c>
      <c r="L201">
        <f ca="1">IF($C201-L$1&lt;År1,0,K200*(1-VLOOKUP($A201,[1]Hugst!$R$5:$W$9,MATCH(ROUNDUP((L$1)/10,0)*10,[1]Hugst!$R$4:$W$4,0))))</f>
        <v>3247.0514697977023</v>
      </c>
      <c r="M201">
        <f ca="1">IF($C201-M$1&lt;År1,0,L200*(1-VLOOKUP($A201,[1]Hugst!$R$5:$W$9,MATCH(ROUNDUP((M$1)/10,0)*10,[1]Hugst!$R$4:$W$4,0))))</f>
        <v>3251.8009346279605</v>
      </c>
      <c r="N201">
        <f ca="1">IF($C201-N$1&lt;År1,0,M200*(1-VLOOKUP($A201,[1]Hugst!$R$5:$W$9,MATCH(ROUNDUP((N$1)/10,0)*10,[1]Hugst!$R$4:$W$4,0))))</f>
        <v>3256.574266115661</v>
      </c>
      <c r="O201">
        <f ca="1">IF($C201-O$1&lt;År1,0,N200*(1-VLOOKUP($A201,[1]Hugst!$R$5:$W$9,MATCH(ROUNDUP((O$1)/10,0)*10,[1]Hugst!$R$4:$W$4,0))))</f>
        <v>3261.3715841937615</v>
      </c>
      <c r="P201">
        <f ca="1">IF($C201-P$1&lt;År1,0,O200*(1-VLOOKUP($A201,[1]Hugst!$R$5:$W$9,MATCH(ROUNDUP((P$1)/10,0)*10,[1]Hugst!$R$4:$W$4,0))))</f>
        <v>3259.0233174260306</v>
      </c>
      <c r="Q201">
        <f ca="1">IF($C201-Q$1&lt;År1,0,P200*(1-VLOOKUP($A201,[1]Hugst!$R$5:$W$9,MATCH(ROUNDUP((Q$1)/10,0)*10,[1]Hugst!$R$4:$W$4,0))))</f>
        <v>3256.6937670223588</v>
      </c>
      <c r="R201">
        <f ca="1">IF($C201-R$1&lt;År1,0,Q200*(1-VLOOKUP($A201,[1]Hugst!$R$5:$W$9,MATCH(ROUNDUP((R$1)/10,0)*10,[1]Hugst!$R$4:$W$4,0))))</f>
        <v>3254.3829301278811</v>
      </c>
      <c r="S201">
        <f ca="1">IF($C201-S$1&lt;År1,0,R200*(1-VLOOKUP($A201,[1]Hugst!$R$5:$W$9,MATCH(ROUNDUP((S$1)/10,0)*10,[1]Hugst!$R$4:$W$4,0))))</f>
        <v>3252.0908040018903</v>
      </c>
      <c r="T201">
        <f>IF($C201-T$1&lt;År1,0,S200*(1-VLOOKUP($A201,[1]Hugst!$R$5:$W$9,MATCH(ROUNDUP((T$1)/10,0)*10,[1]Hugst!$R$4:$W$4,0))))</f>
        <v>0</v>
      </c>
      <c r="U201">
        <f>IF($C201-U$1&lt;År1,0,T200*(1-VLOOKUP($A201,[1]Hugst!$R$5:$W$9,MATCH(ROUNDUP((U$1)/10,0)*10,[1]Hugst!$R$4:$W$4,0))))</f>
        <v>0</v>
      </c>
      <c r="V201">
        <f>IF($C201-V$1&lt;År1,0,U200*(1-VLOOKUP($A201,[1]Hugst!$R$5:$W$9,MATCH(ROUNDUP((V$1)/10,0)*10,[1]Hugst!$R$4:$W$4,0))))</f>
        <v>0</v>
      </c>
      <c r="W201">
        <f>IF($C201-W$1&lt;År1,0,V200*(1-VLOOKUP($A201,[1]Hugst!$R$5:$W$9,MATCH(ROUNDUP((W$1)/10,0)*10,[1]Hugst!$R$4:$W$4,0))))</f>
        <v>0</v>
      </c>
      <c r="X201">
        <f>IF($C201-X$1&lt;År1,0,W200*(1-VLOOKUP($A201,[1]Hugst!$R$5:$W$9,MATCH(ROUNDUP((X$1)/10,0)*10,[1]Hugst!$R$4:$W$4,0))))</f>
        <v>0</v>
      </c>
      <c r="Y201">
        <f>IF($C201-Y$1&lt;År1,0,X200*(1-VLOOKUP($A201,[1]Hugst!$R$5:$W$9,MATCH(ROUNDUP((Y$1)/10,0)*10,[1]Hugst!$R$4:$W$4,0))))</f>
        <v>0</v>
      </c>
      <c r="Z201">
        <f>IF($C201-Z$1&lt;År1,0,Y200*(1-VLOOKUP($A201,[1]Hugst!$R$5:$W$9,MATCH(ROUNDUP((Z$1)/10,0)*10,[1]Hugst!$R$4:$W$4,0))))</f>
        <v>0</v>
      </c>
      <c r="AA201">
        <f>IF($C201-AA$1&lt;År1,0,Z200*(1-VLOOKUP($A201,[1]Hugst!$R$5:$W$9,MATCH(ROUNDUP((AA$1)/10,0)*10,[1]Hugst!$R$4:$W$4,0))))</f>
        <v>0</v>
      </c>
      <c r="AB201">
        <f>IF($C201-AB$1&lt;År1,0,AA200*(1-VLOOKUP($A201,[1]Hugst!$R$5:$W$9,MATCH(ROUNDUP((AB$1)/10,0)*10,[1]Hugst!$R$4:$W$4,0))))</f>
        <v>0</v>
      </c>
      <c r="AC201">
        <f>IF($C201-AC$1&lt;År1,0,AB200*(1-VLOOKUP($A201,[1]Hugst!$R$5:$W$9,MATCH(ROUNDUP((AC$1)/10,0)*10,[1]Hugst!$R$4:$W$4,0))))</f>
        <v>0</v>
      </c>
      <c r="AD201">
        <f>IF($C201-AD$1&lt;År1,0,AC200*(1-VLOOKUP($A201,[1]Hugst!$R$5:$W$9,MATCH(ROUNDUP((AD$1)/10,0)*10,[1]Hugst!$R$4:$W$4,0))))</f>
        <v>0</v>
      </c>
      <c r="AE201">
        <f>IF($C201-AE$1&lt;År1,0,AD200*(1-VLOOKUP($A201,[1]Hugst!$R$5:$W$9,MATCH(ROUNDUP((AE$1)/10,0)*10,[1]Hugst!$R$4:$W$4,0))))</f>
        <v>0</v>
      </c>
      <c r="AF201">
        <f>IF($C201-AF$1&lt;År1,0,AE200*(1-VLOOKUP($A201,[1]Hugst!$R$5:$W$9,MATCH(ROUNDUP((AF$1)/10,0)*10,[1]Hugst!$R$4:$W$4,0))))</f>
        <v>0</v>
      </c>
      <c r="AG201">
        <f>IF($C201-AG$1&lt;År1,0,AF200*(1-VLOOKUP($A201,[1]Hugst!$R$5:$W$9,MATCH(ROUNDUP((AG$1)/10,0)*10,[1]Hugst!$R$4:$W$4,0))))</f>
        <v>0</v>
      </c>
      <c r="AH201">
        <f>IF($C201-AH$1&lt;År1,0,AG200*(1-VLOOKUP($A201,[1]Hugst!$R$5:$W$9,MATCH(ROUNDUP((AH$1)/10,0)*10,[1]Hugst!$R$4:$W$4,0))))</f>
        <v>0</v>
      </c>
      <c r="AI201">
        <f>IF($C201-AI$1&lt;År1,0,AH200*(1-VLOOKUP($A201,[1]Hugst!$R$5:$W$9,MATCH(ROUNDUP((AI$1)/10,0)*10,[1]Hugst!$R$4:$W$4,0))))</f>
        <v>0</v>
      </c>
      <c r="AJ201">
        <f>IF($C201-AJ$1&lt;År1,0,AI200*(1-VLOOKUP($A201,[1]Hugst!$R$5:$W$9,MATCH(ROUNDUP((AJ$1)/10,0)*10,[1]Hugst!$R$4:$W$4,0))))</f>
        <v>0</v>
      </c>
    </row>
    <row r="202" spans="1:36" x14ac:dyDescent="0.25">
      <c r="A202" t="s">
        <v>179</v>
      </c>
      <c r="B202" t="s">
        <v>23</v>
      </c>
      <c r="C202">
        <v>2034</v>
      </c>
      <c r="D202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912.55556462866116</v>
      </c>
      <c r="E202">
        <f t="shared" ca="1" si="4"/>
        <v>35.744405274381279</v>
      </c>
      <c r="F202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4565.5839205203265</v>
      </c>
      <c r="G202">
        <f ca="1">IF($C202-G$1&lt;År1,0,F201*(1-VLOOKUP($A202,[1]Hugst!$R$5:$W$9,MATCH(ROUNDUP((G$1)/10,0)*10,[1]Hugst!$R$4:$W$4,0))))</f>
        <v>4563.0734047754413</v>
      </c>
      <c r="H202">
        <f ca="1">IF($C202-H$1&lt;År1,0,G201*(1-VLOOKUP($A202,[1]Hugst!$R$5:$W$9,MATCH(ROUNDUP((H$1)/10,0)*10,[1]Hugst!$R$4:$W$4,0))))</f>
        <v>4560.559714539655</v>
      </c>
      <c r="I202">
        <f ca="1">IF($C202-I$1&lt;År1,0,H201*(1-VLOOKUP($A202,[1]Hugst!$R$5:$W$9,MATCH(ROUNDUP((I$1)/10,0)*10,[1]Hugst!$R$4:$W$4,0))))</f>
        <v>4558.042854630803</v>
      </c>
      <c r="J202">
        <f ca="1">IF($C202-J$1&lt;År1,0,I201*(1-VLOOKUP($A202,[1]Hugst!$R$5:$W$9,MATCH(ROUNDUP((J$1)/10,0)*10,[1]Hugst!$R$4:$W$4,0))))</f>
        <v>3240.146847894157</v>
      </c>
      <c r="K202">
        <f ca="1">IF($C202-K$1&lt;År1,0,J201*(1-VLOOKUP($A202,[1]Hugst!$R$5:$W$9,MATCH(ROUNDUP((K$1)/10,0)*10,[1]Hugst!$R$4:$W$4,0))))</f>
        <v>3237.6236633729714</v>
      </c>
      <c r="L202">
        <f ca="1">IF($C202-L$1&lt;År1,0,K201*(1-VLOOKUP($A202,[1]Hugst!$R$5:$W$9,MATCH(ROUNDUP((L$1)/10,0)*10,[1]Hugst!$R$4:$W$4,0))))</f>
        <v>3242.3257522916001</v>
      </c>
      <c r="M202">
        <f ca="1">IF($C202-M$1&lt;År1,0,L201*(1-VLOOKUP($A202,[1]Hugst!$R$5:$W$9,MATCH(ROUNDUP((M$1)/10,0)*10,[1]Hugst!$R$4:$W$4,0))))</f>
        <v>3247.0514697977023</v>
      </c>
      <c r="N202">
        <f ca="1">IF($C202-N$1&lt;År1,0,M201*(1-VLOOKUP($A202,[1]Hugst!$R$5:$W$9,MATCH(ROUNDUP((N$1)/10,0)*10,[1]Hugst!$R$4:$W$4,0))))</f>
        <v>3251.8009346279605</v>
      </c>
      <c r="O202">
        <f ca="1">IF($C202-O$1&lt;År1,0,N201*(1-VLOOKUP($A202,[1]Hugst!$R$5:$W$9,MATCH(ROUNDUP((O$1)/10,0)*10,[1]Hugst!$R$4:$W$4,0))))</f>
        <v>3256.574266115661</v>
      </c>
      <c r="P202">
        <f ca="1">IF($C202-P$1&lt;År1,0,O201*(1-VLOOKUP($A202,[1]Hugst!$R$5:$W$9,MATCH(ROUNDUP((P$1)/10,0)*10,[1]Hugst!$R$4:$W$4,0))))</f>
        <v>3254.2124758382142</v>
      </c>
      <c r="Q202">
        <f ca="1">IF($C202-Q$1&lt;År1,0,P201*(1-VLOOKUP($A202,[1]Hugst!$R$5:$W$9,MATCH(ROUNDUP((Q$1)/10,0)*10,[1]Hugst!$R$4:$W$4,0))))</f>
        <v>3251.8693638024124</v>
      </c>
      <c r="R202">
        <f ca="1">IF($C202-R$1&lt;År1,0,Q201*(1-VLOOKUP($A202,[1]Hugst!$R$5:$W$9,MATCH(ROUNDUP((R$1)/10,0)*10,[1]Hugst!$R$4:$W$4,0))))</f>
        <v>3249.5449270459681</v>
      </c>
      <c r="S202">
        <f ca="1">IF($C202-S$1&lt;År1,0,R201*(1-VLOOKUP($A202,[1]Hugst!$R$5:$W$9,MATCH(ROUNDUP((S$1)/10,0)*10,[1]Hugst!$R$4:$W$4,0))))</f>
        <v>3247.2391627202833</v>
      </c>
      <c r="T202">
        <f ca="1">IF($C202-T$1&lt;År1,0,S201*(1-VLOOKUP($A202,[1]Hugst!$R$5:$W$9,MATCH(ROUNDUP((T$1)/10,0)*10,[1]Hugst!$R$4:$W$4,0))))</f>
        <v>3244.9520680906667</v>
      </c>
      <c r="U202">
        <f>IF($C202-U$1&lt;År1,0,T201*(1-VLOOKUP($A202,[1]Hugst!$R$5:$W$9,MATCH(ROUNDUP((U$1)/10,0)*10,[1]Hugst!$R$4:$W$4,0))))</f>
        <v>0</v>
      </c>
      <c r="V202">
        <f>IF($C202-V$1&lt;År1,0,U201*(1-VLOOKUP($A202,[1]Hugst!$R$5:$W$9,MATCH(ROUNDUP((V$1)/10,0)*10,[1]Hugst!$R$4:$W$4,0))))</f>
        <v>0</v>
      </c>
      <c r="W202">
        <f>IF($C202-W$1&lt;År1,0,V201*(1-VLOOKUP($A202,[1]Hugst!$R$5:$W$9,MATCH(ROUNDUP((W$1)/10,0)*10,[1]Hugst!$R$4:$W$4,0))))</f>
        <v>0</v>
      </c>
      <c r="X202">
        <f>IF($C202-X$1&lt;År1,0,W201*(1-VLOOKUP($A202,[1]Hugst!$R$5:$W$9,MATCH(ROUNDUP((X$1)/10,0)*10,[1]Hugst!$R$4:$W$4,0))))</f>
        <v>0</v>
      </c>
      <c r="Y202">
        <f>IF($C202-Y$1&lt;År1,0,X201*(1-VLOOKUP($A202,[1]Hugst!$R$5:$W$9,MATCH(ROUNDUP((Y$1)/10,0)*10,[1]Hugst!$R$4:$W$4,0))))</f>
        <v>0</v>
      </c>
      <c r="Z202">
        <f>IF($C202-Z$1&lt;År1,0,Y201*(1-VLOOKUP($A202,[1]Hugst!$R$5:$W$9,MATCH(ROUNDUP((Z$1)/10,0)*10,[1]Hugst!$R$4:$W$4,0))))</f>
        <v>0</v>
      </c>
      <c r="AA202">
        <f>IF($C202-AA$1&lt;År1,0,Z201*(1-VLOOKUP($A202,[1]Hugst!$R$5:$W$9,MATCH(ROUNDUP((AA$1)/10,0)*10,[1]Hugst!$R$4:$W$4,0))))</f>
        <v>0</v>
      </c>
      <c r="AB202">
        <f>IF($C202-AB$1&lt;År1,0,AA201*(1-VLOOKUP($A202,[1]Hugst!$R$5:$W$9,MATCH(ROUNDUP((AB$1)/10,0)*10,[1]Hugst!$R$4:$W$4,0))))</f>
        <v>0</v>
      </c>
      <c r="AC202">
        <f>IF($C202-AC$1&lt;År1,0,AB201*(1-VLOOKUP($A202,[1]Hugst!$R$5:$W$9,MATCH(ROUNDUP((AC$1)/10,0)*10,[1]Hugst!$R$4:$W$4,0))))</f>
        <v>0</v>
      </c>
      <c r="AD202">
        <f>IF($C202-AD$1&lt;År1,0,AC201*(1-VLOOKUP($A202,[1]Hugst!$R$5:$W$9,MATCH(ROUNDUP((AD$1)/10,0)*10,[1]Hugst!$R$4:$W$4,0))))</f>
        <v>0</v>
      </c>
      <c r="AE202">
        <f>IF($C202-AE$1&lt;År1,0,AD201*(1-VLOOKUP($A202,[1]Hugst!$R$5:$W$9,MATCH(ROUNDUP((AE$1)/10,0)*10,[1]Hugst!$R$4:$W$4,0))))</f>
        <v>0</v>
      </c>
      <c r="AF202">
        <f>IF($C202-AF$1&lt;År1,0,AE201*(1-VLOOKUP($A202,[1]Hugst!$R$5:$W$9,MATCH(ROUNDUP((AF$1)/10,0)*10,[1]Hugst!$R$4:$W$4,0))))</f>
        <v>0</v>
      </c>
      <c r="AG202">
        <f>IF($C202-AG$1&lt;År1,0,AF201*(1-VLOOKUP($A202,[1]Hugst!$R$5:$W$9,MATCH(ROUNDUP((AG$1)/10,0)*10,[1]Hugst!$R$4:$W$4,0))))</f>
        <v>0</v>
      </c>
      <c r="AH202">
        <f>IF($C202-AH$1&lt;År1,0,AG201*(1-VLOOKUP($A202,[1]Hugst!$R$5:$W$9,MATCH(ROUNDUP((AH$1)/10,0)*10,[1]Hugst!$R$4:$W$4,0))))</f>
        <v>0</v>
      </c>
      <c r="AI202">
        <f>IF($C202-AI$1&lt;År1,0,AH201*(1-VLOOKUP($A202,[1]Hugst!$R$5:$W$9,MATCH(ROUNDUP((AI$1)/10,0)*10,[1]Hugst!$R$4:$W$4,0))))</f>
        <v>0</v>
      </c>
      <c r="AJ202">
        <f>IF($C202-AJ$1&lt;År1,0,AI201*(1-VLOOKUP($A202,[1]Hugst!$R$5:$W$9,MATCH(ROUNDUP((AJ$1)/10,0)*10,[1]Hugst!$R$4:$W$4,0))))</f>
        <v>0</v>
      </c>
    </row>
    <row r="203" spans="1:36" x14ac:dyDescent="0.25">
      <c r="A203" t="s">
        <v>179</v>
      </c>
      <c r="B203" t="s">
        <v>23</v>
      </c>
      <c r="C203">
        <v>2035</v>
      </c>
      <c r="D203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907.99278680553653</v>
      </c>
      <c r="E203">
        <f t="shared" ca="1" si="4"/>
        <v>42.814519603052759</v>
      </c>
      <c r="F203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4568.0912570258733</v>
      </c>
      <c r="G203">
        <f ca="1">IF($C203-G$1&lt;År1,0,F202*(1-VLOOKUP($A203,[1]Hugst!$R$5:$W$9,MATCH(ROUNDUP((G$1)/10,0)*10,[1]Hugst!$R$4:$W$4,0))))</f>
        <v>4565.5839205203265</v>
      </c>
      <c r="H203">
        <f ca="1">IF($C203-H$1&lt;År1,0,G202*(1-VLOOKUP($A203,[1]Hugst!$R$5:$W$9,MATCH(ROUNDUP((H$1)/10,0)*10,[1]Hugst!$R$4:$W$4,0))))</f>
        <v>4563.0734047754413</v>
      </c>
      <c r="I203">
        <f ca="1">IF($C203-I$1&lt;År1,0,H202*(1-VLOOKUP($A203,[1]Hugst!$R$5:$W$9,MATCH(ROUNDUP((I$1)/10,0)*10,[1]Hugst!$R$4:$W$4,0))))</f>
        <v>4560.559714539655</v>
      </c>
      <c r="J203">
        <f ca="1">IF($C203-J$1&lt;År1,0,I202*(1-VLOOKUP($A203,[1]Hugst!$R$5:$W$9,MATCH(ROUNDUP((J$1)/10,0)*10,[1]Hugst!$R$4:$W$4,0))))</f>
        <v>4558.042854630803</v>
      </c>
      <c r="K203">
        <f ca="1">IF($C203-K$1&lt;År1,0,J202*(1-VLOOKUP($A203,[1]Hugst!$R$5:$W$9,MATCH(ROUNDUP((K$1)/10,0)*10,[1]Hugst!$R$4:$W$4,0))))</f>
        <v>3240.146847894157</v>
      </c>
      <c r="L203">
        <f ca="1">IF($C203-L$1&lt;År1,0,K202*(1-VLOOKUP($A203,[1]Hugst!$R$5:$W$9,MATCH(ROUNDUP((L$1)/10,0)*10,[1]Hugst!$R$4:$W$4,0))))</f>
        <v>3237.6236633729714</v>
      </c>
      <c r="M203">
        <f ca="1">IF($C203-M$1&lt;År1,0,L202*(1-VLOOKUP($A203,[1]Hugst!$R$5:$W$9,MATCH(ROUNDUP((M$1)/10,0)*10,[1]Hugst!$R$4:$W$4,0))))</f>
        <v>3242.3257522916001</v>
      </c>
      <c r="N203">
        <f ca="1">IF($C203-N$1&lt;År1,0,M202*(1-VLOOKUP($A203,[1]Hugst!$R$5:$W$9,MATCH(ROUNDUP((N$1)/10,0)*10,[1]Hugst!$R$4:$W$4,0))))</f>
        <v>3247.0514697977023</v>
      </c>
      <c r="O203">
        <f ca="1">IF($C203-O$1&lt;År1,0,N202*(1-VLOOKUP($A203,[1]Hugst!$R$5:$W$9,MATCH(ROUNDUP((O$1)/10,0)*10,[1]Hugst!$R$4:$W$4,0))))</f>
        <v>3251.8009346279605</v>
      </c>
      <c r="P203">
        <f ca="1">IF($C203-P$1&lt;År1,0,O202*(1-VLOOKUP($A203,[1]Hugst!$R$5:$W$9,MATCH(ROUNDUP((P$1)/10,0)*10,[1]Hugst!$R$4:$W$4,0))))</f>
        <v>3249.4256884583338</v>
      </c>
      <c r="Q203">
        <f ca="1">IF($C203-Q$1&lt;År1,0,P202*(1-VLOOKUP($A203,[1]Hugst!$R$5:$W$9,MATCH(ROUNDUP((Q$1)/10,0)*10,[1]Hugst!$R$4:$W$4,0))))</f>
        <v>3247.0690825985694</v>
      </c>
      <c r="R203">
        <f ca="1">IF($C203-R$1&lt;År1,0,Q202*(1-VLOOKUP($A203,[1]Hugst!$R$5:$W$9,MATCH(ROUNDUP((R$1)/10,0)*10,[1]Hugst!$R$4:$W$4,0))))</f>
        <v>3244.7311139794315</v>
      </c>
      <c r="S203">
        <f ca="1">IF($C203-S$1&lt;År1,0,R202*(1-VLOOKUP($A203,[1]Hugst!$R$5:$W$9,MATCH(ROUNDUP((S$1)/10,0)*10,[1]Hugst!$R$4:$W$4,0))))</f>
        <v>3242.4117796451355</v>
      </c>
      <c r="T203">
        <f ca="1">IF($C203-T$1&lt;År1,0,S202*(1-VLOOKUP($A203,[1]Hugst!$R$5:$W$9,MATCH(ROUNDUP((T$1)/10,0)*10,[1]Hugst!$R$4:$W$4,0))))</f>
        <v>3240.1110767533364</v>
      </c>
      <c r="U203">
        <f ca="1">IF($C203-U$1&lt;År1,0,T202*(1-VLOOKUP($A203,[1]Hugst!$R$5:$W$9,MATCH(ROUNDUP((U$1)/10,0)*10,[1]Hugst!$R$4:$W$4,0))))</f>
        <v>3237.8290025753458</v>
      </c>
      <c r="V203">
        <f>IF($C203-V$1&lt;År1,0,U202*(1-VLOOKUP($A203,[1]Hugst!$R$5:$W$9,MATCH(ROUNDUP((V$1)/10,0)*10,[1]Hugst!$R$4:$W$4,0))))</f>
        <v>0</v>
      </c>
      <c r="W203">
        <f>IF($C203-W$1&lt;År1,0,V202*(1-VLOOKUP($A203,[1]Hugst!$R$5:$W$9,MATCH(ROUNDUP((W$1)/10,0)*10,[1]Hugst!$R$4:$W$4,0))))</f>
        <v>0</v>
      </c>
      <c r="X203">
        <f>IF($C203-X$1&lt;År1,0,W202*(1-VLOOKUP($A203,[1]Hugst!$R$5:$W$9,MATCH(ROUNDUP((X$1)/10,0)*10,[1]Hugst!$R$4:$W$4,0))))</f>
        <v>0</v>
      </c>
      <c r="Y203">
        <f>IF($C203-Y$1&lt;År1,0,X202*(1-VLOOKUP($A203,[1]Hugst!$R$5:$W$9,MATCH(ROUNDUP((Y$1)/10,0)*10,[1]Hugst!$R$4:$W$4,0))))</f>
        <v>0</v>
      </c>
      <c r="Z203">
        <f>IF($C203-Z$1&lt;År1,0,Y202*(1-VLOOKUP($A203,[1]Hugst!$R$5:$W$9,MATCH(ROUNDUP((Z$1)/10,0)*10,[1]Hugst!$R$4:$W$4,0))))</f>
        <v>0</v>
      </c>
      <c r="AA203">
        <f>IF($C203-AA$1&lt;År1,0,Z202*(1-VLOOKUP($A203,[1]Hugst!$R$5:$W$9,MATCH(ROUNDUP((AA$1)/10,0)*10,[1]Hugst!$R$4:$W$4,0))))</f>
        <v>0</v>
      </c>
      <c r="AB203">
        <f>IF($C203-AB$1&lt;År1,0,AA202*(1-VLOOKUP($A203,[1]Hugst!$R$5:$W$9,MATCH(ROUNDUP((AB$1)/10,0)*10,[1]Hugst!$R$4:$W$4,0))))</f>
        <v>0</v>
      </c>
      <c r="AC203">
        <f>IF($C203-AC$1&lt;År1,0,AB202*(1-VLOOKUP($A203,[1]Hugst!$R$5:$W$9,MATCH(ROUNDUP((AC$1)/10,0)*10,[1]Hugst!$R$4:$W$4,0))))</f>
        <v>0</v>
      </c>
      <c r="AD203">
        <f>IF($C203-AD$1&lt;År1,0,AC202*(1-VLOOKUP($A203,[1]Hugst!$R$5:$W$9,MATCH(ROUNDUP((AD$1)/10,0)*10,[1]Hugst!$R$4:$W$4,0))))</f>
        <v>0</v>
      </c>
      <c r="AE203">
        <f>IF($C203-AE$1&lt;År1,0,AD202*(1-VLOOKUP($A203,[1]Hugst!$R$5:$W$9,MATCH(ROUNDUP((AE$1)/10,0)*10,[1]Hugst!$R$4:$W$4,0))))</f>
        <v>0</v>
      </c>
      <c r="AF203">
        <f>IF($C203-AF$1&lt;År1,0,AE202*(1-VLOOKUP($A203,[1]Hugst!$R$5:$W$9,MATCH(ROUNDUP((AF$1)/10,0)*10,[1]Hugst!$R$4:$W$4,0))))</f>
        <v>0</v>
      </c>
      <c r="AG203">
        <f>IF($C203-AG$1&lt;År1,0,AF202*(1-VLOOKUP($A203,[1]Hugst!$R$5:$W$9,MATCH(ROUNDUP((AG$1)/10,0)*10,[1]Hugst!$R$4:$W$4,0))))</f>
        <v>0</v>
      </c>
      <c r="AH203">
        <f>IF($C203-AH$1&lt;År1,0,AG202*(1-VLOOKUP($A203,[1]Hugst!$R$5:$W$9,MATCH(ROUNDUP((AH$1)/10,0)*10,[1]Hugst!$R$4:$W$4,0))))</f>
        <v>0</v>
      </c>
      <c r="AI203">
        <f>IF($C203-AI$1&lt;År1,0,AH202*(1-VLOOKUP($A203,[1]Hugst!$R$5:$W$9,MATCH(ROUNDUP((AI$1)/10,0)*10,[1]Hugst!$R$4:$W$4,0))))</f>
        <v>0</v>
      </c>
      <c r="AJ203">
        <f>IF($C203-AJ$1&lt;År1,0,AI202*(1-VLOOKUP($A203,[1]Hugst!$R$5:$W$9,MATCH(ROUNDUP((AJ$1)/10,0)*10,[1]Hugst!$R$4:$W$4,0))))</f>
        <v>0</v>
      </c>
    </row>
    <row r="204" spans="1:36" x14ac:dyDescent="0.25">
      <c r="A204" t="s">
        <v>179</v>
      </c>
      <c r="B204" t="s">
        <v>23</v>
      </c>
      <c r="C204">
        <v>2036</v>
      </c>
      <c r="D204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903.45282287150258</v>
      </c>
      <c r="E204">
        <f t="shared" ca="1" si="4"/>
        <v>49.858636123834003</v>
      </c>
      <c r="F204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4570.5954096126206</v>
      </c>
      <c r="G204">
        <f ca="1">IF($C204-G$1&lt;År1,0,F203*(1-VLOOKUP($A204,[1]Hugst!$R$5:$W$9,MATCH(ROUNDUP((G$1)/10,0)*10,[1]Hugst!$R$4:$W$4,0))))</f>
        <v>4568.0912570258733</v>
      </c>
      <c r="H204">
        <f ca="1">IF($C204-H$1&lt;År1,0,G203*(1-VLOOKUP($A204,[1]Hugst!$R$5:$W$9,MATCH(ROUNDUP((H$1)/10,0)*10,[1]Hugst!$R$4:$W$4,0))))</f>
        <v>4565.5839205203265</v>
      </c>
      <c r="I204">
        <f ca="1">IF($C204-I$1&lt;År1,0,H203*(1-VLOOKUP($A204,[1]Hugst!$R$5:$W$9,MATCH(ROUNDUP((I$1)/10,0)*10,[1]Hugst!$R$4:$W$4,0))))</f>
        <v>4563.0734047754413</v>
      </c>
      <c r="J204">
        <f ca="1">IF($C204-J$1&lt;År1,0,I203*(1-VLOOKUP($A204,[1]Hugst!$R$5:$W$9,MATCH(ROUNDUP((J$1)/10,0)*10,[1]Hugst!$R$4:$W$4,0))))</f>
        <v>4560.559714539655</v>
      </c>
      <c r="K204">
        <f ca="1">IF($C204-K$1&lt;År1,0,J203*(1-VLOOKUP($A204,[1]Hugst!$R$5:$W$9,MATCH(ROUNDUP((K$1)/10,0)*10,[1]Hugst!$R$4:$W$4,0))))</f>
        <v>4558.042854630803</v>
      </c>
      <c r="L204">
        <f ca="1">IF($C204-L$1&lt;År1,0,K203*(1-VLOOKUP($A204,[1]Hugst!$R$5:$W$9,MATCH(ROUNDUP((L$1)/10,0)*10,[1]Hugst!$R$4:$W$4,0))))</f>
        <v>3240.146847894157</v>
      </c>
      <c r="M204">
        <f ca="1">IF($C204-M$1&lt;År1,0,L203*(1-VLOOKUP($A204,[1]Hugst!$R$5:$W$9,MATCH(ROUNDUP((M$1)/10,0)*10,[1]Hugst!$R$4:$W$4,0))))</f>
        <v>3237.6236633729714</v>
      </c>
      <c r="N204">
        <f ca="1">IF($C204-N$1&lt;År1,0,M203*(1-VLOOKUP($A204,[1]Hugst!$R$5:$W$9,MATCH(ROUNDUP((N$1)/10,0)*10,[1]Hugst!$R$4:$W$4,0))))</f>
        <v>3242.3257522916001</v>
      </c>
      <c r="O204">
        <f ca="1">IF($C204-O$1&lt;År1,0,N203*(1-VLOOKUP($A204,[1]Hugst!$R$5:$W$9,MATCH(ROUNDUP((O$1)/10,0)*10,[1]Hugst!$R$4:$W$4,0))))</f>
        <v>3247.0514697977023</v>
      </c>
      <c r="P204">
        <f ca="1">IF($C204-P$1&lt;År1,0,O203*(1-VLOOKUP($A204,[1]Hugst!$R$5:$W$9,MATCH(ROUNDUP((P$1)/10,0)*10,[1]Hugst!$R$4:$W$4,0))))</f>
        <v>3244.6628350153624</v>
      </c>
      <c r="Q204">
        <f ca="1">IF($C204-Q$1&lt;År1,0,P203*(1-VLOOKUP($A204,[1]Hugst!$R$5:$W$9,MATCH(ROUNDUP((Q$1)/10,0)*10,[1]Hugst!$R$4:$W$4,0))))</f>
        <v>3242.2928028007423</v>
      </c>
      <c r="R204">
        <f ca="1">IF($C204-R$1&lt;År1,0,Q203*(1-VLOOKUP($A204,[1]Hugst!$R$5:$W$9,MATCH(ROUNDUP((R$1)/10,0)*10,[1]Hugst!$R$4:$W$4,0))))</f>
        <v>3239.9413699782313</v>
      </c>
      <c r="S204">
        <f ca="1">IF($C204-S$1&lt;År1,0,R203*(1-VLOOKUP($A204,[1]Hugst!$R$5:$W$9,MATCH(ROUNDUP((S$1)/10,0)*10,[1]Hugst!$R$4:$W$4,0))))</f>
        <v>3237.6085334853301</v>
      </c>
      <c r="T204">
        <f ca="1">IF($C204-T$1&lt;År1,0,S203*(1-VLOOKUP($A204,[1]Hugst!$R$5:$W$9,MATCH(ROUNDUP((T$1)/10,0)*10,[1]Hugst!$R$4:$W$4,0))))</f>
        <v>3235.2942903727439</v>
      </c>
      <c r="U204">
        <f ca="1">IF($C204-U$1&lt;År1,0,T203*(1-VLOOKUP($A204,[1]Hugst!$R$5:$W$9,MATCH(ROUNDUP((U$1)/10,0)*10,[1]Hugst!$R$4:$W$4,0))))</f>
        <v>3232.9986378043659</v>
      </c>
      <c r="V204">
        <f ca="1">IF($C204-V$1&lt;År1,0,U203*(1-VLOOKUP($A204,[1]Hugst!$R$5:$W$9,MATCH(ROUNDUP((V$1)/10,0)*10,[1]Hugst!$R$4:$W$4,0))))</f>
        <v>3230.7215730574976</v>
      </c>
      <c r="W204">
        <f>IF($C204-W$1&lt;År1,0,V203*(1-VLOOKUP($A204,[1]Hugst!$R$5:$W$9,MATCH(ROUNDUP((W$1)/10,0)*10,[1]Hugst!$R$4:$W$4,0))))</f>
        <v>0</v>
      </c>
      <c r="X204">
        <f>IF($C204-X$1&lt;År1,0,W203*(1-VLOOKUP($A204,[1]Hugst!$R$5:$W$9,MATCH(ROUNDUP((X$1)/10,0)*10,[1]Hugst!$R$4:$W$4,0))))</f>
        <v>0</v>
      </c>
      <c r="Y204">
        <f>IF($C204-Y$1&lt;År1,0,X203*(1-VLOOKUP($A204,[1]Hugst!$R$5:$W$9,MATCH(ROUNDUP((Y$1)/10,0)*10,[1]Hugst!$R$4:$W$4,0))))</f>
        <v>0</v>
      </c>
      <c r="Z204">
        <f>IF($C204-Z$1&lt;År1,0,Y203*(1-VLOOKUP($A204,[1]Hugst!$R$5:$W$9,MATCH(ROUNDUP((Z$1)/10,0)*10,[1]Hugst!$R$4:$W$4,0))))</f>
        <v>0</v>
      </c>
      <c r="AA204">
        <f>IF($C204-AA$1&lt;År1,0,Z203*(1-VLOOKUP($A204,[1]Hugst!$R$5:$W$9,MATCH(ROUNDUP((AA$1)/10,0)*10,[1]Hugst!$R$4:$W$4,0))))</f>
        <v>0</v>
      </c>
      <c r="AB204">
        <f>IF($C204-AB$1&lt;År1,0,AA203*(1-VLOOKUP($A204,[1]Hugst!$R$5:$W$9,MATCH(ROUNDUP((AB$1)/10,0)*10,[1]Hugst!$R$4:$W$4,0))))</f>
        <v>0</v>
      </c>
      <c r="AC204">
        <f>IF($C204-AC$1&lt;År1,0,AB203*(1-VLOOKUP($A204,[1]Hugst!$R$5:$W$9,MATCH(ROUNDUP((AC$1)/10,0)*10,[1]Hugst!$R$4:$W$4,0))))</f>
        <v>0</v>
      </c>
      <c r="AD204">
        <f>IF($C204-AD$1&lt;År1,0,AC203*(1-VLOOKUP($A204,[1]Hugst!$R$5:$W$9,MATCH(ROUNDUP((AD$1)/10,0)*10,[1]Hugst!$R$4:$W$4,0))))</f>
        <v>0</v>
      </c>
      <c r="AE204">
        <f>IF($C204-AE$1&lt;År1,0,AD203*(1-VLOOKUP($A204,[1]Hugst!$R$5:$W$9,MATCH(ROUNDUP((AE$1)/10,0)*10,[1]Hugst!$R$4:$W$4,0))))</f>
        <v>0</v>
      </c>
      <c r="AF204">
        <f>IF($C204-AF$1&lt;År1,0,AE203*(1-VLOOKUP($A204,[1]Hugst!$R$5:$W$9,MATCH(ROUNDUP((AF$1)/10,0)*10,[1]Hugst!$R$4:$W$4,0))))</f>
        <v>0</v>
      </c>
      <c r="AG204">
        <f>IF($C204-AG$1&lt;År1,0,AF203*(1-VLOOKUP($A204,[1]Hugst!$R$5:$W$9,MATCH(ROUNDUP((AG$1)/10,0)*10,[1]Hugst!$R$4:$W$4,0))))</f>
        <v>0</v>
      </c>
      <c r="AH204">
        <f>IF($C204-AH$1&lt;År1,0,AG203*(1-VLOOKUP($A204,[1]Hugst!$R$5:$W$9,MATCH(ROUNDUP((AH$1)/10,0)*10,[1]Hugst!$R$4:$W$4,0))))</f>
        <v>0</v>
      </c>
      <c r="AI204">
        <f>IF($C204-AI$1&lt;År1,0,AH203*(1-VLOOKUP($A204,[1]Hugst!$R$5:$W$9,MATCH(ROUNDUP((AI$1)/10,0)*10,[1]Hugst!$R$4:$W$4,0))))</f>
        <v>0</v>
      </c>
      <c r="AJ204">
        <f>IF($C204-AJ$1&lt;År1,0,AI203*(1-VLOOKUP($A204,[1]Hugst!$R$5:$W$9,MATCH(ROUNDUP((AJ$1)/10,0)*10,[1]Hugst!$R$4:$W$4,0))))</f>
        <v>0</v>
      </c>
    </row>
    <row r="205" spans="1:36" x14ac:dyDescent="0.25">
      <c r="A205" t="s">
        <v>179</v>
      </c>
      <c r="B205" t="s">
        <v>23</v>
      </c>
      <c r="C205">
        <v>2037</v>
      </c>
      <c r="D205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898.93555875713901</v>
      </c>
      <c r="E205">
        <f t="shared" ca="1" si="4"/>
        <v>56.876864295321866</v>
      </c>
      <c r="F205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4573.0963736697449</v>
      </c>
      <c r="G205">
        <f ca="1">IF($C205-G$1&lt;År1,0,F204*(1-VLOOKUP($A205,[1]Hugst!$R$5:$W$9,MATCH(ROUNDUP((G$1)/10,0)*10,[1]Hugst!$R$4:$W$4,0))))</f>
        <v>4570.5954096126206</v>
      </c>
      <c r="H205">
        <f ca="1">IF($C205-H$1&lt;År1,0,G204*(1-VLOOKUP($A205,[1]Hugst!$R$5:$W$9,MATCH(ROUNDUP((H$1)/10,0)*10,[1]Hugst!$R$4:$W$4,0))))</f>
        <v>4568.0912570258733</v>
      </c>
      <c r="I205">
        <f ca="1">IF($C205-I$1&lt;År1,0,H204*(1-VLOOKUP($A205,[1]Hugst!$R$5:$W$9,MATCH(ROUNDUP((I$1)/10,0)*10,[1]Hugst!$R$4:$W$4,0))))</f>
        <v>4565.5839205203265</v>
      </c>
      <c r="J205">
        <f ca="1">IF($C205-J$1&lt;År1,0,I204*(1-VLOOKUP($A205,[1]Hugst!$R$5:$W$9,MATCH(ROUNDUP((J$1)/10,0)*10,[1]Hugst!$R$4:$W$4,0))))</f>
        <v>4563.0734047754413</v>
      </c>
      <c r="K205">
        <f ca="1">IF($C205-K$1&lt;År1,0,J204*(1-VLOOKUP($A205,[1]Hugst!$R$5:$W$9,MATCH(ROUNDUP((K$1)/10,0)*10,[1]Hugst!$R$4:$W$4,0))))</f>
        <v>4560.559714539655</v>
      </c>
      <c r="L205">
        <f ca="1">IF($C205-L$1&lt;År1,0,K204*(1-VLOOKUP($A205,[1]Hugst!$R$5:$W$9,MATCH(ROUNDUP((L$1)/10,0)*10,[1]Hugst!$R$4:$W$4,0))))</f>
        <v>4558.042854630803</v>
      </c>
      <c r="M205">
        <f ca="1">IF($C205-M$1&lt;År1,0,L204*(1-VLOOKUP($A205,[1]Hugst!$R$5:$W$9,MATCH(ROUNDUP((M$1)/10,0)*10,[1]Hugst!$R$4:$W$4,0))))</f>
        <v>3240.146847894157</v>
      </c>
      <c r="N205">
        <f ca="1">IF($C205-N$1&lt;År1,0,M204*(1-VLOOKUP($A205,[1]Hugst!$R$5:$W$9,MATCH(ROUNDUP((N$1)/10,0)*10,[1]Hugst!$R$4:$W$4,0))))</f>
        <v>3237.6236633729714</v>
      </c>
      <c r="O205">
        <f ca="1">IF($C205-O$1&lt;År1,0,N204*(1-VLOOKUP($A205,[1]Hugst!$R$5:$W$9,MATCH(ROUNDUP((O$1)/10,0)*10,[1]Hugst!$R$4:$W$4,0))))</f>
        <v>3242.3257522916001</v>
      </c>
      <c r="P205">
        <f ca="1">IF($C205-P$1&lt;År1,0,O204*(1-VLOOKUP($A205,[1]Hugst!$R$5:$W$9,MATCH(ROUNDUP((P$1)/10,0)*10,[1]Hugst!$R$4:$W$4,0))))</f>
        <v>3239.9237958396097</v>
      </c>
      <c r="Q205">
        <f ca="1">IF($C205-Q$1&lt;År1,0,P204*(1-VLOOKUP($A205,[1]Hugst!$R$5:$W$9,MATCH(ROUNDUP((Q$1)/10,0)*10,[1]Hugst!$R$4:$W$4,0))))</f>
        <v>3237.5404044019142</v>
      </c>
      <c r="R205">
        <f ca="1">IF($C205-R$1&lt;År1,0,Q204*(1-VLOOKUP($A205,[1]Hugst!$R$5:$W$9,MATCH(ROUNDUP((R$1)/10,0)*10,[1]Hugst!$R$4:$W$4,0))))</f>
        <v>3235.1755746970334</v>
      </c>
      <c r="S205">
        <f ca="1">IF($C205-S$1&lt;År1,0,R204*(1-VLOOKUP($A205,[1]Hugst!$R$5:$W$9,MATCH(ROUNDUP((S$1)/10,0)*10,[1]Hugst!$R$4:$W$4,0))))</f>
        <v>3232.8293035563279</v>
      </c>
      <c r="T205">
        <f ca="1">IF($C205-T$1&lt;År1,0,S204*(1-VLOOKUP($A205,[1]Hugst!$R$5:$W$9,MATCH(ROUNDUP((T$1)/10,0)*10,[1]Hugst!$R$4:$W$4,0))))</f>
        <v>3230.5015879240209</v>
      </c>
      <c r="U205">
        <f ca="1">IF($C205-U$1&lt;År1,0,T204*(1-VLOOKUP($A205,[1]Hugst!$R$5:$W$9,MATCH(ROUNDUP((U$1)/10,0)*10,[1]Hugst!$R$4:$W$4,0))))</f>
        <v>3228.1924248572914</v>
      </c>
      <c r="V205">
        <f ca="1">IF($C205-V$1&lt;År1,0,U204*(1-VLOOKUP($A205,[1]Hugst!$R$5:$W$9,MATCH(ROUNDUP((V$1)/10,0)*10,[1]Hugst!$R$4:$W$4,0))))</f>
        <v>3225.9018115262588</v>
      </c>
      <c r="W205">
        <f ca="1">IF($C205-W$1&lt;År1,0,V204*(1-VLOOKUP($A205,[1]Hugst!$R$5:$W$9,MATCH(ROUNDUP((W$1)/10,0)*10,[1]Hugst!$R$4:$W$4,0))))</f>
        <v>3223.6297452142007</v>
      </c>
      <c r="X205">
        <f>IF($C205-X$1&lt;År1,0,W204*(1-VLOOKUP($A205,[1]Hugst!$R$5:$W$9,MATCH(ROUNDUP((X$1)/10,0)*10,[1]Hugst!$R$4:$W$4,0))))</f>
        <v>0</v>
      </c>
      <c r="Y205">
        <f>IF($C205-Y$1&lt;År1,0,X204*(1-VLOOKUP($A205,[1]Hugst!$R$5:$W$9,MATCH(ROUNDUP((Y$1)/10,0)*10,[1]Hugst!$R$4:$W$4,0))))</f>
        <v>0</v>
      </c>
      <c r="Z205">
        <f>IF($C205-Z$1&lt;År1,0,Y204*(1-VLOOKUP($A205,[1]Hugst!$R$5:$W$9,MATCH(ROUNDUP((Z$1)/10,0)*10,[1]Hugst!$R$4:$W$4,0))))</f>
        <v>0</v>
      </c>
      <c r="AA205">
        <f>IF($C205-AA$1&lt;År1,0,Z204*(1-VLOOKUP($A205,[1]Hugst!$R$5:$W$9,MATCH(ROUNDUP((AA$1)/10,0)*10,[1]Hugst!$R$4:$W$4,0))))</f>
        <v>0</v>
      </c>
      <c r="AB205">
        <f>IF($C205-AB$1&lt;År1,0,AA204*(1-VLOOKUP($A205,[1]Hugst!$R$5:$W$9,MATCH(ROUNDUP((AB$1)/10,0)*10,[1]Hugst!$R$4:$W$4,0))))</f>
        <v>0</v>
      </c>
      <c r="AC205">
        <f>IF($C205-AC$1&lt;År1,0,AB204*(1-VLOOKUP($A205,[1]Hugst!$R$5:$W$9,MATCH(ROUNDUP((AC$1)/10,0)*10,[1]Hugst!$R$4:$W$4,0))))</f>
        <v>0</v>
      </c>
      <c r="AD205">
        <f>IF($C205-AD$1&lt;År1,0,AC204*(1-VLOOKUP($A205,[1]Hugst!$R$5:$W$9,MATCH(ROUNDUP((AD$1)/10,0)*10,[1]Hugst!$R$4:$W$4,0))))</f>
        <v>0</v>
      </c>
      <c r="AE205">
        <f>IF($C205-AE$1&lt;År1,0,AD204*(1-VLOOKUP($A205,[1]Hugst!$R$5:$W$9,MATCH(ROUNDUP((AE$1)/10,0)*10,[1]Hugst!$R$4:$W$4,0))))</f>
        <v>0</v>
      </c>
      <c r="AF205">
        <f>IF($C205-AF$1&lt;År1,0,AE204*(1-VLOOKUP($A205,[1]Hugst!$R$5:$W$9,MATCH(ROUNDUP((AF$1)/10,0)*10,[1]Hugst!$R$4:$W$4,0))))</f>
        <v>0</v>
      </c>
      <c r="AG205">
        <f>IF($C205-AG$1&lt;År1,0,AF204*(1-VLOOKUP($A205,[1]Hugst!$R$5:$W$9,MATCH(ROUNDUP((AG$1)/10,0)*10,[1]Hugst!$R$4:$W$4,0))))</f>
        <v>0</v>
      </c>
      <c r="AH205">
        <f>IF($C205-AH$1&lt;År1,0,AG204*(1-VLOOKUP($A205,[1]Hugst!$R$5:$W$9,MATCH(ROUNDUP((AH$1)/10,0)*10,[1]Hugst!$R$4:$W$4,0))))</f>
        <v>0</v>
      </c>
      <c r="AI205">
        <f>IF($C205-AI$1&lt;År1,0,AH204*(1-VLOOKUP($A205,[1]Hugst!$R$5:$W$9,MATCH(ROUNDUP((AI$1)/10,0)*10,[1]Hugst!$R$4:$W$4,0))))</f>
        <v>0</v>
      </c>
      <c r="AJ205">
        <f>IF($C205-AJ$1&lt;År1,0,AI204*(1-VLOOKUP($A205,[1]Hugst!$R$5:$W$9,MATCH(ROUNDUP((AJ$1)/10,0)*10,[1]Hugst!$R$4:$W$4,0))))</f>
        <v>0</v>
      </c>
    </row>
    <row r="206" spans="1:36" x14ac:dyDescent="0.25">
      <c r="A206" t="s">
        <v>179</v>
      </c>
      <c r="B206" t="s">
        <v>23</v>
      </c>
      <c r="C206">
        <v>2038</v>
      </c>
      <c r="D206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894.44088096338237</v>
      </c>
      <c r="E206">
        <f t="shared" ca="1" si="4"/>
        <v>63.869313073853846</v>
      </c>
      <c r="F206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4575.5941446545203</v>
      </c>
      <c r="G206">
        <f ca="1">IF($C206-G$1&lt;År1,0,F205*(1-VLOOKUP($A206,[1]Hugst!$R$5:$W$9,MATCH(ROUNDUP((G$1)/10,0)*10,[1]Hugst!$R$4:$W$4,0))))</f>
        <v>4573.0963736697449</v>
      </c>
      <c r="H206">
        <f ca="1">IF($C206-H$1&lt;År1,0,G205*(1-VLOOKUP($A206,[1]Hugst!$R$5:$W$9,MATCH(ROUNDUP((H$1)/10,0)*10,[1]Hugst!$R$4:$W$4,0))))</f>
        <v>4570.5954096126206</v>
      </c>
      <c r="I206">
        <f ca="1">IF($C206-I$1&lt;År1,0,H205*(1-VLOOKUP($A206,[1]Hugst!$R$5:$W$9,MATCH(ROUNDUP((I$1)/10,0)*10,[1]Hugst!$R$4:$W$4,0))))</f>
        <v>4568.0912570258733</v>
      </c>
      <c r="J206">
        <f ca="1">IF($C206-J$1&lt;År1,0,I205*(1-VLOOKUP($A206,[1]Hugst!$R$5:$W$9,MATCH(ROUNDUP((J$1)/10,0)*10,[1]Hugst!$R$4:$W$4,0))))</f>
        <v>4565.5839205203265</v>
      </c>
      <c r="K206">
        <f ca="1">IF($C206-K$1&lt;År1,0,J205*(1-VLOOKUP($A206,[1]Hugst!$R$5:$W$9,MATCH(ROUNDUP((K$1)/10,0)*10,[1]Hugst!$R$4:$W$4,0))))</f>
        <v>4563.0734047754413</v>
      </c>
      <c r="L206">
        <f ca="1">IF($C206-L$1&lt;År1,0,K205*(1-VLOOKUP($A206,[1]Hugst!$R$5:$W$9,MATCH(ROUNDUP((L$1)/10,0)*10,[1]Hugst!$R$4:$W$4,0))))</f>
        <v>4560.559714539655</v>
      </c>
      <c r="M206">
        <f ca="1">IF($C206-M$1&lt;År1,0,L205*(1-VLOOKUP($A206,[1]Hugst!$R$5:$W$9,MATCH(ROUNDUP((M$1)/10,0)*10,[1]Hugst!$R$4:$W$4,0))))</f>
        <v>4558.042854630803</v>
      </c>
      <c r="N206">
        <f ca="1">IF($C206-N$1&lt;År1,0,M205*(1-VLOOKUP($A206,[1]Hugst!$R$5:$W$9,MATCH(ROUNDUP((N$1)/10,0)*10,[1]Hugst!$R$4:$W$4,0))))</f>
        <v>3240.146847894157</v>
      </c>
      <c r="O206">
        <f ca="1">IF($C206-O$1&lt;År1,0,N205*(1-VLOOKUP($A206,[1]Hugst!$R$5:$W$9,MATCH(ROUNDUP((O$1)/10,0)*10,[1]Hugst!$R$4:$W$4,0))))</f>
        <v>3237.6236633729714</v>
      </c>
      <c r="P206">
        <f ca="1">IF($C206-P$1&lt;År1,0,O205*(1-VLOOKUP($A206,[1]Hugst!$R$5:$W$9,MATCH(ROUNDUP((P$1)/10,0)*10,[1]Hugst!$R$4:$W$4,0))))</f>
        <v>3235.2084518597403</v>
      </c>
      <c r="Q206">
        <f ca="1">IF($C206-Q$1&lt;År1,0,P205*(1-VLOOKUP($A206,[1]Hugst!$R$5:$W$9,MATCH(ROUNDUP((Q$1)/10,0)*10,[1]Hugst!$R$4:$W$4,0))))</f>
        <v>3232.8117679950838</v>
      </c>
      <c r="R206">
        <f ca="1">IF($C206-R$1&lt;År1,0,Q205*(1-VLOOKUP($A206,[1]Hugst!$R$5:$W$9,MATCH(ROUNDUP((R$1)/10,0)*10,[1]Hugst!$R$4:$W$4,0))))</f>
        <v>3230.4336083922512</v>
      </c>
      <c r="S206">
        <f ca="1">IF($C206-S$1&lt;År1,0,R205*(1-VLOOKUP($A206,[1]Hugst!$R$5:$W$9,MATCH(ROUNDUP((S$1)/10,0)*10,[1]Hugst!$R$4:$W$4,0))))</f>
        <v>3228.0739697769668</v>
      </c>
      <c r="T206">
        <f ca="1">IF($C206-T$1&lt;År1,0,S205*(1-VLOOKUP($A206,[1]Hugst!$R$5:$W$9,MATCH(ROUNDUP((T$1)/10,0)*10,[1]Hugst!$R$4:$W$4,0))))</f>
        <v>3225.7328489875458</v>
      </c>
      <c r="U206">
        <f ca="1">IF($C206-U$1&lt;År1,0,T205*(1-VLOOKUP($A206,[1]Hugst!$R$5:$W$9,MATCH(ROUNDUP((U$1)/10,0)*10,[1]Hugst!$R$4:$W$4,0))))</f>
        <v>3223.4102429749196</v>
      </c>
      <c r="V206">
        <f ca="1">IF($C206-V$1&lt;År1,0,U205*(1-VLOOKUP($A206,[1]Hugst!$R$5:$W$9,MATCH(ROUNDUP((V$1)/10,0)*10,[1]Hugst!$R$4:$W$4,0))))</f>
        <v>3221.1061488027267</v>
      </c>
      <c r="W206">
        <f ca="1">IF($C206-W$1&lt;År1,0,V205*(1-VLOOKUP($A206,[1]Hugst!$R$5:$W$9,MATCH(ROUNDUP((W$1)/10,0)*10,[1]Hugst!$R$4:$W$4,0))))</f>
        <v>3218.8205636472985</v>
      </c>
      <c r="X206">
        <f ca="1">IF($C206-X$1&lt;År1,0,W205*(1-VLOOKUP($A206,[1]Hugst!$R$5:$W$9,MATCH(ROUNDUP((X$1)/10,0)*10,[1]Hugst!$R$4:$W$4,0))))</f>
        <v>3216.553484797877</v>
      </c>
      <c r="Y206">
        <f>IF($C206-Y$1&lt;År1,0,X205*(1-VLOOKUP($A206,[1]Hugst!$R$5:$W$9,MATCH(ROUNDUP((Y$1)/10,0)*10,[1]Hugst!$R$4:$W$4,0))))</f>
        <v>0</v>
      </c>
      <c r="Z206">
        <f>IF($C206-Z$1&lt;År1,0,Y205*(1-VLOOKUP($A206,[1]Hugst!$R$5:$W$9,MATCH(ROUNDUP((Z$1)/10,0)*10,[1]Hugst!$R$4:$W$4,0))))</f>
        <v>0</v>
      </c>
      <c r="AA206">
        <f>IF($C206-AA$1&lt;År1,0,Z205*(1-VLOOKUP($A206,[1]Hugst!$R$5:$W$9,MATCH(ROUNDUP((AA$1)/10,0)*10,[1]Hugst!$R$4:$W$4,0))))</f>
        <v>0</v>
      </c>
      <c r="AB206">
        <f>IF($C206-AB$1&lt;År1,0,AA205*(1-VLOOKUP($A206,[1]Hugst!$R$5:$W$9,MATCH(ROUNDUP((AB$1)/10,0)*10,[1]Hugst!$R$4:$W$4,0))))</f>
        <v>0</v>
      </c>
      <c r="AC206">
        <f>IF($C206-AC$1&lt;År1,0,AB205*(1-VLOOKUP($A206,[1]Hugst!$R$5:$W$9,MATCH(ROUNDUP((AC$1)/10,0)*10,[1]Hugst!$R$4:$W$4,0))))</f>
        <v>0</v>
      </c>
      <c r="AD206">
        <f>IF($C206-AD$1&lt;År1,0,AC205*(1-VLOOKUP($A206,[1]Hugst!$R$5:$W$9,MATCH(ROUNDUP((AD$1)/10,0)*10,[1]Hugst!$R$4:$W$4,0))))</f>
        <v>0</v>
      </c>
      <c r="AE206">
        <f>IF($C206-AE$1&lt;År1,0,AD205*(1-VLOOKUP($A206,[1]Hugst!$R$5:$W$9,MATCH(ROUNDUP((AE$1)/10,0)*10,[1]Hugst!$R$4:$W$4,0))))</f>
        <v>0</v>
      </c>
      <c r="AF206">
        <f>IF($C206-AF$1&lt;År1,0,AE205*(1-VLOOKUP($A206,[1]Hugst!$R$5:$W$9,MATCH(ROUNDUP((AF$1)/10,0)*10,[1]Hugst!$R$4:$W$4,0))))</f>
        <v>0</v>
      </c>
      <c r="AG206">
        <f>IF($C206-AG$1&lt;År1,0,AF205*(1-VLOOKUP($A206,[1]Hugst!$R$5:$W$9,MATCH(ROUNDUP((AG$1)/10,0)*10,[1]Hugst!$R$4:$W$4,0))))</f>
        <v>0</v>
      </c>
      <c r="AH206">
        <f>IF($C206-AH$1&lt;År1,0,AG205*(1-VLOOKUP($A206,[1]Hugst!$R$5:$W$9,MATCH(ROUNDUP((AH$1)/10,0)*10,[1]Hugst!$R$4:$W$4,0))))</f>
        <v>0</v>
      </c>
      <c r="AI206">
        <f>IF($C206-AI$1&lt;År1,0,AH205*(1-VLOOKUP($A206,[1]Hugst!$R$5:$W$9,MATCH(ROUNDUP((AI$1)/10,0)*10,[1]Hugst!$R$4:$W$4,0))))</f>
        <v>0</v>
      </c>
      <c r="AJ206">
        <f>IF($C206-AJ$1&lt;År1,0,AI205*(1-VLOOKUP($A206,[1]Hugst!$R$5:$W$9,MATCH(ROUNDUP((AJ$1)/10,0)*10,[1]Hugst!$R$4:$W$4,0))))</f>
        <v>0</v>
      </c>
    </row>
    <row r="207" spans="1:36" x14ac:dyDescent="0.25">
      <c r="A207" t="s">
        <v>179</v>
      </c>
      <c r="B207" t="s">
        <v>23</v>
      </c>
      <c r="C207">
        <v>2039</v>
      </c>
      <c r="D207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889.96867655851383</v>
      </c>
      <c r="E207">
        <f t="shared" ca="1" si="4"/>
        <v>70.836090915967361</v>
      </c>
      <c r="F207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4578.0887180917653</v>
      </c>
      <c r="G207">
        <f ca="1">IF($C207-G$1&lt;År1,0,F206*(1-VLOOKUP($A207,[1]Hugst!$R$5:$W$9,MATCH(ROUNDUP((G$1)/10,0)*10,[1]Hugst!$R$4:$W$4,0))))</f>
        <v>4575.5941446545203</v>
      </c>
      <c r="H207">
        <f ca="1">IF($C207-H$1&lt;År1,0,G206*(1-VLOOKUP($A207,[1]Hugst!$R$5:$W$9,MATCH(ROUNDUP((H$1)/10,0)*10,[1]Hugst!$R$4:$W$4,0))))</f>
        <v>4573.0963736697449</v>
      </c>
      <c r="I207">
        <f ca="1">IF($C207-I$1&lt;År1,0,H206*(1-VLOOKUP($A207,[1]Hugst!$R$5:$W$9,MATCH(ROUNDUP((I$1)/10,0)*10,[1]Hugst!$R$4:$W$4,0))))</f>
        <v>4570.5954096126206</v>
      </c>
      <c r="J207">
        <f ca="1">IF($C207-J$1&lt;År1,0,I206*(1-VLOOKUP($A207,[1]Hugst!$R$5:$W$9,MATCH(ROUNDUP((J$1)/10,0)*10,[1]Hugst!$R$4:$W$4,0))))</f>
        <v>4568.0912570258733</v>
      </c>
      <c r="K207">
        <f ca="1">IF($C207-K$1&lt;År1,0,J206*(1-VLOOKUP($A207,[1]Hugst!$R$5:$W$9,MATCH(ROUNDUP((K$1)/10,0)*10,[1]Hugst!$R$4:$W$4,0))))</f>
        <v>4565.5839205203265</v>
      </c>
      <c r="L207">
        <f ca="1">IF($C207-L$1&lt;År1,0,K206*(1-VLOOKUP($A207,[1]Hugst!$R$5:$W$9,MATCH(ROUNDUP((L$1)/10,0)*10,[1]Hugst!$R$4:$W$4,0))))</f>
        <v>4563.0734047754413</v>
      </c>
      <c r="M207">
        <f ca="1">IF($C207-M$1&lt;År1,0,L206*(1-VLOOKUP($A207,[1]Hugst!$R$5:$W$9,MATCH(ROUNDUP((M$1)/10,0)*10,[1]Hugst!$R$4:$W$4,0))))</f>
        <v>4560.559714539655</v>
      </c>
      <c r="N207">
        <f ca="1">IF($C207-N$1&lt;År1,0,M206*(1-VLOOKUP($A207,[1]Hugst!$R$5:$W$9,MATCH(ROUNDUP((N$1)/10,0)*10,[1]Hugst!$R$4:$W$4,0))))</f>
        <v>4558.042854630803</v>
      </c>
      <c r="O207">
        <f ca="1">IF($C207-O$1&lt;År1,0,N206*(1-VLOOKUP($A207,[1]Hugst!$R$5:$W$9,MATCH(ROUNDUP((O$1)/10,0)*10,[1]Hugst!$R$4:$W$4,0))))</f>
        <v>3240.146847894157</v>
      </c>
      <c r="P207">
        <f ca="1">IF($C207-P$1&lt;År1,0,O206*(1-VLOOKUP($A207,[1]Hugst!$R$5:$W$9,MATCH(ROUNDUP((P$1)/10,0)*10,[1]Hugst!$R$4:$W$4,0))))</f>
        <v>3230.5166845997137</v>
      </c>
      <c r="Q207">
        <f ca="1">IF($C207-Q$1&lt;År1,0,P206*(1-VLOOKUP($A207,[1]Hugst!$R$5:$W$9,MATCH(ROUNDUP((Q$1)/10,0)*10,[1]Hugst!$R$4:$W$4,0))))</f>
        <v>3228.1067747702923</v>
      </c>
      <c r="R207">
        <f ca="1">IF($C207-R$1&lt;År1,0,Q206*(1-VLOOKUP($A207,[1]Hugst!$R$5:$W$9,MATCH(ROUNDUP((R$1)/10,0)*10,[1]Hugst!$R$4:$W$4,0))))</f>
        <v>3225.7153519189969</v>
      </c>
      <c r="S207">
        <f ca="1">IF($C207-S$1&lt;År1,0,R206*(1-VLOOKUP($A207,[1]Hugst!$R$5:$W$9,MATCH(ROUNDUP((S$1)/10,0)*10,[1]Hugst!$R$4:$W$4,0))))</f>
        <v>3223.3424126665122</v>
      </c>
      <c r="T207">
        <f ca="1">IF($C207-T$1&lt;År1,0,S206*(1-VLOOKUP($A207,[1]Hugst!$R$5:$W$9,MATCH(ROUNDUP((T$1)/10,0)*10,[1]Hugst!$R$4:$W$4,0))))</f>
        <v>3220.9879537457491</v>
      </c>
      <c r="U207">
        <f ca="1">IF($C207-U$1&lt;År1,0,T206*(1-VLOOKUP($A207,[1]Hugst!$R$5:$W$9,MATCH(ROUNDUP((U$1)/10,0)*10,[1]Hugst!$R$4:$W$4,0))))</f>
        <v>3218.6519720019633</v>
      </c>
      <c r="V207">
        <f ca="1">IF($C207-V$1&lt;År1,0,U206*(1-VLOOKUP($A207,[1]Hugst!$R$5:$W$9,MATCH(ROUNDUP((V$1)/10,0)*10,[1]Hugst!$R$4:$W$4,0))))</f>
        <v>3216.3344643927794</v>
      </c>
      <c r="W207">
        <f ca="1">IF($C207-W$1&lt;År1,0,V206*(1-VLOOKUP($A207,[1]Hugst!$R$5:$W$9,MATCH(ROUNDUP((W$1)/10,0)*10,[1]Hugst!$R$4:$W$4,0))))</f>
        <v>3214.0354279882818</v>
      </c>
      <c r="X207">
        <f ca="1">IF($C207-X$1&lt;År1,0,W206*(1-VLOOKUP($A207,[1]Hugst!$R$5:$W$9,MATCH(ROUNDUP((X$1)/10,0)*10,[1]Hugst!$R$4:$W$4,0))))</f>
        <v>3211.7548599709994</v>
      </c>
      <c r="Y207">
        <f ca="1">IF($C207-Y$1&lt;År1,0,X206*(1-VLOOKUP($A207,[1]Hugst!$R$5:$W$9,MATCH(ROUNDUP((Y$1)/10,0)*10,[1]Hugst!$R$4:$W$4,0))))</f>
        <v>3209.4927576361256</v>
      </c>
      <c r="Z207">
        <f>IF($C207-Z$1&lt;År1,0,Y206*(1-VLOOKUP($A207,[1]Hugst!$R$5:$W$9,MATCH(ROUNDUP((Z$1)/10,0)*10,[1]Hugst!$R$4:$W$4,0))))</f>
        <v>0</v>
      </c>
      <c r="AA207">
        <f>IF($C207-AA$1&lt;År1,0,Z206*(1-VLOOKUP($A207,[1]Hugst!$R$5:$W$9,MATCH(ROUNDUP((AA$1)/10,0)*10,[1]Hugst!$R$4:$W$4,0))))</f>
        <v>0</v>
      </c>
      <c r="AB207">
        <f>IF($C207-AB$1&lt;År1,0,AA206*(1-VLOOKUP($A207,[1]Hugst!$R$5:$W$9,MATCH(ROUNDUP((AB$1)/10,0)*10,[1]Hugst!$R$4:$W$4,0))))</f>
        <v>0</v>
      </c>
      <c r="AC207">
        <f>IF($C207-AC$1&lt;År1,0,AB206*(1-VLOOKUP($A207,[1]Hugst!$R$5:$W$9,MATCH(ROUNDUP((AC$1)/10,0)*10,[1]Hugst!$R$4:$W$4,0))))</f>
        <v>0</v>
      </c>
      <c r="AD207">
        <f>IF($C207-AD$1&lt;År1,0,AC206*(1-VLOOKUP($A207,[1]Hugst!$R$5:$W$9,MATCH(ROUNDUP((AD$1)/10,0)*10,[1]Hugst!$R$4:$W$4,0))))</f>
        <v>0</v>
      </c>
      <c r="AE207">
        <f>IF($C207-AE$1&lt;År1,0,AD206*(1-VLOOKUP($A207,[1]Hugst!$R$5:$W$9,MATCH(ROUNDUP((AE$1)/10,0)*10,[1]Hugst!$R$4:$W$4,0))))</f>
        <v>0</v>
      </c>
      <c r="AF207">
        <f>IF($C207-AF$1&lt;År1,0,AE206*(1-VLOOKUP($A207,[1]Hugst!$R$5:$W$9,MATCH(ROUNDUP((AF$1)/10,0)*10,[1]Hugst!$R$4:$W$4,0))))</f>
        <v>0</v>
      </c>
      <c r="AG207">
        <f>IF($C207-AG$1&lt;År1,0,AF206*(1-VLOOKUP($A207,[1]Hugst!$R$5:$W$9,MATCH(ROUNDUP((AG$1)/10,0)*10,[1]Hugst!$R$4:$W$4,0))))</f>
        <v>0</v>
      </c>
      <c r="AH207">
        <f>IF($C207-AH$1&lt;År1,0,AG206*(1-VLOOKUP($A207,[1]Hugst!$R$5:$W$9,MATCH(ROUNDUP((AH$1)/10,0)*10,[1]Hugst!$R$4:$W$4,0))))</f>
        <v>0</v>
      </c>
      <c r="AI207">
        <f>IF($C207-AI$1&lt;År1,0,AH206*(1-VLOOKUP($A207,[1]Hugst!$R$5:$W$9,MATCH(ROUNDUP((AI$1)/10,0)*10,[1]Hugst!$R$4:$W$4,0))))</f>
        <v>0</v>
      </c>
      <c r="AJ207">
        <f>IF($C207-AJ$1&lt;År1,0,AI206*(1-VLOOKUP($A207,[1]Hugst!$R$5:$W$9,MATCH(ROUNDUP((AJ$1)/10,0)*10,[1]Hugst!$R$4:$W$4,0))))</f>
        <v>0</v>
      </c>
    </row>
    <row r="208" spans="1:36" x14ac:dyDescent="0.25">
      <c r="A208" t="s">
        <v>179</v>
      </c>
      <c r="B208" t="s">
        <v>23</v>
      </c>
      <c r="C208">
        <v>2040</v>
      </c>
      <c r="D20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885.51883317574539</v>
      </c>
      <c r="E208">
        <f t="shared" ca="1" si="4"/>
        <v>74.661902082356391</v>
      </c>
      <c r="F20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4577.4646858753858</v>
      </c>
      <c r="G208">
        <f ca="1">IF($C208-G$1&lt;År1,0,F207*(1-VLOOKUP($A208,[1]Hugst!$R$5:$W$9,MATCH(ROUNDUP((G$1)/10,0)*10,[1]Hugst!$R$4:$W$4,0))))</f>
        <v>4578.0887180917653</v>
      </c>
      <c r="H208">
        <f ca="1">IF($C208-H$1&lt;År1,0,G207*(1-VLOOKUP($A208,[1]Hugst!$R$5:$W$9,MATCH(ROUNDUP((H$1)/10,0)*10,[1]Hugst!$R$4:$W$4,0))))</f>
        <v>4575.5941446545203</v>
      </c>
      <c r="I208">
        <f ca="1">IF($C208-I$1&lt;År1,0,H207*(1-VLOOKUP($A208,[1]Hugst!$R$5:$W$9,MATCH(ROUNDUP((I$1)/10,0)*10,[1]Hugst!$R$4:$W$4,0))))</f>
        <v>4573.0963736697449</v>
      </c>
      <c r="J208">
        <f ca="1">IF($C208-J$1&lt;År1,0,I207*(1-VLOOKUP($A208,[1]Hugst!$R$5:$W$9,MATCH(ROUNDUP((J$1)/10,0)*10,[1]Hugst!$R$4:$W$4,0))))</f>
        <v>4570.5954096126206</v>
      </c>
      <c r="K208">
        <f ca="1">IF($C208-K$1&lt;År1,0,J207*(1-VLOOKUP($A208,[1]Hugst!$R$5:$W$9,MATCH(ROUNDUP((K$1)/10,0)*10,[1]Hugst!$R$4:$W$4,0))))</f>
        <v>4568.0912570258733</v>
      </c>
      <c r="L208">
        <f ca="1">IF($C208-L$1&lt;År1,0,K207*(1-VLOOKUP($A208,[1]Hugst!$R$5:$W$9,MATCH(ROUNDUP((L$1)/10,0)*10,[1]Hugst!$R$4:$W$4,0))))</f>
        <v>4565.5839205203265</v>
      </c>
      <c r="M208">
        <f ca="1">IF($C208-M$1&lt;År1,0,L207*(1-VLOOKUP($A208,[1]Hugst!$R$5:$W$9,MATCH(ROUNDUP((M$1)/10,0)*10,[1]Hugst!$R$4:$W$4,0))))</f>
        <v>4563.0734047754413</v>
      </c>
      <c r="N208">
        <f ca="1">IF($C208-N$1&lt;År1,0,M207*(1-VLOOKUP($A208,[1]Hugst!$R$5:$W$9,MATCH(ROUNDUP((N$1)/10,0)*10,[1]Hugst!$R$4:$W$4,0))))</f>
        <v>4560.559714539655</v>
      </c>
      <c r="O208">
        <f ca="1">IF($C208-O$1&lt;År1,0,N207*(1-VLOOKUP($A208,[1]Hugst!$R$5:$W$9,MATCH(ROUNDUP((O$1)/10,0)*10,[1]Hugst!$R$4:$W$4,0))))</f>
        <v>4558.042854630803</v>
      </c>
      <c r="P208">
        <f ca="1">IF($C208-P$1&lt;År1,0,O207*(1-VLOOKUP($A208,[1]Hugst!$R$5:$W$9,MATCH(ROUNDUP((P$1)/10,0)*10,[1]Hugst!$R$4:$W$4,0))))</f>
        <v>3233.0343304231696</v>
      </c>
      <c r="Q208">
        <f ca="1">IF($C208-Q$1&lt;År1,0,P207*(1-VLOOKUP($A208,[1]Hugst!$R$5:$W$9,MATCH(ROUNDUP((Q$1)/10,0)*10,[1]Hugst!$R$4:$W$4,0))))</f>
        <v>3223.4253065115681</v>
      </c>
      <c r="R208">
        <f ca="1">IF($C208-R$1&lt;År1,0,Q207*(1-VLOOKUP($A208,[1]Hugst!$R$5:$W$9,MATCH(ROUNDUP((R$1)/10,0)*10,[1]Hugst!$R$4:$W$4,0))))</f>
        <v>3221.0206867281136</v>
      </c>
      <c r="S208">
        <f ca="1">IF($C208-S$1&lt;År1,0,R207*(1-VLOOKUP($A208,[1]Hugst!$R$5:$W$9,MATCH(ROUNDUP((S$1)/10,0)*10,[1]Hugst!$R$4:$W$4,0))))</f>
        <v>3218.6345133416139</v>
      </c>
      <c r="T208">
        <f ca="1">IF($C208-T$1&lt;År1,0,S207*(1-VLOOKUP($A208,[1]Hugst!$R$5:$W$9,MATCH(ROUNDUP((T$1)/10,0)*10,[1]Hugst!$R$4:$W$4,0))))</f>
        <v>3216.2667829801712</v>
      </c>
      <c r="U208">
        <f ca="1">IF($C208-U$1&lt;År1,0,T207*(1-VLOOKUP($A208,[1]Hugst!$R$5:$W$9,MATCH(ROUNDUP((U$1)/10,0)*10,[1]Hugst!$R$4:$W$4,0))))</f>
        <v>3213.9174923838682</v>
      </c>
      <c r="V208">
        <f ca="1">IF($C208-V$1&lt;År1,0,U207*(1-VLOOKUP($A208,[1]Hugst!$R$5:$W$9,MATCH(ROUNDUP((V$1)/10,0)*10,[1]Hugst!$R$4:$W$4,0))))</f>
        <v>3211.5866384048859</v>
      </c>
      <c r="W208">
        <f ca="1">IF($C208-W$1&lt;År1,0,V207*(1-VLOOKUP($A208,[1]Hugst!$R$5:$W$9,MATCH(ROUNDUP((W$1)/10,0)*10,[1]Hugst!$R$4:$W$4,0))))</f>
        <v>3209.274218007527</v>
      </c>
      <c r="X208">
        <f ca="1">IF($C208-X$1&lt;År1,0,W207*(1-VLOOKUP($A208,[1]Hugst!$R$5:$W$9,MATCH(ROUNDUP((X$1)/10,0)*10,[1]Hugst!$R$4:$W$4,0))))</f>
        <v>3206.9802282683077</v>
      </c>
      <c r="Y208">
        <f ca="1">IF($C208-Y$1&lt;År1,0,X207*(1-VLOOKUP($A208,[1]Hugst!$R$5:$W$9,MATCH(ROUNDUP((Y$1)/10,0)*10,[1]Hugst!$R$4:$W$4,0))))</f>
        <v>3204.7046663759411</v>
      </c>
      <c r="Z208">
        <f ca="1">IF($C208-Z$1&lt;År1,0,Y207*(1-VLOOKUP($A208,[1]Hugst!$R$5:$W$9,MATCH(ROUNDUP((Z$1)/10,0)*10,[1]Hugst!$R$4:$W$4,0))))</f>
        <v>3205.578742078033</v>
      </c>
      <c r="AA208">
        <f>IF($C208-AA$1&lt;År1,0,Z207*(1-VLOOKUP($A208,[1]Hugst!$R$5:$W$9,MATCH(ROUNDUP((AA$1)/10,0)*10,[1]Hugst!$R$4:$W$4,0))))</f>
        <v>0</v>
      </c>
      <c r="AB208">
        <f>IF($C208-AB$1&lt;År1,0,AA207*(1-VLOOKUP($A208,[1]Hugst!$R$5:$W$9,MATCH(ROUNDUP((AB$1)/10,0)*10,[1]Hugst!$R$4:$W$4,0))))</f>
        <v>0</v>
      </c>
      <c r="AC208">
        <f>IF($C208-AC$1&lt;År1,0,AB207*(1-VLOOKUP($A208,[1]Hugst!$R$5:$W$9,MATCH(ROUNDUP((AC$1)/10,0)*10,[1]Hugst!$R$4:$W$4,0))))</f>
        <v>0</v>
      </c>
      <c r="AD208">
        <f>IF($C208-AD$1&lt;År1,0,AC207*(1-VLOOKUP($A208,[1]Hugst!$R$5:$W$9,MATCH(ROUNDUP((AD$1)/10,0)*10,[1]Hugst!$R$4:$W$4,0))))</f>
        <v>0</v>
      </c>
      <c r="AE208">
        <f>IF($C208-AE$1&lt;År1,0,AD207*(1-VLOOKUP($A208,[1]Hugst!$R$5:$W$9,MATCH(ROUNDUP((AE$1)/10,0)*10,[1]Hugst!$R$4:$W$4,0))))</f>
        <v>0</v>
      </c>
      <c r="AF208">
        <f>IF($C208-AF$1&lt;År1,0,AE207*(1-VLOOKUP($A208,[1]Hugst!$R$5:$W$9,MATCH(ROUNDUP((AF$1)/10,0)*10,[1]Hugst!$R$4:$W$4,0))))</f>
        <v>0</v>
      </c>
      <c r="AG208">
        <f>IF($C208-AG$1&lt;År1,0,AF207*(1-VLOOKUP($A208,[1]Hugst!$R$5:$W$9,MATCH(ROUNDUP((AG$1)/10,0)*10,[1]Hugst!$R$4:$W$4,0))))</f>
        <v>0</v>
      </c>
      <c r="AH208">
        <f>IF($C208-AH$1&lt;År1,0,AG207*(1-VLOOKUP($A208,[1]Hugst!$R$5:$W$9,MATCH(ROUNDUP((AH$1)/10,0)*10,[1]Hugst!$R$4:$W$4,0))))</f>
        <v>0</v>
      </c>
      <c r="AI208">
        <f>IF($C208-AI$1&lt;År1,0,AH207*(1-VLOOKUP($A208,[1]Hugst!$R$5:$W$9,MATCH(ROUNDUP((AI$1)/10,0)*10,[1]Hugst!$R$4:$W$4,0))))</f>
        <v>0</v>
      </c>
      <c r="AJ208">
        <f>IF($C208-AJ$1&lt;År1,0,AI207*(1-VLOOKUP($A208,[1]Hugst!$R$5:$W$9,MATCH(ROUNDUP((AJ$1)/10,0)*10,[1]Hugst!$R$4:$W$4,0))))</f>
        <v>0</v>
      </c>
    </row>
    <row r="209" spans="1:36" x14ac:dyDescent="0.25">
      <c r="A209" t="s">
        <v>179</v>
      </c>
      <c r="B209" t="s">
        <v>23</v>
      </c>
      <c r="C209">
        <v>2041</v>
      </c>
      <c r="D209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881.09123900988197</v>
      </c>
      <c r="E209">
        <f t="shared" ca="1" si="4"/>
        <v>81.380747440853156</v>
      </c>
      <c r="F20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4579.7559370680192</v>
      </c>
      <c r="G209">
        <f ca="1">IF($C209-G$1&lt;År1,0,F208*(1-VLOOKUP($A209,[1]Hugst!$R$5:$W$9,MATCH(ROUNDUP((G$1)/10,0)*10,[1]Hugst!$R$4:$W$4,0))))</f>
        <v>4577.4646858753858</v>
      </c>
      <c r="H209">
        <f ca="1">IF($C209-H$1&lt;År1,0,G208*(1-VLOOKUP($A209,[1]Hugst!$R$5:$W$9,MATCH(ROUNDUP((H$1)/10,0)*10,[1]Hugst!$R$4:$W$4,0))))</f>
        <v>4578.0887180917653</v>
      </c>
      <c r="I209">
        <f ca="1">IF($C209-I$1&lt;År1,0,H208*(1-VLOOKUP($A209,[1]Hugst!$R$5:$W$9,MATCH(ROUNDUP((I$1)/10,0)*10,[1]Hugst!$R$4:$W$4,0))))</f>
        <v>4575.5941446545203</v>
      </c>
      <c r="J209">
        <f ca="1">IF($C209-J$1&lt;År1,0,I208*(1-VLOOKUP($A209,[1]Hugst!$R$5:$W$9,MATCH(ROUNDUP((J$1)/10,0)*10,[1]Hugst!$R$4:$W$4,0))))</f>
        <v>4573.0963736697449</v>
      </c>
      <c r="K209">
        <f ca="1">IF($C209-K$1&lt;År1,0,J208*(1-VLOOKUP($A209,[1]Hugst!$R$5:$W$9,MATCH(ROUNDUP((K$1)/10,0)*10,[1]Hugst!$R$4:$W$4,0))))</f>
        <v>4570.5954096126206</v>
      </c>
      <c r="L209">
        <f ca="1">IF($C209-L$1&lt;År1,0,K208*(1-VLOOKUP($A209,[1]Hugst!$R$5:$W$9,MATCH(ROUNDUP((L$1)/10,0)*10,[1]Hugst!$R$4:$W$4,0))))</f>
        <v>4568.0912570258733</v>
      </c>
      <c r="M209">
        <f ca="1">IF($C209-M$1&lt;År1,0,L208*(1-VLOOKUP($A209,[1]Hugst!$R$5:$W$9,MATCH(ROUNDUP((M$1)/10,0)*10,[1]Hugst!$R$4:$W$4,0))))</f>
        <v>4565.5839205203265</v>
      </c>
      <c r="N209">
        <f ca="1">IF($C209-N$1&lt;År1,0,M208*(1-VLOOKUP($A209,[1]Hugst!$R$5:$W$9,MATCH(ROUNDUP((N$1)/10,0)*10,[1]Hugst!$R$4:$W$4,0))))</f>
        <v>4563.0734047754413</v>
      </c>
      <c r="O209">
        <f ca="1">IF($C209-O$1&lt;År1,0,N208*(1-VLOOKUP($A209,[1]Hugst!$R$5:$W$9,MATCH(ROUNDUP((O$1)/10,0)*10,[1]Hugst!$R$4:$W$4,0))))</f>
        <v>4560.559714539655</v>
      </c>
      <c r="P209">
        <f ca="1">IF($C209-P$1&lt;År1,0,O208*(1-VLOOKUP($A209,[1]Hugst!$R$5:$W$9,MATCH(ROUNDUP((P$1)/10,0)*10,[1]Hugst!$R$4:$W$4,0))))</f>
        <v>4548.0373947060034</v>
      </c>
      <c r="Q209">
        <f ca="1">IF($C209-Q$1&lt;År1,0,P208*(1-VLOOKUP($A209,[1]Hugst!$R$5:$W$9,MATCH(ROUNDUP((Q$1)/10,0)*10,[1]Hugst!$R$4:$W$4,0))))</f>
        <v>3225.9374257954114</v>
      </c>
      <c r="R209">
        <f ca="1">IF($C209-R$1&lt;År1,0,Q208*(1-VLOOKUP($A209,[1]Hugst!$R$5:$W$9,MATCH(ROUNDUP((R$1)/10,0)*10,[1]Hugst!$R$4:$W$4,0))))</f>
        <v>3216.3494948631283</v>
      </c>
      <c r="S209">
        <f ca="1">IF($C209-S$1&lt;År1,0,R208*(1-VLOOKUP($A209,[1]Hugst!$R$5:$W$9,MATCH(ROUNDUP((S$1)/10,0)*10,[1]Hugst!$R$4:$W$4,0))))</f>
        <v>3213.9501535133445</v>
      </c>
      <c r="T209">
        <f ca="1">IF($C209-T$1&lt;År1,0,S208*(1-VLOOKUP($A209,[1]Hugst!$R$5:$W$9,MATCH(ROUNDUP((T$1)/10,0)*10,[1]Hugst!$R$4:$W$4,0))))</f>
        <v>3211.569218068425</v>
      </c>
      <c r="U209">
        <f ca="1">IF($C209-U$1&lt;År1,0,T208*(1-VLOOKUP($A209,[1]Hugst!$R$5:$W$9,MATCH(ROUNDUP((U$1)/10,0)*10,[1]Hugst!$R$4:$W$4,0))))</f>
        <v>3209.2066851638733</v>
      </c>
      <c r="V209">
        <f ca="1">IF($C209-V$1&lt;År1,0,U208*(1-VLOOKUP($A209,[1]Hugst!$R$5:$W$9,MATCH(ROUNDUP((V$1)/10,0)*10,[1]Hugst!$R$4:$W$4,0))))</f>
        <v>3206.862551546928</v>
      </c>
      <c r="W209">
        <f ca="1">IF($C209-W$1&lt;År1,0,V208*(1-VLOOKUP($A209,[1]Hugst!$R$5:$W$9,MATCH(ROUNDUP((W$1)/10,0)*10,[1]Hugst!$R$4:$W$4,0))))</f>
        <v>3204.53681407668</v>
      </c>
      <c r="X209">
        <f ca="1">IF($C209-X$1&lt;År1,0,W208*(1-VLOOKUP($A209,[1]Hugst!$R$5:$W$9,MATCH(ROUNDUP((X$1)/10,0)*10,[1]Hugst!$R$4:$W$4,0))))</f>
        <v>3202.2294697240959</v>
      </c>
      <c r="Y209">
        <f ca="1">IF($C209-Y$1&lt;År1,0,X208*(1-VLOOKUP($A209,[1]Hugst!$R$5:$W$9,MATCH(ROUNDUP((Y$1)/10,0)*10,[1]Hugst!$R$4:$W$4,0))))</f>
        <v>3199.9405155721088</v>
      </c>
      <c r="Z209">
        <f ca="1">IF($C209-Z$1&lt;År1,0,Y208*(1-VLOOKUP($A209,[1]Hugst!$R$5:$W$9,MATCH(ROUNDUP((Z$1)/10,0)*10,[1]Hugst!$R$4:$W$4,0))))</f>
        <v>3200.7964899535314</v>
      </c>
      <c r="AA209">
        <f ca="1">IF($C209-AA$1&lt;År1,0,Z208*(1-VLOOKUP($A209,[1]Hugst!$R$5:$W$9,MATCH(ROUNDUP((AA$1)/10,0)*10,[1]Hugst!$R$4:$W$4,0))))</f>
        <v>3201.6694997096452</v>
      </c>
      <c r="AB209">
        <f>IF($C209-AB$1&lt;År1,0,AA208*(1-VLOOKUP($A209,[1]Hugst!$R$5:$W$9,MATCH(ROUNDUP((AB$1)/10,0)*10,[1]Hugst!$R$4:$W$4,0))))</f>
        <v>0</v>
      </c>
      <c r="AC209">
        <f>IF($C209-AC$1&lt;År1,0,AB208*(1-VLOOKUP($A209,[1]Hugst!$R$5:$W$9,MATCH(ROUNDUP((AC$1)/10,0)*10,[1]Hugst!$R$4:$W$4,0))))</f>
        <v>0</v>
      </c>
      <c r="AD209">
        <f>IF($C209-AD$1&lt;År1,0,AC208*(1-VLOOKUP($A209,[1]Hugst!$R$5:$W$9,MATCH(ROUNDUP((AD$1)/10,0)*10,[1]Hugst!$R$4:$W$4,0))))</f>
        <v>0</v>
      </c>
      <c r="AE209">
        <f>IF($C209-AE$1&lt;År1,0,AD208*(1-VLOOKUP($A209,[1]Hugst!$R$5:$W$9,MATCH(ROUNDUP((AE$1)/10,0)*10,[1]Hugst!$R$4:$W$4,0))))</f>
        <v>0</v>
      </c>
      <c r="AF209">
        <f>IF($C209-AF$1&lt;År1,0,AE208*(1-VLOOKUP($A209,[1]Hugst!$R$5:$W$9,MATCH(ROUNDUP((AF$1)/10,0)*10,[1]Hugst!$R$4:$W$4,0))))</f>
        <v>0</v>
      </c>
      <c r="AG209">
        <f>IF($C209-AG$1&lt;År1,0,AF208*(1-VLOOKUP($A209,[1]Hugst!$R$5:$W$9,MATCH(ROUNDUP((AG$1)/10,0)*10,[1]Hugst!$R$4:$W$4,0))))</f>
        <v>0</v>
      </c>
      <c r="AH209">
        <f>IF($C209-AH$1&lt;År1,0,AG208*(1-VLOOKUP($A209,[1]Hugst!$R$5:$W$9,MATCH(ROUNDUP((AH$1)/10,0)*10,[1]Hugst!$R$4:$W$4,0))))</f>
        <v>0</v>
      </c>
      <c r="AI209">
        <f>IF($C209-AI$1&lt;År1,0,AH208*(1-VLOOKUP($A209,[1]Hugst!$R$5:$W$9,MATCH(ROUNDUP((AI$1)/10,0)*10,[1]Hugst!$R$4:$W$4,0))))</f>
        <v>0</v>
      </c>
      <c r="AJ209">
        <f>IF($C209-AJ$1&lt;År1,0,AI208*(1-VLOOKUP($A209,[1]Hugst!$R$5:$W$9,MATCH(ROUNDUP((AJ$1)/10,0)*10,[1]Hugst!$R$4:$W$4,0))))</f>
        <v>0</v>
      </c>
    </row>
    <row r="210" spans="1:36" x14ac:dyDescent="0.25">
      <c r="A210" t="s">
        <v>179</v>
      </c>
      <c r="B210" t="s">
        <v>23</v>
      </c>
      <c r="C210">
        <v>2042</v>
      </c>
      <c r="D210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876.68578281481678</v>
      </c>
      <c r="E210">
        <f t="shared" ca="1" si="4"/>
        <v>88.098825079068774</v>
      </c>
      <c r="F210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4582.0685585111696</v>
      </c>
      <c r="G210">
        <f ca="1">IF($C210-G$1&lt;År1,0,F209*(1-VLOOKUP($A210,[1]Hugst!$R$5:$W$9,MATCH(ROUNDUP((G$1)/10,0)*10,[1]Hugst!$R$4:$W$4,0))))</f>
        <v>4579.7559370680192</v>
      </c>
      <c r="H210">
        <f ca="1">IF($C210-H$1&lt;År1,0,G209*(1-VLOOKUP($A210,[1]Hugst!$R$5:$W$9,MATCH(ROUNDUP((H$1)/10,0)*10,[1]Hugst!$R$4:$W$4,0))))</f>
        <v>4577.4646858753858</v>
      </c>
      <c r="I210">
        <f ca="1">IF($C210-I$1&lt;År1,0,H209*(1-VLOOKUP($A210,[1]Hugst!$R$5:$W$9,MATCH(ROUNDUP((I$1)/10,0)*10,[1]Hugst!$R$4:$W$4,0))))</f>
        <v>4578.0887180917653</v>
      </c>
      <c r="J210">
        <f ca="1">IF($C210-J$1&lt;År1,0,I209*(1-VLOOKUP($A210,[1]Hugst!$R$5:$W$9,MATCH(ROUNDUP((J$1)/10,0)*10,[1]Hugst!$R$4:$W$4,0))))</f>
        <v>4575.5941446545203</v>
      </c>
      <c r="K210">
        <f ca="1">IF($C210-K$1&lt;År1,0,J209*(1-VLOOKUP($A210,[1]Hugst!$R$5:$W$9,MATCH(ROUNDUP((K$1)/10,0)*10,[1]Hugst!$R$4:$W$4,0))))</f>
        <v>4573.0963736697449</v>
      </c>
      <c r="L210">
        <f ca="1">IF($C210-L$1&lt;År1,0,K209*(1-VLOOKUP($A210,[1]Hugst!$R$5:$W$9,MATCH(ROUNDUP((L$1)/10,0)*10,[1]Hugst!$R$4:$W$4,0))))</f>
        <v>4570.5954096126206</v>
      </c>
      <c r="M210">
        <f ca="1">IF($C210-M$1&lt;År1,0,L209*(1-VLOOKUP($A210,[1]Hugst!$R$5:$W$9,MATCH(ROUNDUP((M$1)/10,0)*10,[1]Hugst!$R$4:$W$4,0))))</f>
        <v>4568.0912570258733</v>
      </c>
      <c r="N210">
        <f ca="1">IF($C210-N$1&lt;År1,0,M209*(1-VLOOKUP($A210,[1]Hugst!$R$5:$W$9,MATCH(ROUNDUP((N$1)/10,0)*10,[1]Hugst!$R$4:$W$4,0))))</f>
        <v>4565.5839205203265</v>
      </c>
      <c r="O210">
        <f ca="1">IF($C210-O$1&lt;År1,0,N209*(1-VLOOKUP($A210,[1]Hugst!$R$5:$W$9,MATCH(ROUNDUP((O$1)/10,0)*10,[1]Hugst!$R$4:$W$4,0))))</f>
        <v>4563.0734047754413</v>
      </c>
      <c r="P210">
        <f ca="1">IF($C210-P$1&lt;År1,0,O209*(1-VLOOKUP($A210,[1]Hugst!$R$5:$W$9,MATCH(ROUNDUP((P$1)/10,0)*10,[1]Hugst!$R$4:$W$4,0))))</f>
        <v>4550.5487298004218</v>
      </c>
      <c r="Q210">
        <f ca="1">IF($C210-Q$1&lt;År1,0,P209*(1-VLOOKUP($A210,[1]Hugst!$R$5:$W$9,MATCH(ROUNDUP((Q$1)/10,0)*10,[1]Hugst!$R$4:$W$4,0))))</f>
        <v>4538.0538979859166</v>
      </c>
      <c r="R210">
        <f ca="1">IF($C210-R$1&lt;År1,0,Q209*(1-VLOOKUP($A210,[1]Hugst!$R$5:$W$9,MATCH(ROUNDUP((R$1)/10,0)*10,[1]Hugst!$R$4:$W$4,0))))</f>
        <v>3218.8560997387872</v>
      </c>
      <c r="S210">
        <f ca="1">IF($C210-S$1&lt;År1,0,R209*(1-VLOOKUP($A210,[1]Hugst!$R$5:$W$9,MATCH(ROUNDUP((S$1)/10,0)*10,[1]Hugst!$R$4:$W$4,0))))</f>
        <v>3209.2892154841602</v>
      </c>
      <c r="T210">
        <f ca="1">IF($C210-T$1&lt;År1,0,S209*(1-VLOOKUP($A210,[1]Hugst!$R$5:$W$9,MATCH(ROUNDUP((T$1)/10,0)*10,[1]Hugst!$R$4:$W$4,0))))</f>
        <v>3206.8951409812421</v>
      </c>
      <c r="U210">
        <f ca="1">IF($C210-U$1&lt;År1,0,T209*(1-VLOOKUP($A210,[1]Hugst!$R$5:$W$9,MATCH(ROUNDUP((U$1)/10,0)*10,[1]Hugst!$R$4:$W$4,0))))</f>
        <v>3204.5194319799821</v>
      </c>
      <c r="V210">
        <f ca="1">IF($C210-V$1&lt;År1,0,U209*(1-VLOOKUP($A210,[1]Hugst!$R$5:$W$9,MATCH(ROUNDUP((V$1)/10,0)*10,[1]Hugst!$R$4:$W$4,0))))</f>
        <v>3202.1620851232697</v>
      </c>
      <c r="W210">
        <f ca="1">IF($C210-W$1&lt;År1,0,V209*(1-VLOOKUP($A210,[1]Hugst!$R$5:$W$9,MATCH(ROUNDUP((W$1)/10,0)*10,[1]Hugst!$R$4:$W$4,0))))</f>
        <v>3199.8230971654834</v>
      </c>
      <c r="X210">
        <f ca="1">IF($C210-X$1&lt;År1,0,W209*(1-VLOOKUP($A210,[1]Hugst!$R$5:$W$9,MATCH(ROUNDUP((X$1)/10,0)*10,[1]Hugst!$R$4:$W$4,0))))</f>
        <v>3197.5024649726092</v>
      </c>
      <c r="Y210">
        <f ca="1">IF($C210-Y$1&lt;År1,0,X209*(1-VLOOKUP($A210,[1]Hugst!$R$5:$W$9,MATCH(ROUNDUP((Y$1)/10,0)*10,[1]Hugst!$R$4:$W$4,0))))</f>
        <v>3195.2001855222625</v>
      </c>
      <c r="Z210">
        <f ca="1">IF($C210-Z$1&lt;År1,0,Y209*(1-VLOOKUP($A210,[1]Hugst!$R$5:$W$9,MATCH(ROUNDUP((Z$1)/10,0)*10,[1]Hugst!$R$4:$W$4,0))))</f>
        <v>3196.0381490897039</v>
      </c>
      <c r="AA210">
        <f ca="1">IF($C210-AA$1&lt;År1,0,Z209*(1-VLOOKUP($A210,[1]Hugst!$R$5:$W$9,MATCH(ROUNDUP((AA$1)/10,0)*10,[1]Hugst!$R$4:$W$4,0))))</f>
        <v>3196.8930795999295</v>
      </c>
      <c r="AB210">
        <f ca="1">IF($C210-AB$1&lt;År1,0,AA209*(1-VLOOKUP($A210,[1]Hugst!$R$5:$W$9,MATCH(ROUNDUP((AB$1)/10,0)*10,[1]Hugst!$R$4:$W$4,0))))</f>
        <v>3197.7650247099991</v>
      </c>
      <c r="AC210">
        <f>IF($C210-AC$1&lt;År1,0,AB209*(1-VLOOKUP($A210,[1]Hugst!$R$5:$W$9,MATCH(ROUNDUP((AC$1)/10,0)*10,[1]Hugst!$R$4:$W$4,0))))</f>
        <v>0</v>
      </c>
      <c r="AD210">
        <f>IF($C210-AD$1&lt;År1,0,AC209*(1-VLOOKUP($A210,[1]Hugst!$R$5:$W$9,MATCH(ROUNDUP((AD$1)/10,0)*10,[1]Hugst!$R$4:$W$4,0))))</f>
        <v>0</v>
      </c>
      <c r="AE210">
        <f>IF($C210-AE$1&lt;År1,0,AD209*(1-VLOOKUP($A210,[1]Hugst!$R$5:$W$9,MATCH(ROUNDUP((AE$1)/10,0)*10,[1]Hugst!$R$4:$W$4,0))))</f>
        <v>0</v>
      </c>
      <c r="AF210">
        <f>IF($C210-AF$1&lt;År1,0,AE209*(1-VLOOKUP($A210,[1]Hugst!$R$5:$W$9,MATCH(ROUNDUP((AF$1)/10,0)*10,[1]Hugst!$R$4:$W$4,0))))</f>
        <v>0</v>
      </c>
      <c r="AG210">
        <f>IF($C210-AG$1&lt;År1,0,AF209*(1-VLOOKUP($A210,[1]Hugst!$R$5:$W$9,MATCH(ROUNDUP((AG$1)/10,0)*10,[1]Hugst!$R$4:$W$4,0))))</f>
        <v>0</v>
      </c>
      <c r="AH210">
        <f>IF($C210-AH$1&lt;År1,0,AG209*(1-VLOOKUP($A210,[1]Hugst!$R$5:$W$9,MATCH(ROUNDUP((AH$1)/10,0)*10,[1]Hugst!$R$4:$W$4,0))))</f>
        <v>0</v>
      </c>
      <c r="AI210">
        <f>IF($C210-AI$1&lt;År1,0,AH209*(1-VLOOKUP($A210,[1]Hugst!$R$5:$W$9,MATCH(ROUNDUP((AI$1)/10,0)*10,[1]Hugst!$R$4:$W$4,0))))</f>
        <v>0</v>
      </c>
      <c r="AJ210">
        <f>IF($C210-AJ$1&lt;År1,0,AI209*(1-VLOOKUP($A210,[1]Hugst!$R$5:$W$9,MATCH(ROUNDUP((AJ$1)/10,0)*10,[1]Hugst!$R$4:$W$4,0))))</f>
        <v>0</v>
      </c>
    </row>
    <row r="211" spans="1:36" x14ac:dyDescent="0.25">
      <c r="A211" t="s">
        <v>179</v>
      </c>
      <c r="B211" t="s">
        <v>23</v>
      </c>
      <c r="C211">
        <v>2043</v>
      </c>
      <c r="D211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872.30235390073358</v>
      </c>
      <c r="E211">
        <f t="shared" ca="1" si="4"/>
        <v>94.81609617236245</v>
      </c>
      <c r="F211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4584.4024006903801</v>
      </c>
      <c r="G211">
        <f ca="1">IF($C211-G$1&lt;År1,0,F210*(1-VLOOKUP($A211,[1]Hugst!$R$5:$W$9,MATCH(ROUNDUP((G$1)/10,0)*10,[1]Hugst!$R$4:$W$4,0))))</f>
        <v>4582.0685585111696</v>
      </c>
      <c r="H211">
        <f ca="1">IF($C211-H$1&lt;År1,0,G210*(1-VLOOKUP($A211,[1]Hugst!$R$5:$W$9,MATCH(ROUNDUP((H$1)/10,0)*10,[1]Hugst!$R$4:$W$4,0))))</f>
        <v>4579.7559370680192</v>
      </c>
      <c r="I211">
        <f ca="1">IF($C211-I$1&lt;År1,0,H210*(1-VLOOKUP($A211,[1]Hugst!$R$5:$W$9,MATCH(ROUNDUP((I$1)/10,0)*10,[1]Hugst!$R$4:$W$4,0))))</f>
        <v>4577.4646858753858</v>
      </c>
      <c r="J211">
        <f ca="1">IF($C211-J$1&lt;År1,0,I210*(1-VLOOKUP($A211,[1]Hugst!$R$5:$W$9,MATCH(ROUNDUP((J$1)/10,0)*10,[1]Hugst!$R$4:$W$4,0))))</f>
        <v>4578.0887180917653</v>
      </c>
      <c r="K211">
        <f ca="1">IF($C211-K$1&lt;År1,0,J210*(1-VLOOKUP($A211,[1]Hugst!$R$5:$W$9,MATCH(ROUNDUP((K$1)/10,0)*10,[1]Hugst!$R$4:$W$4,0))))</f>
        <v>4575.5941446545203</v>
      </c>
      <c r="L211">
        <f ca="1">IF($C211-L$1&lt;År1,0,K210*(1-VLOOKUP($A211,[1]Hugst!$R$5:$W$9,MATCH(ROUNDUP((L$1)/10,0)*10,[1]Hugst!$R$4:$W$4,0))))</f>
        <v>4573.0963736697449</v>
      </c>
      <c r="M211">
        <f ca="1">IF($C211-M$1&lt;År1,0,L210*(1-VLOOKUP($A211,[1]Hugst!$R$5:$W$9,MATCH(ROUNDUP((M$1)/10,0)*10,[1]Hugst!$R$4:$W$4,0))))</f>
        <v>4570.5954096126206</v>
      </c>
      <c r="N211">
        <f ca="1">IF($C211-N$1&lt;År1,0,M210*(1-VLOOKUP($A211,[1]Hugst!$R$5:$W$9,MATCH(ROUNDUP((N$1)/10,0)*10,[1]Hugst!$R$4:$W$4,0))))</f>
        <v>4568.0912570258733</v>
      </c>
      <c r="O211">
        <f ca="1">IF($C211-O$1&lt;År1,0,N210*(1-VLOOKUP($A211,[1]Hugst!$R$5:$W$9,MATCH(ROUNDUP((O$1)/10,0)*10,[1]Hugst!$R$4:$W$4,0))))</f>
        <v>4565.5839205203265</v>
      </c>
      <c r="P211">
        <f ca="1">IF($C211-P$1&lt;År1,0,O210*(1-VLOOKUP($A211,[1]Hugst!$R$5:$W$9,MATCH(ROUNDUP((P$1)/10,0)*10,[1]Hugst!$R$4:$W$4,0))))</f>
        <v>4553.0569021795927</v>
      </c>
      <c r="Q211">
        <f ca="1">IF($C211-Q$1&lt;År1,0,P210*(1-VLOOKUP($A211,[1]Hugst!$R$5:$W$9,MATCH(ROUNDUP((Q$1)/10,0)*10,[1]Hugst!$R$4:$W$4,0))))</f>
        <v>4540.5597203935431</v>
      </c>
      <c r="R211">
        <f ca="1">IF($C211-R$1&lt;År1,0,Q210*(1-VLOOKUP($A211,[1]Hugst!$R$5:$W$9,MATCH(ROUNDUP((R$1)/10,0)*10,[1]Hugst!$R$4:$W$4,0))))</f>
        <v>4528.0923162586305</v>
      </c>
      <c r="S211">
        <f ca="1">IF($C211-S$1&lt;År1,0,R210*(1-VLOOKUP($A211,[1]Hugst!$R$5:$W$9,MATCH(ROUNDUP((S$1)/10,0)*10,[1]Hugst!$R$4:$W$4,0))))</f>
        <v>3211.7903180564335</v>
      </c>
      <c r="T211">
        <f ca="1">IF($C211-T$1&lt;År1,0,S210*(1-VLOOKUP($A211,[1]Hugst!$R$5:$W$9,MATCH(ROUNDUP((T$1)/10,0)*10,[1]Hugst!$R$4:$W$4,0))))</f>
        <v>3202.2444342794388</v>
      </c>
      <c r="U211">
        <f ca="1">IF($C211-U$1&lt;År1,0,T210*(1-VLOOKUP($A211,[1]Hugst!$R$5:$W$9,MATCH(ROUNDUP((U$1)/10,0)*10,[1]Hugst!$R$4:$W$4,0))))</f>
        <v>3199.8556150620147</v>
      </c>
      <c r="V211">
        <f ca="1">IF($C211-V$1&lt;År1,0,U210*(1-VLOOKUP($A211,[1]Hugst!$R$5:$W$9,MATCH(ROUNDUP((V$1)/10,0)*10,[1]Hugst!$R$4:$W$4,0))))</f>
        <v>3197.4851210317333</v>
      </c>
      <c r="W211">
        <f ca="1">IF($C211-W$1&lt;År1,0,V210*(1-VLOOKUP($A211,[1]Hugst!$R$5:$W$9,MATCH(ROUNDUP((W$1)/10,0)*10,[1]Hugst!$R$4:$W$4,0))))</f>
        <v>3195.1329488388528</v>
      </c>
      <c r="X211">
        <f ca="1">IF($C211-X$1&lt;År1,0,W210*(1-VLOOKUP($A211,[1]Hugst!$R$5:$W$9,MATCH(ROUNDUP((X$1)/10,0)*10,[1]Hugst!$R$4:$W$4,0))))</f>
        <v>3192.7990952448763</v>
      </c>
      <c r="Y211">
        <f ca="1">IF($C211-Y$1&lt;År1,0,X210*(1-VLOOKUP($A211,[1]Hugst!$R$5:$W$9,MATCH(ROUNDUP((Y$1)/10,0)*10,[1]Hugst!$R$4:$W$4,0))))</f>
        <v>3190.4835571226695</v>
      </c>
      <c r="Z211">
        <f ca="1">IF($C211-Z$1&lt;År1,0,Y210*(1-VLOOKUP($A211,[1]Hugst!$R$5:$W$9,MATCH(ROUNDUP((Z$1)/10,0)*10,[1]Hugst!$R$4:$W$4,0))))</f>
        <v>3191.3035999301624</v>
      </c>
      <c r="AA211">
        <f ca="1">IF($C211-AA$1&lt;År1,0,Z210*(1-VLOOKUP($A211,[1]Hugst!$R$5:$W$9,MATCH(ROUNDUP((AA$1)/10,0)*10,[1]Hugst!$R$4:$W$4,0))))</f>
        <v>3192.1405415908139</v>
      </c>
      <c r="AB211">
        <f ca="1">IF($C211-AB$1&lt;År1,0,AA210*(1-VLOOKUP($A211,[1]Hugst!$R$5:$W$9,MATCH(ROUNDUP((AB$1)/10,0)*10,[1]Hugst!$R$4:$W$4,0))))</f>
        <v>3192.9944295028563</v>
      </c>
      <c r="AC211">
        <f ca="1">IF($C211-AC$1&lt;År1,0,AB210*(1-VLOOKUP($A211,[1]Hugst!$R$5:$W$9,MATCH(ROUNDUP((AC$1)/10,0)*10,[1]Hugst!$R$4:$W$4,0))))</f>
        <v>3193.865311265231</v>
      </c>
      <c r="AD211">
        <f>IF($C211-AD$1&lt;År1,0,AC210*(1-VLOOKUP($A211,[1]Hugst!$R$5:$W$9,MATCH(ROUNDUP((AD$1)/10,0)*10,[1]Hugst!$R$4:$W$4,0))))</f>
        <v>0</v>
      </c>
      <c r="AE211">
        <f>IF($C211-AE$1&lt;År1,0,AD210*(1-VLOOKUP($A211,[1]Hugst!$R$5:$W$9,MATCH(ROUNDUP((AE$1)/10,0)*10,[1]Hugst!$R$4:$W$4,0))))</f>
        <v>0</v>
      </c>
      <c r="AF211">
        <f>IF($C211-AF$1&lt;År1,0,AE210*(1-VLOOKUP($A211,[1]Hugst!$R$5:$W$9,MATCH(ROUNDUP((AF$1)/10,0)*10,[1]Hugst!$R$4:$W$4,0))))</f>
        <v>0</v>
      </c>
      <c r="AG211">
        <f>IF($C211-AG$1&lt;År1,0,AF210*(1-VLOOKUP($A211,[1]Hugst!$R$5:$W$9,MATCH(ROUNDUP((AG$1)/10,0)*10,[1]Hugst!$R$4:$W$4,0))))</f>
        <v>0</v>
      </c>
      <c r="AH211">
        <f>IF($C211-AH$1&lt;År1,0,AG210*(1-VLOOKUP($A211,[1]Hugst!$R$5:$W$9,MATCH(ROUNDUP((AH$1)/10,0)*10,[1]Hugst!$R$4:$W$4,0))))</f>
        <v>0</v>
      </c>
      <c r="AI211">
        <f>IF($C211-AI$1&lt;År1,0,AH210*(1-VLOOKUP($A211,[1]Hugst!$R$5:$W$9,MATCH(ROUNDUP((AI$1)/10,0)*10,[1]Hugst!$R$4:$W$4,0))))</f>
        <v>0</v>
      </c>
      <c r="AJ211">
        <f>IF($C211-AJ$1&lt;År1,0,AI210*(1-VLOOKUP($A211,[1]Hugst!$R$5:$W$9,MATCH(ROUNDUP((AJ$1)/10,0)*10,[1]Hugst!$R$4:$W$4,0))))</f>
        <v>0</v>
      </c>
    </row>
    <row r="212" spans="1:36" x14ac:dyDescent="0.25">
      <c r="A212" t="s">
        <v>179</v>
      </c>
      <c r="B212" t="s">
        <v>23</v>
      </c>
      <c r="C212">
        <v>2044</v>
      </c>
      <c r="D212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867.94084213123642</v>
      </c>
      <c r="E212">
        <f t="shared" ca="1" si="4"/>
        <v>101.53252212773077</v>
      </c>
      <c r="F212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4586.7573148762513</v>
      </c>
      <c r="G212">
        <f ca="1">IF($C212-G$1&lt;År1,0,F211*(1-VLOOKUP($A212,[1]Hugst!$R$5:$W$9,MATCH(ROUNDUP((G$1)/10,0)*10,[1]Hugst!$R$4:$W$4,0))))</f>
        <v>4584.4024006903801</v>
      </c>
      <c r="H212">
        <f ca="1">IF($C212-H$1&lt;År1,0,G211*(1-VLOOKUP($A212,[1]Hugst!$R$5:$W$9,MATCH(ROUNDUP((H$1)/10,0)*10,[1]Hugst!$R$4:$W$4,0))))</f>
        <v>4582.0685585111696</v>
      </c>
      <c r="I212">
        <f ca="1">IF($C212-I$1&lt;År1,0,H211*(1-VLOOKUP($A212,[1]Hugst!$R$5:$W$9,MATCH(ROUNDUP((I$1)/10,0)*10,[1]Hugst!$R$4:$W$4,0))))</f>
        <v>4579.7559370680192</v>
      </c>
      <c r="J212">
        <f ca="1">IF($C212-J$1&lt;År1,0,I211*(1-VLOOKUP($A212,[1]Hugst!$R$5:$W$9,MATCH(ROUNDUP((J$1)/10,0)*10,[1]Hugst!$R$4:$W$4,0))))</f>
        <v>4577.4646858753858</v>
      </c>
      <c r="K212">
        <f ca="1">IF($C212-K$1&lt;År1,0,J211*(1-VLOOKUP($A212,[1]Hugst!$R$5:$W$9,MATCH(ROUNDUP((K$1)/10,0)*10,[1]Hugst!$R$4:$W$4,0))))</f>
        <v>4578.0887180917653</v>
      </c>
      <c r="L212">
        <f ca="1">IF($C212-L$1&lt;År1,0,K211*(1-VLOOKUP($A212,[1]Hugst!$R$5:$W$9,MATCH(ROUNDUP((L$1)/10,0)*10,[1]Hugst!$R$4:$W$4,0))))</f>
        <v>4575.5941446545203</v>
      </c>
      <c r="M212">
        <f ca="1">IF($C212-M$1&lt;År1,0,L211*(1-VLOOKUP($A212,[1]Hugst!$R$5:$W$9,MATCH(ROUNDUP((M$1)/10,0)*10,[1]Hugst!$R$4:$W$4,0))))</f>
        <v>4573.0963736697449</v>
      </c>
      <c r="N212">
        <f ca="1">IF($C212-N$1&lt;År1,0,M211*(1-VLOOKUP($A212,[1]Hugst!$R$5:$W$9,MATCH(ROUNDUP((N$1)/10,0)*10,[1]Hugst!$R$4:$W$4,0))))</f>
        <v>4570.5954096126206</v>
      </c>
      <c r="O212">
        <f ca="1">IF($C212-O$1&lt;År1,0,N211*(1-VLOOKUP($A212,[1]Hugst!$R$5:$W$9,MATCH(ROUNDUP((O$1)/10,0)*10,[1]Hugst!$R$4:$W$4,0))))</f>
        <v>4568.0912570258733</v>
      </c>
      <c r="P212">
        <f ca="1">IF($C212-P$1&lt;År1,0,O211*(1-VLOOKUP($A212,[1]Hugst!$R$5:$W$9,MATCH(ROUNDUP((P$1)/10,0)*10,[1]Hugst!$R$4:$W$4,0))))</f>
        <v>4555.5619070362573</v>
      </c>
      <c r="Q212">
        <f ca="1">IF($C212-Q$1&lt;År1,0,P211*(1-VLOOKUP($A212,[1]Hugst!$R$5:$W$9,MATCH(ROUNDUP((Q$1)/10,0)*10,[1]Hugst!$R$4:$W$4,0))))</f>
        <v>4543.0623870284671</v>
      </c>
      <c r="R212">
        <f ca="1">IF($C212-R$1&lt;År1,0,Q211*(1-VLOOKUP($A212,[1]Hugst!$R$5:$W$9,MATCH(ROUNDUP((R$1)/10,0)*10,[1]Hugst!$R$4:$W$4,0))))</f>
        <v>4530.592638080484</v>
      </c>
      <c r="S212">
        <f ca="1">IF($C212-S$1&lt;År1,0,R211*(1-VLOOKUP($A212,[1]Hugst!$R$5:$W$9,MATCH(ROUNDUP((S$1)/10,0)*10,[1]Hugst!$R$4:$W$4,0))))</f>
        <v>4518.1526014180627</v>
      </c>
      <c r="T212">
        <f ca="1">IF($C212-T$1&lt;År1,0,S211*(1-VLOOKUP($A212,[1]Hugst!$R$5:$W$9,MATCH(ROUNDUP((T$1)/10,0)*10,[1]Hugst!$R$4:$W$4,0))))</f>
        <v>3204.7400466265535</v>
      </c>
      <c r="U212">
        <f ca="1">IF($C212-U$1&lt;År1,0,T211*(1-VLOOKUP($A212,[1]Hugst!$R$5:$W$9,MATCH(ROUNDUP((U$1)/10,0)*10,[1]Hugst!$R$4:$W$4,0))))</f>
        <v>3195.2151172285817</v>
      </c>
      <c r="V212">
        <f ca="1">IF($C212-V$1&lt;År1,0,U211*(1-VLOOKUP($A212,[1]Hugst!$R$5:$W$9,MATCH(ROUNDUP((V$1)/10,0)*10,[1]Hugst!$R$4:$W$4,0))))</f>
        <v>3192.8315417606591</v>
      </c>
      <c r="W212">
        <f ca="1">IF($C212-W$1&lt;År1,0,V211*(1-VLOOKUP($A212,[1]Hugst!$R$5:$W$9,MATCH(ROUNDUP((W$1)/10,0)*10,[1]Hugst!$R$4:$W$4,0))))</f>
        <v>3190.4662512538589</v>
      </c>
      <c r="X212">
        <f ca="1">IF($C212-X$1&lt;År1,0,W211*(1-VLOOKUP($A212,[1]Hugst!$R$5:$W$9,MATCH(ROUNDUP((X$1)/10,0)*10,[1]Hugst!$R$4:$W$4,0))))</f>
        <v>3188.1192423657917</v>
      </c>
      <c r="Y212">
        <f ca="1">IF($C212-Y$1&lt;År1,0,X211*(1-VLOOKUP($A212,[1]Hugst!$R$5:$W$9,MATCH(ROUNDUP((Y$1)/10,0)*10,[1]Hugst!$R$4:$W$4,0))))</f>
        <v>3185.7905118650706</v>
      </c>
      <c r="Z212">
        <f ca="1">IF($C212-Z$1&lt;År1,0,Y211*(1-VLOOKUP($A212,[1]Hugst!$R$5:$W$9,MATCH(ROUNDUP((Z$1)/10,0)*10,[1]Hugst!$R$4:$W$4,0))))</f>
        <v>3186.5927235164222</v>
      </c>
      <c r="AA212">
        <f ca="1">IF($C212-AA$1&lt;År1,0,Z211*(1-VLOOKUP($A212,[1]Hugst!$R$5:$W$9,MATCH(ROUNDUP((AA$1)/10,0)*10,[1]Hugst!$R$4:$W$4,0))))</f>
        <v>3187.4117662717108</v>
      </c>
      <c r="AB212">
        <f ca="1">IF($C212-AB$1&lt;År1,0,AA211*(1-VLOOKUP($A212,[1]Hugst!$R$5:$W$9,MATCH(ROUNDUP((AB$1)/10,0)*10,[1]Hugst!$R$4:$W$4,0))))</f>
        <v>3188.2476872718007</v>
      </c>
      <c r="AC212">
        <f ca="1">IF($C212-AC$1&lt;År1,0,AB211*(1-VLOOKUP($A212,[1]Hugst!$R$5:$W$9,MATCH(ROUNDUP((AC$1)/10,0)*10,[1]Hugst!$R$4:$W$4,0))))</f>
        <v>3189.1005338571213</v>
      </c>
      <c r="AD212">
        <f ca="1">IF($C212-AD$1&lt;År1,0,AC211*(1-VLOOKUP($A212,[1]Hugst!$R$5:$W$9,MATCH(ROUNDUP((AD$1)/10,0)*10,[1]Hugst!$R$4:$W$4,0))))</f>
        <v>3189.9703535685662</v>
      </c>
      <c r="AE212">
        <f>IF($C212-AE$1&lt;År1,0,AD211*(1-VLOOKUP($A212,[1]Hugst!$R$5:$W$9,MATCH(ROUNDUP((AE$1)/10,0)*10,[1]Hugst!$R$4:$W$4,0))))</f>
        <v>0</v>
      </c>
      <c r="AF212">
        <f>IF($C212-AF$1&lt;År1,0,AE211*(1-VLOOKUP($A212,[1]Hugst!$R$5:$W$9,MATCH(ROUNDUP((AF$1)/10,0)*10,[1]Hugst!$R$4:$W$4,0))))</f>
        <v>0</v>
      </c>
      <c r="AG212">
        <f>IF($C212-AG$1&lt;År1,0,AF211*(1-VLOOKUP($A212,[1]Hugst!$R$5:$W$9,MATCH(ROUNDUP((AG$1)/10,0)*10,[1]Hugst!$R$4:$W$4,0))))</f>
        <v>0</v>
      </c>
      <c r="AH212">
        <f>IF($C212-AH$1&lt;År1,0,AG211*(1-VLOOKUP($A212,[1]Hugst!$R$5:$W$9,MATCH(ROUNDUP((AH$1)/10,0)*10,[1]Hugst!$R$4:$W$4,0))))</f>
        <v>0</v>
      </c>
      <c r="AI212">
        <f>IF($C212-AI$1&lt;År1,0,AH211*(1-VLOOKUP($A212,[1]Hugst!$R$5:$W$9,MATCH(ROUNDUP((AI$1)/10,0)*10,[1]Hugst!$R$4:$W$4,0))))</f>
        <v>0</v>
      </c>
      <c r="AJ212">
        <f>IF($C212-AJ$1&lt;År1,0,AI211*(1-VLOOKUP($A212,[1]Hugst!$R$5:$W$9,MATCH(ROUNDUP((AJ$1)/10,0)*10,[1]Hugst!$R$4:$W$4,0))))</f>
        <v>0</v>
      </c>
    </row>
    <row r="213" spans="1:36" x14ac:dyDescent="0.25">
      <c r="A213" t="s">
        <v>179</v>
      </c>
      <c r="B213" t="s">
        <v>23</v>
      </c>
      <c r="C213">
        <v>2045</v>
      </c>
      <c r="D213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863.60113792057746</v>
      </c>
      <c r="E213">
        <f t="shared" ca="1" si="4"/>
        <v>108.24806458300736</v>
      </c>
      <c r="F213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4589.1331531208689</v>
      </c>
      <c r="G213">
        <f ca="1">IF($C213-G$1&lt;År1,0,F212*(1-VLOOKUP($A213,[1]Hugst!$R$5:$W$9,MATCH(ROUNDUP((G$1)/10,0)*10,[1]Hugst!$R$4:$W$4,0))))</f>
        <v>4586.7573148762513</v>
      </c>
      <c r="H213">
        <f ca="1">IF($C213-H$1&lt;År1,0,G212*(1-VLOOKUP($A213,[1]Hugst!$R$5:$W$9,MATCH(ROUNDUP((H$1)/10,0)*10,[1]Hugst!$R$4:$W$4,0))))</f>
        <v>4584.4024006903801</v>
      </c>
      <c r="I213">
        <f ca="1">IF($C213-I$1&lt;År1,0,H212*(1-VLOOKUP($A213,[1]Hugst!$R$5:$W$9,MATCH(ROUNDUP((I$1)/10,0)*10,[1]Hugst!$R$4:$W$4,0))))</f>
        <v>4582.0685585111696</v>
      </c>
      <c r="J213">
        <f ca="1">IF($C213-J$1&lt;År1,0,I212*(1-VLOOKUP($A213,[1]Hugst!$R$5:$W$9,MATCH(ROUNDUP((J$1)/10,0)*10,[1]Hugst!$R$4:$W$4,0))))</f>
        <v>4579.7559370680192</v>
      </c>
      <c r="K213">
        <f ca="1">IF($C213-K$1&lt;År1,0,J212*(1-VLOOKUP($A213,[1]Hugst!$R$5:$W$9,MATCH(ROUNDUP((K$1)/10,0)*10,[1]Hugst!$R$4:$W$4,0))))</f>
        <v>4577.4646858753858</v>
      </c>
      <c r="L213">
        <f ca="1">IF($C213-L$1&lt;År1,0,K212*(1-VLOOKUP($A213,[1]Hugst!$R$5:$W$9,MATCH(ROUNDUP((L$1)/10,0)*10,[1]Hugst!$R$4:$W$4,0))))</f>
        <v>4578.0887180917653</v>
      </c>
      <c r="M213">
        <f ca="1">IF($C213-M$1&lt;År1,0,L212*(1-VLOOKUP($A213,[1]Hugst!$R$5:$W$9,MATCH(ROUNDUP((M$1)/10,0)*10,[1]Hugst!$R$4:$W$4,0))))</f>
        <v>4575.5941446545203</v>
      </c>
      <c r="N213">
        <f ca="1">IF($C213-N$1&lt;År1,0,M212*(1-VLOOKUP($A213,[1]Hugst!$R$5:$W$9,MATCH(ROUNDUP((N$1)/10,0)*10,[1]Hugst!$R$4:$W$4,0))))</f>
        <v>4573.0963736697449</v>
      </c>
      <c r="O213">
        <f ca="1">IF($C213-O$1&lt;År1,0,N212*(1-VLOOKUP($A213,[1]Hugst!$R$5:$W$9,MATCH(ROUNDUP((O$1)/10,0)*10,[1]Hugst!$R$4:$W$4,0))))</f>
        <v>4570.5954096126206</v>
      </c>
      <c r="P213">
        <f ca="1">IF($C213-P$1&lt;År1,0,O212*(1-VLOOKUP($A213,[1]Hugst!$R$5:$W$9,MATCH(ROUNDUP((P$1)/10,0)*10,[1]Hugst!$R$4:$W$4,0))))</f>
        <v>4558.0637396324018</v>
      </c>
      <c r="Q213">
        <f ca="1">IF($C213-Q$1&lt;År1,0,P212*(1-VLOOKUP($A213,[1]Hugst!$R$5:$W$9,MATCH(ROUNDUP((Q$1)/10,0)*10,[1]Hugst!$R$4:$W$4,0))))</f>
        <v>4545.5618930939827</v>
      </c>
      <c r="R213">
        <f ca="1">IF($C213-R$1&lt;År1,0,Q212*(1-VLOOKUP($A213,[1]Hugst!$R$5:$W$9,MATCH(ROUNDUP((R$1)/10,0)*10,[1]Hugst!$R$4:$W$4,0))))</f>
        <v>4533.0898110569415</v>
      </c>
      <c r="S213">
        <f ca="1">IF($C213-S$1&lt;År1,0,R212*(1-VLOOKUP($A213,[1]Hugst!$R$5:$W$9,MATCH(ROUNDUP((S$1)/10,0)*10,[1]Hugst!$R$4:$W$4,0))))</f>
        <v>4520.6474347286003</v>
      </c>
      <c r="T213">
        <f ca="1">IF($C213-T$1&lt;År1,0,S212*(1-VLOOKUP($A213,[1]Hugst!$R$5:$W$9,MATCH(ROUNDUP((T$1)/10,0)*10,[1]Hugst!$R$4:$W$4,0))))</f>
        <v>4508.2347054637303</v>
      </c>
      <c r="U213">
        <f ca="1">IF($C213-U$1&lt;År1,0,T212*(1-VLOOKUP($A213,[1]Hugst!$R$5:$W$9,MATCH(ROUNDUP((U$1)/10,0)*10,[1]Hugst!$R$4:$W$4,0))))</f>
        <v>3197.7052514022512</v>
      </c>
      <c r="V213">
        <f ca="1">IF($C213-V$1&lt;År1,0,U212*(1-VLOOKUP($A213,[1]Hugst!$R$5:$W$9,MATCH(ROUNDUP((V$1)/10,0)*10,[1]Hugst!$R$4:$W$4,0))))</f>
        <v>3188.2012303858846</v>
      </c>
      <c r="W213">
        <f ca="1">IF($C213-W$1&lt;År1,0,V212*(1-VLOOKUP($A213,[1]Hugst!$R$5:$W$9,MATCH(ROUNDUP((W$1)/10,0)*10,[1]Hugst!$R$4:$W$4,0))))</f>
        <v>3185.8228871567944</v>
      </c>
      <c r="X213">
        <f ca="1">IF($C213-X$1&lt;År1,0,W212*(1-VLOOKUP($A213,[1]Hugst!$R$5:$W$9,MATCH(ROUNDUP((X$1)/10,0)*10,[1]Hugst!$R$4:$W$4,0))))</f>
        <v>3183.4627887511065</v>
      </c>
      <c r="Y213">
        <f ca="1">IF($C213-Y$1&lt;År1,0,X212*(1-VLOOKUP($A213,[1]Hugst!$R$5:$W$9,MATCH(ROUNDUP((Y$1)/10,0)*10,[1]Hugst!$R$4:$W$4,0))))</f>
        <v>3181.1209318337692</v>
      </c>
      <c r="Z213">
        <f ca="1">IF($C213-Z$1&lt;År1,0,Y212*(1-VLOOKUP($A213,[1]Hugst!$R$5:$W$9,MATCH(ROUNDUP((Z$1)/10,0)*10,[1]Hugst!$R$4:$W$4,0))))</f>
        <v>3181.9054014847475</v>
      </c>
      <c r="AA213">
        <f ca="1">IF($C213-AA$1&lt;År1,0,Z212*(1-VLOOKUP($A213,[1]Hugst!$R$5:$W$9,MATCH(ROUNDUP((AA$1)/10,0)*10,[1]Hugst!$R$4:$W$4,0))))</f>
        <v>3182.7066348292069</v>
      </c>
      <c r="AB213">
        <f ca="1">IF($C213-AB$1&lt;År1,0,AA212*(1-VLOOKUP($A213,[1]Hugst!$R$5:$W$9,MATCH(ROUNDUP((AB$1)/10,0)*10,[1]Hugst!$R$4:$W$4,0))))</f>
        <v>3183.5246787518672</v>
      </c>
      <c r="AC213">
        <f ca="1">IF($C213-AC$1&lt;År1,0,AB212*(1-VLOOKUP($A213,[1]Hugst!$R$5:$W$9,MATCH(ROUNDUP((AC$1)/10,0)*10,[1]Hugst!$R$4:$W$4,0))))</f>
        <v>3184.3595803361036</v>
      </c>
      <c r="AD213">
        <f ca="1">IF($C213-AD$1&lt;År1,0,AC212*(1-VLOOKUP($A213,[1]Hugst!$R$5:$W$9,MATCH(ROUNDUP((AD$1)/10,0)*10,[1]Hugst!$R$4:$W$4,0))))</f>
        <v>3185.2113868646125</v>
      </c>
      <c r="AE213">
        <f ca="1">IF($C213-AE$1&lt;År1,0,AD212*(1-VLOOKUP($A213,[1]Hugst!$R$5:$W$9,MATCH(ROUNDUP((AE$1)/10,0)*10,[1]Hugst!$R$4:$W$4,0))))</f>
        <v>3186.0801458203118</v>
      </c>
      <c r="AF213">
        <f>IF($C213-AF$1&lt;År1,0,AE212*(1-VLOOKUP($A213,[1]Hugst!$R$5:$W$9,MATCH(ROUNDUP((AF$1)/10,0)*10,[1]Hugst!$R$4:$W$4,0))))</f>
        <v>0</v>
      </c>
      <c r="AG213">
        <f>IF($C213-AG$1&lt;År1,0,AF212*(1-VLOOKUP($A213,[1]Hugst!$R$5:$W$9,MATCH(ROUNDUP((AG$1)/10,0)*10,[1]Hugst!$R$4:$W$4,0))))</f>
        <v>0</v>
      </c>
      <c r="AH213">
        <f>IF($C213-AH$1&lt;År1,0,AG212*(1-VLOOKUP($A213,[1]Hugst!$R$5:$W$9,MATCH(ROUNDUP((AH$1)/10,0)*10,[1]Hugst!$R$4:$W$4,0))))</f>
        <v>0</v>
      </c>
      <c r="AI213">
        <f>IF($C213-AI$1&lt;År1,0,AH212*(1-VLOOKUP($A213,[1]Hugst!$R$5:$W$9,MATCH(ROUNDUP((AI$1)/10,0)*10,[1]Hugst!$R$4:$W$4,0))))</f>
        <v>0</v>
      </c>
      <c r="AJ213">
        <f>IF($C213-AJ$1&lt;År1,0,AI212*(1-VLOOKUP($A213,[1]Hugst!$R$5:$W$9,MATCH(ROUNDUP((AJ$1)/10,0)*10,[1]Hugst!$R$4:$W$4,0))))</f>
        <v>0</v>
      </c>
    </row>
    <row r="214" spans="1:36" x14ac:dyDescent="0.25">
      <c r="A214" t="s">
        <v>179</v>
      </c>
      <c r="B214" t="s">
        <v>23</v>
      </c>
      <c r="C214">
        <v>2046</v>
      </c>
      <c r="D214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859.28313223100486</v>
      </c>
      <c r="E214">
        <f t="shared" ca="1" si="4"/>
        <v>114.9626854051894</v>
      </c>
      <c r="F214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4591.5297682534783</v>
      </c>
      <c r="G214">
        <f ca="1">IF($C214-G$1&lt;År1,0,F213*(1-VLOOKUP($A214,[1]Hugst!$R$5:$W$9,MATCH(ROUNDUP((G$1)/10,0)*10,[1]Hugst!$R$4:$W$4,0))))</f>
        <v>4589.1331531208689</v>
      </c>
      <c r="H214">
        <f ca="1">IF($C214-H$1&lt;År1,0,G213*(1-VLOOKUP($A214,[1]Hugst!$R$5:$W$9,MATCH(ROUNDUP((H$1)/10,0)*10,[1]Hugst!$R$4:$W$4,0))))</f>
        <v>4586.7573148762513</v>
      </c>
      <c r="I214">
        <f ca="1">IF($C214-I$1&lt;År1,0,H213*(1-VLOOKUP($A214,[1]Hugst!$R$5:$W$9,MATCH(ROUNDUP((I$1)/10,0)*10,[1]Hugst!$R$4:$W$4,0))))</f>
        <v>4584.4024006903801</v>
      </c>
      <c r="J214">
        <f ca="1">IF($C214-J$1&lt;År1,0,I213*(1-VLOOKUP($A214,[1]Hugst!$R$5:$W$9,MATCH(ROUNDUP((J$1)/10,0)*10,[1]Hugst!$R$4:$W$4,0))))</f>
        <v>4582.0685585111696</v>
      </c>
      <c r="K214">
        <f ca="1">IF($C214-K$1&lt;År1,0,J213*(1-VLOOKUP($A214,[1]Hugst!$R$5:$W$9,MATCH(ROUNDUP((K$1)/10,0)*10,[1]Hugst!$R$4:$W$4,0))))</f>
        <v>4579.7559370680192</v>
      </c>
      <c r="L214">
        <f ca="1">IF($C214-L$1&lt;År1,0,K213*(1-VLOOKUP($A214,[1]Hugst!$R$5:$W$9,MATCH(ROUNDUP((L$1)/10,0)*10,[1]Hugst!$R$4:$W$4,0))))</f>
        <v>4577.4646858753858</v>
      </c>
      <c r="M214">
        <f ca="1">IF($C214-M$1&lt;År1,0,L213*(1-VLOOKUP($A214,[1]Hugst!$R$5:$W$9,MATCH(ROUNDUP((M$1)/10,0)*10,[1]Hugst!$R$4:$W$4,0))))</f>
        <v>4578.0887180917653</v>
      </c>
      <c r="N214">
        <f ca="1">IF($C214-N$1&lt;År1,0,M213*(1-VLOOKUP($A214,[1]Hugst!$R$5:$W$9,MATCH(ROUNDUP((N$1)/10,0)*10,[1]Hugst!$R$4:$W$4,0))))</f>
        <v>4575.5941446545203</v>
      </c>
      <c r="O214">
        <f ca="1">IF($C214-O$1&lt;År1,0,N213*(1-VLOOKUP($A214,[1]Hugst!$R$5:$W$9,MATCH(ROUNDUP((O$1)/10,0)*10,[1]Hugst!$R$4:$W$4,0))))</f>
        <v>4573.0963736697449</v>
      </c>
      <c r="P214">
        <f ca="1">IF($C214-P$1&lt;År1,0,O213*(1-VLOOKUP($A214,[1]Hugst!$R$5:$W$9,MATCH(ROUNDUP((P$1)/10,0)*10,[1]Hugst!$R$4:$W$4,0))))</f>
        <v>4560.5623952988371</v>
      </c>
      <c r="Q214">
        <f ca="1">IF($C214-Q$1&lt;År1,0,P213*(1-VLOOKUP($A214,[1]Hugst!$R$5:$W$9,MATCH(ROUNDUP((Q$1)/10,0)*10,[1]Hugst!$R$4:$W$4,0))))</f>
        <v>4548.0582338624772</v>
      </c>
      <c r="R214">
        <f ca="1">IF($C214-R$1&lt;År1,0,Q213*(1-VLOOKUP($A214,[1]Hugst!$R$5:$W$9,MATCH(ROUNDUP((R$1)/10,0)*10,[1]Hugst!$R$4:$W$4,0))))</f>
        <v>4535.5838304018253</v>
      </c>
      <c r="S214">
        <f ca="1">IF($C214-S$1&lt;År1,0,R213*(1-VLOOKUP($A214,[1]Hugst!$R$5:$W$9,MATCH(ROUNDUP((S$1)/10,0)*10,[1]Hugst!$R$4:$W$4,0))))</f>
        <v>4523.1391261058407</v>
      </c>
      <c r="T214">
        <f ca="1">IF($C214-T$1&lt;År1,0,S213*(1-VLOOKUP($A214,[1]Hugst!$R$5:$W$9,MATCH(ROUNDUP((T$1)/10,0)*10,[1]Hugst!$R$4:$W$4,0))))</f>
        <v>4510.7240623109037</v>
      </c>
      <c r="U214">
        <f ca="1">IF($C214-U$1&lt;År1,0,T213*(1-VLOOKUP($A214,[1]Hugst!$R$5:$W$9,MATCH(ROUNDUP((U$1)/10,0)*10,[1]Hugst!$R$4:$W$4,0))))</f>
        <v>4498.3385805005173</v>
      </c>
      <c r="V214">
        <f ca="1">IF($C214-V$1&lt;År1,0,U213*(1-VLOOKUP($A214,[1]Hugst!$R$5:$W$9,MATCH(ROUNDUP((V$1)/10,0)*10,[1]Hugst!$R$4:$W$4,0))))</f>
        <v>3190.6858984113683</v>
      </c>
      <c r="W214">
        <f ca="1">IF($C214-W$1&lt;År1,0,V213*(1-VLOOKUP($A214,[1]Hugst!$R$5:$W$9,MATCH(ROUNDUP((W$1)/10,0)*10,[1]Hugst!$R$4:$W$4,0))))</f>
        <v>3181.2027398801597</v>
      </c>
      <c r="X214">
        <f ca="1">IF($C214-X$1&lt;År1,0,W213*(1-VLOOKUP($A214,[1]Hugst!$R$5:$W$9,MATCH(ROUNDUP((X$1)/10,0)*10,[1]Hugst!$R$4:$W$4,0))))</f>
        <v>3178.829617404499</v>
      </c>
      <c r="Y214">
        <f ca="1">IF($C214-Y$1&lt;År1,0,X213*(1-VLOOKUP($A214,[1]Hugst!$R$5:$W$9,MATCH(ROUNDUP((Y$1)/10,0)*10,[1]Hugst!$R$4:$W$4,0))))</f>
        <v>3176.4746997026286</v>
      </c>
      <c r="Z214">
        <f ca="1">IF($C214-Z$1&lt;År1,0,Y213*(1-VLOOKUP($A214,[1]Hugst!$R$5:$W$9,MATCH(ROUNDUP((Z$1)/10,0)*10,[1]Hugst!$R$4:$W$4,0))))</f>
        <v>3177.2415160632404</v>
      </c>
      <c r="AA214">
        <f ca="1">IF($C214-AA$1&lt;År1,0,Z213*(1-VLOOKUP($A214,[1]Hugst!$R$5:$W$9,MATCH(ROUNDUP((AA$1)/10,0)*10,[1]Hugst!$R$4:$W$4,0))))</f>
        <v>3178.0250290439126</v>
      </c>
      <c r="AB214">
        <f ca="1">IF($C214-AB$1&lt;År1,0,AA213*(1-VLOOKUP($A214,[1]Hugst!$R$5:$W$9,MATCH(ROUNDUP((AB$1)/10,0)*10,[1]Hugst!$R$4:$W$4,0))))</f>
        <v>3178.8252852745372</v>
      </c>
      <c r="AC214">
        <f ca="1">IF($C214-AC$1&lt;År1,0,AB213*(1-VLOOKUP($A214,[1]Hugst!$R$5:$W$9,MATCH(ROUNDUP((AC$1)/10,0)*10,[1]Hugst!$R$4:$W$4,0))))</f>
        <v>3179.6423315826578</v>
      </c>
      <c r="AD214">
        <f ca="1">IF($C214-AD$1&lt;År1,0,AC213*(1-VLOOKUP($A214,[1]Hugst!$R$5:$W$9,MATCH(ROUNDUP((AD$1)/10,0)*10,[1]Hugst!$R$4:$W$4,0))))</f>
        <v>3180.4762149942303</v>
      </c>
      <c r="AE214">
        <f ca="1">IF($C214-AE$1&lt;År1,0,AD213*(1-VLOOKUP($A214,[1]Hugst!$R$5:$W$9,MATCH(ROUNDUP((AE$1)/10,0)*10,[1]Hugst!$R$4:$W$4,0))))</f>
        <v>3181.3269827342897</v>
      </c>
      <c r="AF214">
        <f ca="1">IF($C214-AF$1&lt;År1,0,AE213*(1-VLOOKUP($A214,[1]Hugst!$R$5:$W$9,MATCH(ROUNDUP((AF$1)/10,0)*10,[1]Hugst!$R$4:$W$4,0))))</f>
        <v>3182.1946822278478</v>
      </c>
      <c r="AG214">
        <f>IF($C214-AG$1&lt;År1,0,AF213*(1-VLOOKUP($A214,[1]Hugst!$R$5:$W$9,MATCH(ROUNDUP((AG$1)/10,0)*10,[1]Hugst!$R$4:$W$4,0))))</f>
        <v>0</v>
      </c>
      <c r="AH214">
        <f>IF($C214-AH$1&lt;År1,0,AG213*(1-VLOOKUP($A214,[1]Hugst!$R$5:$W$9,MATCH(ROUNDUP((AH$1)/10,0)*10,[1]Hugst!$R$4:$W$4,0))))</f>
        <v>0</v>
      </c>
      <c r="AI214">
        <f>IF($C214-AI$1&lt;År1,0,AH213*(1-VLOOKUP($A214,[1]Hugst!$R$5:$W$9,MATCH(ROUNDUP((AI$1)/10,0)*10,[1]Hugst!$R$4:$W$4,0))))</f>
        <v>0</v>
      </c>
      <c r="AJ214">
        <f>IF($C214-AJ$1&lt;År1,0,AI213*(1-VLOOKUP($A214,[1]Hugst!$R$5:$W$9,MATCH(ROUNDUP((AJ$1)/10,0)*10,[1]Hugst!$R$4:$W$4,0))))</f>
        <v>0</v>
      </c>
    </row>
    <row r="215" spans="1:36" x14ac:dyDescent="0.25">
      <c r="A215" t="s">
        <v>179</v>
      </c>
      <c r="B215" t="s">
        <v>23</v>
      </c>
      <c r="C215">
        <v>2047</v>
      </c>
      <c r="D215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854.98671656979423</v>
      </c>
      <c r="E215">
        <f t="shared" ca="1" si="4"/>
        <v>121.67634668991377</v>
      </c>
      <c r="F215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4593.9470138769921</v>
      </c>
      <c r="G215">
        <f ca="1">IF($C215-G$1&lt;År1,0,F214*(1-VLOOKUP($A215,[1]Hugst!$R$5:$W$9,MATCH(ROUNDUP((G$1)/10,0)*10,[1]Hugst!$R$4:$W$4,0))))</f>
        <v>4591.5297682534783</v>
      </c>
      <c r="H215">
        <f ca="1">IF($C215-H$1&lt;År1,0,G214*(1-VLOOKUP($A215,[1]Hugst!$R$5:$W$9,MATCH(ROUNDUP((H$1)/10,0)*10,[1]Hugst!$R$4:$W$4,0))))</f>
        <v>4589.1331531208689</v>
      </c>
      <c r="I215">
        <f ca="1">IF($C215-I$1&lt;År1,0,H214*(1-VLOOKUP($A215,[1]Hugst!$R$5:$W$9,MATCH(ROUNDUP((I$1)/10,0)*10,[1]Hugst!$R$4:$W$4,0))))</f>
        <v>4586.7573148762513</v>
      </c>
      <c r="J215">
        <f ca="1">IF($C215-J$1&lt;År1,0,I214*(1-VLOOKUP($A215,[1]Hugst!$R$5:$W$9,MATCH(ROUNDUP((J$1)/10,0)*10,[1]Hugst!$R$4:$W$4,0))))</f>
        <v>4584.4024006903801</v>
      </c>
      <c r="K215">
        <f ca="1">IF($C215-K$1&lt;År1,0,J214*(1-VLOOKUP($A215,[1]Hugst!$R$5:$W$9,MATCH(ROUNDUP((K$1)/10,0)*10,[1]Hugst!$R$4:$W$4,0))))</f>
        <v>4582.0685585111696</v>
      </c>
      <c r="L215">
        <f ca="1">IF($C215-L$1&lt;År1,0,K214*(1-VLOOKUP($A215,[1]Hugst!$R$5:$W$9,MATCH(ROUNDUP((L$1)/10,0)*10,[1]Hugst!$R$4:$W$4,0))))</f>
        <v>4579.7559370680192</v>
      </c>
      <c r="M215">
        <f ca="1">IF($C215-M$1&lt;År1,0,L214*(1-VLOOKUP($A215,[1]Hugst!$R$5:$W$9,MATCH(ROUNDUP((M$1)/10,0)*10,[1]Hugst!$R$4:$W$4,0))))</f>
        <v>4577.4646858753858</v>
      </c>
      <c r="N215">
        <f ca="1">IF($C215-N$1&lt;År1,0,M214*(1-VLOOKUP($A215,[1]Hugst!$R$5:$W$9,MATCH(ROUNDUP((N$1)/10,0)*10,[1]Hugst!$R$4:$W$4,0))))</f>
        <v>4578.0887180917653</v>
      </c>
      <c r="O215">
        <f ca="1">IF($C215-O$1&lt;År1,0,N214*(1-VLOOKUP($A215,[1]Hugst!$R$5:$W$9,MATCH(ROUNDUP((O$1)/10,0)*10,[1]Hugst!$R$4:$W$4,0))))</f>
        <v>4575.5941446545203</v>
      </c>
      <c r="P215">
        <f ca="1">IF($C215-P$1&lt;År1,0,O214*(1-VLOOKUP($A215,[1]Hugst!$R$5:$W$9,MATCH(ROUNDUP((P$1)/10,0)*10,[1]Hugst!$R$4:$W$4,0))))</f>
        <v>4563.0578694348605</v>
      </c>
      <c r="Q215">
        <f ca="1">IF($C215-Q$1&lt;År1,0,P214*(1-VLOOKUP($A215,[1]Hugst!$R$5:$W$9,MATCH(ROUNDUP((Q$1)/10,0)*10,[1]Hugst!$R$4:$W$4,0))))</f>
        <v>4550.5514046750104</v>
      </c>
      <c r="R215">
        <f ca="1">IF($C215-R$1&lt;År1,0,Q214*(1-VLOOKUP($A215,[1]Hugst!$R$5:$W$9,MATCH(ROUNDUP((R$1)/10,0)*10,[1]Hugst!$R$4:$W$4,0))))</f>
        <v>4538.074691397901</v>
      </c>
      <c r="S215">
        <f ca="1">IF($C215-S$1&lt;År1,0,R214*(1-VLOOKUP($A215,[1]Hugst!$R$5:$W$9,MATCH(ROUNDUP((S$1)/10,0)*10,[1]Hugst!$R$4:$W$4,0))))</f>
        <v>4525.6276707741135</v>
      </c>
      <c r="T215">
        <f ca="1">IF($C215-T$1&lt;År1,0,S214*(1-VLOOKUP($A215,[1]Hugst!$R$5:$W$9,MATCH(ROUNDUP((T$1)/10,0)*10,[1]Hugst!$R$4:$W$4,0))))</f>
        <v>4513.2102841217056</v>
      </c>
      <c r="U215">
        <f ca="1">IF($C215-U$1&lt;År1,0,T214*(1-VLOOKUP($A215,[1]Hugst!$R$5:$W$9,MATCH(ROUNDUP((U$1)/10,0)*10,[1]Hugst!$R$4:$W$4,0))))</f>
        <v>4500.8224729058311</v>
      </c>
      <c r="V215">
        <f ca="1">IF($C215-V$1&lt;År1,0,U214*(1-VLOOKUP($A215,[1]Hugst!$R$5:$W$9,MATCH(ROUNDUP((V$1)/10,0)*10,[1]Hugst!$R$4:$W$4,0))))</f>
        <v>4488.4641787384426</v>
      </c>
      <c r="W215">
        <f ca="1">IF($C215-W$1&lt;År1,0,V214*(1-VLOOKUP($A215,[1]Hugst!$R$5:$W$9,MATCH(ROUNDUP((W$1)/10,0)*10,[1]Hugst!$R$4:$W$4,0))))</f>
        <v>3183.6819537563188</v>
      </c>
      <c r="X215">
        <f ca="1">IF($C215-X$1&lt;År1,0,W214*(1-VLOOKUP($A215,[1]Hugst!$R$5:$W$9,MATCH(ROUNDUP((X$1)/10,0)*10,[1]Hugst!$R$4:$W$4,0))))</f>
        <v>3174.2196119145692</v>
      </c>
      <c r="Y215">
        <f ca="1">IF($C215-Y$1&lt;År1,0,X214*(1-VLOOKUP($A215,[1]Hugst!$R$5:$W$9,MATCH(ROUNDUP((Y$1)/10,0)*10,[1]Hugst!$R$4:$W$4,0))))</f>
        <v>3171.8516987321477</v>
      </c>
      <c r="Z215">
        <f ca="1">IF($C215-Z$1&lt;År1,0,Y214*(1-VLOOKUP($A215,[1]Hugst!$R$5:$W$9,MATCH(ROUNDUP((Z$1)/10,0)*10,[1]Hugst!$R$4:$W$4,0))))</f>
        <v>3172.6009500688451</v>
      </c>
      <c r="AA215">
        <f ca="1">IF($C215-AA$1&lt;År1,0,Z214*(1-VLOOKUP($A215,[1]Hugst!$R$5:$W$9,MATCH(ROUNDUP((AA$1)/10,0)*10,[1]Hugst!$R$4:$W$4,0))))</f>
        <v>3173.3668312875534</v>
      </c>
      <c r="AB215">
        <f ca="1">IF($C215-AB$1&lt;År1,0,AA214*(1-VLOOKUP($A215,[1]Hugst!$R$5:$W$9,MATCH(ROUNDUP((AB$1)/10,0)*10,[1]Hugst!$R$4:$W$4,0))))</f>
        <v>3174.1493887645906</v>
      </c>
      <c r="AC215">
        <f ca="1">IF($C215-AC$1&lt;År1,0,AB214*(1-VLOOKUP($A215,[1]Hugst!$R$5:$W$9,MATCH(ROUNDUP((AC$1)/10,0)*10,[1]Hugst!$R$4:$W$4,0))))</f>
        <v>3174.9486690729827</v>
      </c>
      <c r="AD215">
        <f ca="1">IF($C215-AD$1&lt;År1,0,AC214*(1-VLOOKUP($A215,[1]Hugst!$R$5:$W$9,MATCH(ROUNDUP((AD$1)/10,0)*10,[1]Hugst!$R$4:$W$4,0))))</f>
        <v>3175.7647189831669</v>
      </c>
      <c r="AE215">
        <f ca="1">IF($C215-AE$1&lt;År1,0,AD214*(1-VLOOKUP($A215,[1]Hugst!$R$5:$W$9,MATCH(ROUNDUP((AE$1)/10,0)*10,[1]Hugst!$R$4:$W$4,0))))</f>
        <v>3176.5975854637495</v>
      </c>
      <c r="AF215">
        <f ca="1">IF($C215-AF$1&lt;År1,0,AE214*(1-VLOOKUP($A215,[1]Hugst!$R$5:$W$9,MATCH(ROUNDUP((AF$1)/10,0)*10,[1]Hugst!$R$4:$W$4,0))))</f>
        <v>3177.4473156821746</v>
      </c>
      <c r="AG215">
        <f ca="1">IF($C215-AG$1&lt;År1,0,AF214*(1-VLOOKUP($A215,[1]Hugst!$R$5:$W$9,MATCH(ROUNDUP((AG$1)/10,0)*10,[1]Hugst!$R$4:$W$4,0))))</f>
        <v>3178.3139570056187</v>
      </c>
      <c r="AH215">
        <f>IF($C215-AH$1&lt;År1,0,AG214*(1-VLOOKUP($A215,[1]Hugst!$R$5:$W$9,MATCH(ROUNDUP((AH$1)/10,0)*10,[1]Hugst!$R$4:$W$4,0))))</f>
        <v>0</v>
      </c>
      <c r="AI215">
        <f>IF($C215-AI$1&lt;År1,0,AH214*(1-VLOOKUP($A215,[1]Hugst!$R$5:$W$9,MATCH(ROUNDUP((AI$1)/10,0)*10,[1]Hugst!$R$4:$W$4,0))))</f>
        <v>0</v>
      </c>
      <c r="AJ215">
        <f>IF($C215-AJ$1&lt;År1,0,AI214*(1-VLOOKUP($A215,[1]Hugst!$R$5:$W$9,MATCH(ROUNDUP((AJ$1)/10,0)*10,[1]Hugst!$R$4:$W$4,0))))</f>
        <v>0</v>
      </c>
    </row>
    <row r="216" spans="1:36" x14ac:dyDescent="0.25">
      <c r="A216" t="s">
        <v>179</v>
      </c>
      <c r="B216" t="s">
        <v>23</v>
      </c>
      <c r="C216">
        <v>2048</v>
      </c>
      <c r="D216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850.71178298697123</v>
      </c>
      <c r="E216">
        <f t="shared" ca="1" si="4"/>
        <v>128.38901076017646</v>
      </c>
      <c r="F216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4596.3847443644318</v>
      </c>
      <c r="G216">
        <f ca="1">IF($C216-G$1&lt;År1,0,F215*(1-VLOOKUP($A216,[1]Hugst!$R$5:$W$9,MATCH(ROUNDUP((G$1)/10,0)*10,[1]Hugst!$R$4:$W$4,0))))</f>
        <v>4593.9470138769921</v>
      </c>
      <c r="H216">
        <f ca="1">IF($C216-H$1&lt;År1,0,G215*(1-VLOOKUP($A216,[1]Hugst!$R$5:$W$9,MATCH(ROUNDUP((H$1)/10,0)*10,[1]Hugst!$R$4:$W$4,0))))</f>
        <v>4591.5297682534783</v>
      </c>
      <c r="I216">
        <f ca="1">IF($C216-I$1&lt;År1,0,H215*(1-VLOOKUP($A216,[1]Hugst!$R$5:$W$9,MATCH(ROUNDUP((I$1)/10,0)*10,[1]Hugst!$R$4:$W$4,0))))</f>
        <v>4589.1331531208689</v>
      </c>
      <c r="J216">
        <f ca="1">IF($C216-J$1&lt;År1,0,I215*(1-VLOOKUP($A216,[1]Hugst!$R$5:$W$9,MATCH(ROUNDUP((J$1)/10,0)*10,[1]Hugst!$R$4:$W$4,0))))</f>
        <v>4586.7573148762513</v>
      </c>
      <c r="K216">
        <f ca="1">IF($C216-K$1&lt;År1,0,J215*(1-VLOOKUP($A216,[1]Hugst!$R$5:$W$9,MATCH(ROUNDUP((K$1)/10,0)*10,[1]Hugst!$R$4:$W$4,0))))</f>
        <v>4584.4024006903801</v>
      </c>
      <c r="L216">
        <f ca="1">IF($C216-L$1&lt;År1,0,K215*(1-VLOOKUP($A216,[1]Hugst!$R$5:$W$9,MATCH(ROUNDUP((L$1)/10,0)*10,[1]Hugst!$R$4:$W$4,0))))</f>
        <v>4582.0685585111696</v>
      </c>
      <c r="M216">
        <f ca="1">IF($C216-M$1&lt;År1,0,L215*(1-VLOOKUP($A216,[1]Hugst!$R$5:$W$9,MATCH(ROUNDUP((M$1)/10,0)*10,[1]Hugst!$R$4:$W$4,0))))</f>
        <v>4579.7559370680192</v>
      </c>
      <c r="N216">
        <f ca="1">IF($C216-N$1&lt;År1,0,M215*(1-VLOOKUP($A216,[1]Hugst!$R$5:$W$9,MATCH(ROUNDUP((N$1)/10,0)*10,[1]Hugst!$R$4:$W$4,0))))</f>
        <v>4577.4646858753858</v>
      </c>
      <c r="O216">
        <f ca="1">IF($C216-O$1&lt;År1,0,N215*(1-VLOOKUP($A216,[1]Hugst!$R$5:$W$9,MATCH(ROUNDUP((O$1)/10,0)*10,[1]Hugst!$R$4:$W$4,0))))</f>
        <v>4578.0887180917653</v>
      </c>
      <c r="P216">
        <f ca="1">IF($C216-P$1&lt;År1,0,O215*(1-VLOOKUP($A216,[1]Hugst!$R$5:$W$9,MATCH(ROUNDUP((P$1)/10,0)*10,[1]Hugst!$R$4:$W$4,0))))</f>
        <v>4565.5501575077178</v>
      </c>
      <c r="Q216">
        <f ca="1">IF($C216-Q$1&lt;År1,0,P215*(1-VLOOKUP($A216,[1]Hugst!$R$5:$W$9,MATCH(ROUNDUP((Q$1)/10,0)*10,[1]Hugst!$R$4:$W$4,0))))</f>
        <v>4553.0414009409787</v>
      </c>
      <c r="R216">
        <f ca="1">IF($C216-R$1&lt;År1,0,Q215*(1-VLOOKUP($A216,[1]Hugst!$R$5:$W$9,MATCH(ROUNDUP((R$1)/10,0)*10,[1]Hugst!$R$4:$W$4,0))))</f>
        <v>4540.5623893964557</v>
      </c>
      <c r="S216">
        <f ca="1">IF($C216-S$1&lt;År1,0,R215*(1-VLOOKUP($A216,[1]Hugst!$R$5:$W$9,MATCH(ROUNDUP((S$1)/10,0)*10,[1]Hugst!$R$4:$W$4,0))))</f>
        <v>4528.1130640265401</v>
      </c>
      <c r="T216">
        <f ca="1">IF($C216-T$1&lt;År1,0,S215*(1-VLOOKUP($A216,[1]Hugst!$R$5:$W$9,MATCH(ROUNDUP((T$1)/10,0)*10,[1]Hugst!$R$4:$W$4,0))))</f>
        <v>4515.6933661309513</v>
      </c>
      <c r="U216">
        <f ca="1">IF($C216-U$1&lt;År1,0,T215*(1-VLOOKUP($A216,[1]Hugst!$R$5:$W$9,MATCH(ROUNDUP((U$1)/10,0)*10,[1]Hugst!$R$4:$W$4,0))))</f>
        <v>4503.3032371565605</v>
      </c>
      <c r="V216">
        <f ca="1">IF($C216-V$1&lt;År1,0,U215*(1-VLOOKUP($A216,[1]Hugst!$R$5:$W$9,MATCH(ROUNDUP((V$1)/10,0)*10,[1]Hugst!$R$4:$W$4,0))))</f>
        <v>4490.9426186970131</v>
      </c>
      <c r="W216">
        <f ca="1">IF($C216-W$1&lt;År1,0,V215*(1-VLOOKUP($A216,[1]Hugst!$R$5:$W$9,MATCH(ROUNDUP((W$1)/10,0)*10,[1]Hugst!$R$4:$W$4,0))))</f>
        <v>4478.6114524924315</v>
      </c>
      <c r="X216">
        <f ca="1">IF($C216-X$1&lt;År1,0,W215*(1-VLOOKUP($A216,[1]Hugst!$R$5:$W$9,MATCH(ROUNDUP((X$1)/10,0)*10,[1]Hugst!$R$4:$W$4,0))))</f>
        <v>3176.6933836139269</v>
      </c>
      <c r="Y216">
        <f ca="1">IF($C216-Y$1&lt;År1,0,X215*(1-VLOOKUP($A216,[1]Hugst!$R$5:$W$9,MATCH(ROUNDUP((Y$1)/10,0)*10,[1]Hugst!$R$4:$W$4,0))))</f>
        <v>3167.2518127664639</v>
      </c>
      <c r="Z216">
        <f ca="1">IF($C216-Z$1&lt;År1,0,Y215*(1-VLOOKUP($A216,[1]Hugst!$R$5:$W$9,MATCH(ROUNDUP((Z$1)/10,0)*10,[1]Hugst!$R$4:$W$4,0))))</f>
        <v>3167.9835869044255</v>
      </c>
      <c r="AA216">
        <f ca="1">IF($C216-AA$1&lt;År1,0,Z215*(1-VLOOKUP($A216,[1]Hugst!$R$5:$W$9,MATCH(ROUNDUP((AA$1)/10,0)*10,[1]Hugst!$R$4:$W$4,0))))</f>
        <v>3168.7319245199806</v>
      </c>
      <c r="AB216">
        <f ca="1">IF($C216-AB$1&lt;År1,0,AA215*(1-VLOOKUP($A216,[1]Hugst!$R$5:$W$9,MATCH(ROUNDUP((AB$1)/10,0)*10,[1]Hugst!$R$4:$W$4,0))))</f>
        <v>3169.4968717372026</v>
      </c>
      <c r="AC216">
        <f ca="1">IF($C216-AC$1&lt;År1,0,AB215*(1-VLOOKUP($A216,[1]Hugst!$R$5:$W$9,MATCH(ROUNDUP((AC$1)/10,0)*10,[1]Hugst!$R$4:$W$4,0))))</f>
        <v>3170.2784748758531</v>
      </c>
      <c r="AD216">
        <f ca="1">IF($C216-AD$1&lt;År1,0,AC215*(1-VLOOKUP($A216,[1]Hugst!$R$5:$W$9,MATCH(ROUNDUP((AD$1)/10,0)*10,[1]Hugst!$R$4:$W$4,0))))</f>
        <v>3171.076780452162</v>
      </c>
      <c r="AE216">
        <f ca="1">IF($C216-AE$1&lt;År1,0,AD215*(1-VLOOKUP($A216,[1]Hugst!$R$5:$W$9,MATCH(ROUNDUP((AE$1)/10,0)*10,[1]Hugst!$R$4:$W$4,0))))</f>
        <v>3171.8918351795287</v>
      </c>
      <c r="AF216">
        <f ca="1">IF($C216-AF$1&lt;År1,0,AE215*(1-VLOOKUP($A216,[1]Hugst!$R$5:$W$9,MATCH(ROUNDUP((AF$1)/10,0)*10,[1]Hugst!$R$4:$W$4,0))))</f>
        <v>3172.7236859692816</v>
      </c>
      <c r="AG216">
        <f ca="1">IF($C216-AG$1&lt;År1,0,AF215*(1-VLOOKUP($A216,[1]Hugst!$R$5:$W$9,MATCH(ROUNDUP((AG$1)/10,0)*10,[1]Hugst!$R$4:$W$4,0))))</f>
        <v>3173.5723799313428</v>
      </c>
      <c r="AH216">
        <f ca="1">IF($C216-AH$1&lt;År1,0,AG215*(1-VLOOKUP($A216,[1]Hugst!$R$5:$W$9,MATCH(ROUNDUP((AH$1)/10,0)*10,[1]Hugst!$R$4:$W$4,0))))</f>
        <v>3174.437964375124</v>
      </c>
      <c r="AI216">
        <f>IF($C216-AI$1&lt;År1,0,AH215*(1-VLOOKUP($A216,[1]Hugst!$R$5:$W$9,MATCH(ROUNDUP((AI$1)/10,0)*10,[1]Hugst!$R$4:$W$4,0))))</f>
        <v>0</v>
      </c>
      <c r="AJ216">
        <f>IF($C216-AJ$1&lt;År1,0,AI215*(1-VLOOKUP($A216,[1]Hugst!$R$5:$W$9,MATCH(ROUNDUP((AJ$1)/10,0)*10,[1]Hugst!$R$4:$W$4,0))))</f>
        <v>0</v>
      </c>
    </row>
    <row r="217" spans="1:36" x14ac:dyDescent="0.25">
      <c r="A217" t="s">
        <v>179</v>
      </c>
      <c r="B217" t="s">
        <v>23</v>
      </c>
      <c r="C217">
        <v>2049</v>
      </c>
      <c r="D217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846.45822407204105</v>
      </c>
      <c r="E217">
        <f t="shared" ca="1" si="4"/>
        <v>135.10064016490651</v>
      </c>
      <c r="F217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4598.8428148542316</v>
      </c>
      <c r="G217">
        <f ca="1">IF($C217-G$1&lt;År1,0,F216*(1-VLOOKUP($A217,[1]Hugst!$R$5:$W$9,MATCH(ROUNDUP((G$1)/10,0)*10,[1]Hugst!$R$4:$W$4,0))))</f>
        <v>4596.3847443644318</v>
      </c>
      <c r="H217">
        <f ca="1">IF($C217-H$1&lt;År1,0,G216*(1-VLOOKUP($A217,[1]Hugst!$R$5:$W$9,MATCH(ROUNDUP((H$1)/10,0)*10,[1]Hugst!$R$4:$W$4,0))))</f>
        <v>4593.9470138769921</v>
      </c>
      <c r="I217">
        <f ca="1">IF($C217-I$1&lt;År1,0,H216*(1-VLOOKUP($A217,[1]Hugst!$R$5:$W$9,MATCH(ROUNDUP((I$1)/10,0)*10,[1]Hugst!$R$4:$W$4,0))))</f>
        <v>4591.5297682534783</v>
      </c>
      <c r="J217">
        <f ca="1">IF($C217-J$1&lt;År1,0,I216*(1-VLOOKUP($A217,[1]Hugst!$R$5:$W$9,MATCH(ROUNDUP((J$1)/10,0)*10,[1]Hugst!$R$4:$W$4,0))))</f>
        <v>4589.1331531208689</v>
      </c>
      <c r="K217">
        <f ca="1">IF($C217-K$1&lt;År1,0,J216*(1-VLOOKUP($A217,[1]Hugst!$R$5:$W$9,MATCH(ROUNDUP((K$1)/10,0)*10,[1]Hugst!$R$4:$W$4,0))))</f>
        <v>4586.7573148762513</v>
      </c>
      <c r="L217">
        <f ca="1">IF($C217-L$1&lt;År1,0,K216*(1-VLOOKUP($A217,[1]Hugst!$R$5:$W$9,MATCH(ROUNDUP((L$1)/10,0)*10,[1]Hugst!$R$4:$W$4,0))))</f>
        <v>4584.4024006903801</v>
      </c>
      <c r="M217">
        <f ca="1">IF($C217-M$1&lt;År1,0,L216*(1-VLOOKUP($A217,[1]Hugst!$R$5:$W$9,MATCH(ROUNDUP((M$1)/10,0)*10,[1]Hugst!$R$4:$W$4,0))))</f>
        <v>4582.0685585111696</v>
      </c>
      <c r="N217">
        <f ca="1">IF($C217-N$1&lt;År1,0,M216*(1-VLOOKUP($A217,[1]Hugst!$R$5:$W$9,MATCH(ROUNDUP((N$1)/10,0)*10,[1]Hugst!$R$4:$W$4,0))))</f>
        <v>4579.7559370680192</v>
      </c>
      <c r="O217">
        <f ca="1">IF($C217-O$1&lt;År1,0,N216*(1-VLOOKUP($A217,[1]Hugst!$R$5:$W$9,MATCH(ROUNDUP((O$1)/10,0)*10,[1]Hugst!$R$4:$W$4,0))))</f>
        <v>4577.4646858753858</v>
      </c>
      <c r="P217">
        <f ca="1">IF($C217-P$1&lt;År1,0,O216*(1-VLOOKUP($A217,[1]Hugst!$R$5:$W$9,MATCH(ROUNDUP((P$1)/10,0)*10,[1]Hugst!$R$4:$W$4,0))))</f>
        <v>4568.0392550520519</v>
      </c>
      <c r="Q217">
        <f ca="1">IF($C217-Q$1&lt;År1,0,P216*(1-VLOOKUP($A217,[1]Hugst!$R$5:$W$9,MATCH(ROUNDUP((Q$1)/10,0)*10,[1]Hugst!$R$4:$W$4,0))))</f>
        <v>4555.5282181375787</v>
      </c>
      <c r="R217">
        <f ca="1">IF($C217-R$1&lt;År1,0,Q216*(1-VLOOKUP($A217,[1]Hugst!$R$5:$W$9,MATCH(ROUNDUP((R$1)/10,0)*10,[1]Hugst!$R$4:$W$4,0))))</f>
        <v>4543.0469198169621</v>
      </c>
      <c r="S217">
        <f ca="1">IF($C217-S$1&lt;År1,0,R216*(1-VLOOKUP($A217,[1]Hugst!$R$5:$W$9,MATCH(ROUNDUP((S$1)/10,0)*10,[1]Hugst!$R$4:$W$4,0))))</f>
        <v>4530.59530122461</v>
      </c>
      <c r="T217">
        <f ca="1">IF($C217-T$1&lt;År1,0,S216*(1-VLOOKUP($A217,[1]Hugst!$R$5:$W$9,MATCH(ROUNDUP((T$1)/10,0)*10,[1]Hugst!$R$4:$W$4,0))))</f>
        <v>4518.1733036420919</v>
      </c>
      <c r="U217">
        <f ca="1">IF($C217-U$1&lt;År1,0,T216*(1-VLOOKUP($A217,[1]Hugst!$R$5:$W$9,MATCH(ROUNDUP((U$1)/10,0)*10,[1]Hugst!$R$4:$W$4,0))))</f>
        <v>4505.7808684979809</v>
      </c>
      <c r="V217">
        <f ca="1">IF($C217-V$1&lt;År1,0,U216*(1-VLOOKUP($A217,[1]Hugst!$R$5:$W$9,MATCH(ROUNDUP((V$1)/10,0)*10,[1]Hugst!$R$4:$W$4,0))))</f>
        <v>4493.4179373676807</v>
      </c>
      <c r="W217">
        <f ca="1">IF($C217-W$1&lt;År1,0,V216*(1-VLOOKUP($A217,[1]Hugst!$R$5:$W$9,MATCH(ROUNDUP((W$1)/10,0)*10,[1]Hugst!$R$4:$W$4,0))))</f>
        <v>4481.0844519730445</v>
      </c>
      <c r="X217">
        <f ca="1">IF($C217-X$1&lt;År1,0,W216*(1-VLOOKUP($A217,[1]Hugst!$R$5:$W$9,MATCH(ROUNDUP((X$1)/10,0)*10,[1]Hugst!$R$4:$W$4,0))))</f>
        <v>4468.7803541820822</v>
      </c>
      <c r="Y217">
        <f ca="1">IF($C217-Y$1&lt;År1,0,X216*(1-VLOOKUP($A217,[1]Hugst!$R$5:$W$9,MATCH(ROUNDUP((Y$1)/10,0)*10,[1]Hugst!$R$4:$W$4,0))))</f>
        <v>3169.7201542352623</v>
      </c>
      <c r="Z217">
        <f ca="1">IF($C217-Z$1&lt;År1,0,Y216*(1-VLOOKUP($A217,[1]Hugst!$R$5:$W$9,MATCH(ROUNDUP((Z$1)/10,0)*10,[1]Hugst!$R$4:$W$4,0))))</f>
        <v>3163.3893105557731</v>
      </c>
      <c r="AA217">
        <f ca="1">IF($C217-AA$1&lt;År1,0,Z216*(1-VLOOKUP($A217,[1]Hugst!$R$5:$W$9,MATCH(ROUNDUP((AA$1)/10,0)*10,[1]Hugst!$R$4:$W$4,0))))</f>
        <v>3164.1201922862492</v>
      </c>
      <c r="AB217">
        <f ca="1">IF($C217-AB$1&lt;År1,0,AA216*(1-VLOOKUP($A217,[1]Hugst!$R$5:$W$9,MATCH(ROUNDUP((AB$1)/10,0)*10,[1]Hugst!$R$4:$W$4,0))))</f>
        <v>3164.8676172949563</v>
      </c>
      <c r="AC217">
        <f ca="1">IF($C217-AC$1&lt;År1,0,AB216*(1-VLOOKUP($A217,[1]Hugst!$R$5:$W$9,MATCH(ROUNDUP((AC$1)/10,0)*10,[1]Hugst!$R$4:$W$4,0))))</f>
        <v>3165.6316316497182</v>
      </c>
      <c r="AD217">
        <f ca="1">IF($C217-AD$1&lt;År1,0,AC216*(1-VLOOKUP($A217,[1]Hugst!$R$5:$W$9,MATCH(ROUNDUP((AD$1)/10,0)*10,[1]Hugst!$R$4:$W$4,0))))</f>
        <v>3166.4122816138092</v>
      </c>
      <c r="AE217">
        <f ca="1">IF($C217-AE$1&lt;År1,0,AD216*(1-VLOOKUP($A217,[1]Hugst!$R$5:$W$9,MATCH(ROUNDUP((AE$1)/10,0)*10,[1]Hugst!$R$4:$W$4,0))))</f>
        <v>3167.2096136467326</v>
      </c>
      <c r="AF217">
        <f ca="1">IF($C217-AF$1&lt;År1,0,AE216*(1-VLOOKUP($A217,[1]Hugst!$R$5:$W$9,MATCH(ROUNDUP((AF$1)/10,0)*10,[1]Hugst!$R$4:$W$4,0))))</f>
        <v>3168.0236744049193</v>
      </c>
      <c r="AG217">
        <f ca="1">IF($C217-AG$1&lt;År1,0,AF216*(1-VLOOKUP($A217,[1]Hugst!$R$5:$W$9,MATCH(ROUNDUP((AG$1)/10,0)*10,[1]Hugst!$R$4:$W$4,0))))</f>
        <v>3168.8545107424898</v>
      </c>
      <c r="AH217">
        <f ca="1">IF($C217-AH$1&lt;År1,0,AG216*(1-VLOOKUP($A217,[1]Hugst!$R$5:$W$9,MATCH(ROUNDUP((AH$1)/10,0)*10,[1]Hugst!$R$4:$W$4,0))))</f>
        <v>3169.7021697119144</v>
      </c>
      <c r="AI217">
        <f ca="1">IF($C217-AI$1&lt;År1,0,AH216*(1-VLOOKUP($A217,[1]Hugst!$R$5:$W$9,MATCH(ROUNDUP((AI$1)/10,0)*10,[1]Hugst!$R$4:$W$4,0))))</f>
        <v>3170.5666985649104</v>
      </c>
      <c r="AJ217">
        <f>IF($C217-AJ$1&lt;År1,0,AI216*(1-VLOOKUP($A217,[1]Hugst!$R$5:$W$9,MATCH(ROUNDUP((AJ$1)/10,0)*10,[1]Hugst!$R$4:$W$4,0))))</f>
        <v>0</v>
      </c>
    </row>
    <row r="218" spans="1:36" x14ac:dyDescent="0.25">
      <c r="A218" t="s">
        <v>179</v>
      </c>
      <c r="B218" t="s">
        <v>23</v>
      </c>
      <c r="C218">
        <v>2050</v>
      </c>
      <c r="D21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842.22593295169281</v>
      </c>
      <c r="E218">
        <f t="shared" ca="1" si="4"/>
        <v>140.05754045458161</v>
      </c>
      <c r="F21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4599.5674240235585</v>
      </c>
      <c r="G218">
        <f ca="1">IF($C218-G$1&lt;År1,0,F217*(1-VLOOKUP($A218,[1]Hugst!$R$5:$W$9,MATCH(ROUNDUP((G$1)/10,0)*10,[1]Hugst!$R$4:$W$4,0))))</f>
        <v>4598.8428148542316</v>
      </c>
      <c r="H218">
        <f ca="1">IF($C218-H$1&lt;År1,0,G217*(1-VLOOKUP($A218,[1]Hugst!$R$5:$W$9,MATCH(ROUNDUP((H$1)/10,0)*10,[1]Hugst!$R$4:$W$4,0))))</f>
        <v>4596.3847443644318</v>
      </c>
      <c r="I218">
        <f ca="1">IF($C218-I$1&lt;År1,0,H217*(1-VLOOKUP($A218,[1]Hugst!$R$5:$W$9,MATCH(ROUNDUP((I$1)/10,0)*10,[1]Hugst!$R$4:$W$4,0))))</f>
        <v>4593.9470138769921</v>
      </c>
      <c r="J218">
        <f ca="1">IF($C218-J$1&lt;År1,0,I217*(1-VLOOKUP($A218,[1]Hugst!$R$5:$W$9,MATCH(ROUNDUP((J$1)/10,0)*10,[1]Hugst!$R$4:$W$4,0))))</f>
        <v>4591.5297682534783</v>
      </c>
      <c r="K218">
        <f ca="1">IF($C218-K$1&lt;År1,0,J217*(1-VLOOKUP($A218,[1]Hugst!$R$5:$W$9,MATCH(ROUNDUP((K$1)/10,0)*10,[1]Hugst!$R$4:$W$4,0))))</f>
        <v>4589.1331531208689</v>
      </c>
      <c r="L218">
        <f ca="1">IF($C218-L$1&lt;År1,0,K217*(1-VLOOKUP($A218,[1]Hugst!$R$5:$W$9,MATCH(ROUNDUP((L$1)/10,0)*10,[1]Hugst!$R$4:$W$4,0))))</f>
        <v>4586.7573148762513</v>
      </c>
      <c r="M218">
        <f ca="1">IF($C218-M$1&lt;År1,0,L217*(1-VLOOKUP($A218,[1]Hugst!$R$5:$W$9,MATCH(ROUNDUP((M$1)/10,0)*10,[1]Hugst!$R$4:$W$4,0))))</f>
        <v>4584.4024006903801</v>
      </c>
      <c r="N218">
        <f ca="1">IF($C218-N$1&lt;År1,0,M217*(1-VLOOKUP($A218,[1]Hugst!$R$5:$W$9,MATCH(ROUNDUP((N$1)/10,0)*10,[1]Hugst!$R$4:$W$4,0))))</f>
        <v>4582.0685585111696</v>
      </c>
      <c r="O218">
        <f ca="1">IF($C218-O$1&lt;År1,0,N217*(1-VLOOKUP($A218,[1]Hugst!$R$5:$W$9,MATCH(ROUNDUP((O$1)/10,0)*10,[1]Hugst!$R$4:$W$4,0))))</f>
        <v>4579.7559370680192</v>
      </c>
      <c r="P218">
        <f ca="1">IF($C218-P$1&lt;År1,0,O217*(1-VLOOKUP($A218,[1]Hugst!$R$5:$W$9,MATCH(ROUNDUP((P$1)/10,0)*10,[1]Hugst!$R$4:$W$4,0))))</f>
        <v>4567.4165926624883</v>
      </c>
      <c r="Q218">
        <f ca="1">IF($C218-Q$1&lt;År1,0,P217*(1-VLOOKUP($A218,[1]Hugst!$R$5:$W$9,MATCH(ROUNDUP((Q$1)/10,0)*10,[1]Hugst!$R$4:$W$4,0))))</f>
        <v>4558.0118518092549</v>
      </c>
      <c r="R218">
        <f ca="1">IF($C218-R$1&lt;År1,0,Q217*(1-VLOOKUP($A218,[1]Hugst!$R$5:$W$9,MATCH(ROUNDUP((R$1)/10,0)*10,[1]Hugst!$R$4:$W$4,0))))</f>
        <v>4545.5282781465448</v>
      </c>
      <c r="S218">
        <f ca="1">IF($C218-S$1&lt;År1,0,R217*(1-VLOOKUP($A218,[1]Hugst!$R$5:$W$9,MATCH(ROUNDUP((S$1)/10,0)*10,[1]Hugst!$R$4:$W$4,0))))</f>
        <v>4533.0743777978514</v>
      </c>
      <c r="T218">
        <f ca="1">IF($C218-T$1&lt;År1,0,S217*(1-VLOOKUP($A218,[1]Hugst!$R$5:$W$9,MATCH(ROUNDUP((T$1)/10,0)*10,[1]Hugst!$R$4:$W$4,0))))</f>
        <v>4520.6500920267999</v>
      </c>
      <c r="U218">
        <f ca="1">IF($C218-U$1&lt;År1,0,T217*(1-VLOOKUP($A218,[1]Hugst!$R$5:$W$9,MATCH(ROUNDUP((U$1)/10,0)*10,[1]Hugst!$R$4:$W$4,0))))</f>
        <v>4508.2553622438536</v>
      </c>
      <c r="V218">
        <f ca="1">IF($C218-V$1&lt;År1,0,U217*(1-VLOOKUP($A218,[1]Hugst!$R$5:$W$9,MATCH(ROUNDUP((V$1)/10,0)*10,[1]Hugst!$R$4:$W$4,0))))</f>
        <v>4495.8901300061561</v>
      </c>
      <c r="W218">
        <f ca="1">IF($C218-W$1&lt;År1,0,V217*(1-VLOOKUP($A218,[1]Hugst!$R$5:$W$9,MATCH(ROUNDUP((W$1)/10,0)*10,[1]Hugst!$R$4:$W$4,0))))</f>
        <v>4483.5543370173609</v>
      </c>
      <c r="X218">
        <f ca="1">IF($C218-X$1&lt;År1,0,W217*(1-VLOOKUP($A218,[1]Hugst!$R$5:$W$9,MATCH(ROUNDUP((X$1)/10,0)*10,[1]Hugst!$R$4:$W$4,0))))</f>
        <v>4471.2479251272498</v>
      </c>
      <c r="Y218">
        <f ca="1">IF($C218-Y$1&lt;År1,0,X217*(1-VLOOKUP($A218,[1]Hugst!$R$5:$W$9,MATCH(ROUNDUP((Y$1)/10,0)*10,[1]Hugst!$R$4:$W$4,0))))</f>
        <v>4458.9708363314385</v>
      </c>
      <c r="Z218">
        <f ca="1">IF($C218-Z$1&lt;År1,0,Y217*(1-VLOOKUP($A218,[1]Hugst!$R$5:$W$9,MATCH(ROUNDUP((Z$1)/10,0)*10,[1]Hugst!$R$4:$W$4,0))))</f>
        <v>3165.8546418520486</v>
      </c>
      <c r="AA218">
        <f ca="1">IF($C218-AA$1&lt;År1,0,Z217*(1-VLOOKUP($A218,[1]Hugst!$R$5:$W$9,MATCH(ROUNDUP((AA$1)/10,0)*10,[1]Hugst!$R$4:$W$4,0))))</f>
        <v>3159.5315187136321</v>
      </c>
      <c r="AB218">
        <f ca="1">IF($C218-AB$1&lt;År1,0,AA217*(1-VLOOKUP($A218,[1]Hugst!$R$5:$W$9,MATCH(ROUNDUP((AB$1)/10,0)*10,[1]Hugst!$R$4:$W$4,0))))</f>
        <v>3160.2615091249245</v>
      </c>
      <c r="AC218">
        <f ca="1">IF($C218-AC$1&lt;År1,0,AB217*(1-VLOOKUP($A218,[1]Hugst!$R$5:$W$9,MATCH(ROUNDUP((AC$1)/10,0)*10,[1]Hugst!$R$4:$W$4,0))))</f>
        <v>3161.0080226397185</v>
      </c>
      <c r="AD218">
        <f ca="1">IF($C218-AD$1&lt;År1,0,AC217*(1-VLOOKUP($A218,[1]Hugst!$R$5:$W$9,MATCH(ROUNDUP((AD$1)/10,0)*10,[1]Hugst!$R$4:$W$4,0))))</f>
        <v>3161.7711052696577</v>
      </c>
      <c r="AE218">
        <f ca="1">IF($C218-AE$1&lt;År1,0,AD217*(1-VLOOKUP($A218,[1]Hugst!$R$5:$W$9,MATCH(ROUNDUP((AE$1)/10,0)*10,[1]Hugst!$R$4:$W$4,0))))</f>
        <v>3162.5508032215971</v>
      </c>
      <c r="AF218">
        <f ca="1">IF($C218-AF$1&lt;År1,0,AE217*(1-VLOOKUP($A218,[1]Hugst!$R$5:$W$9,MATCH(ROUNDUP((AF$1)/10,0)*10,[1]Hugst!$R$4:$W$4,0))))</f>
        <v>3163.347162898383</v>
      </c>
      <c r="AG218">
        <f ca="1">IF($C218-AG$1&lt;År1,0,AF217*(1-VLOOKUP($A218,[1]Hugst!$R$5:$W$9,MATCH(ROUNDUP((AG$1)/10,0)*10,[1]Hugst!$R$4:$W$4,0))))</f>
        <v>3164.1602308995475</v>
      </c>
      <c r="AH218">
        <f ca="1">IF($C218-AH$1&lt;År1,0,AG217*(1-VLOOKUP($A218,[1]Hugst!$R$5:$W$9,MATCH(ROUNDUP((AH$1)/10,0)*10,[1]Hugst!$R$4:$W$4,0))))</f>
        <v>3164.9900540220719</v>
      </c>
      <c r="AI218">
        <f ca="1">IF($C218-AI$1&lt;År1,0,AH217*(1-VLOOKUP($A218,[1]Hugst!$R$5:$W$9,MATCH(ROUNDUP((AI$1)/10,0)*10,[1]Hugst!$R$4:$W$4,0))))</f>
        <v>3165.8366792610464</v>
      </c>
      <c r="AJ218">
        <f ca="1">IF($C218-AJ$1&lt;År1,0,AI217*(1-VLOOKUP($A218,[1]Hugst!$R$5:$W$9,MATCH(ROUNDUP((AJ$1)/10,0)*10,[1]Hugst!$R$4:$W$4,0))))</f>
        <v>3168.4400989500195</v>
      </c>
    </row>
    <row r="219" spans="1:36" x14ac:dyDescent="0.25">
      <c r="A219" t="s">
        <v>179</v>
      </c>
      <c r="B219" t="s">
        <v>24</v>
      </c>
      <c r="C219">
        <v>2020</v>
      </c>
      <c r="D219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286.52732634810457</v>
      </c>
      <c r="E219">
        <f>IF(C219=2020,SUM(G219:AJ219),SUM(F218:AJ218)-SUM(G219:AJ219))</f>
        <v>0</v>
      </c>
      <c r="F21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636.13450928862039</v>
      </c>
      <c r="G219">
        <f>IF($C219-G$1&lt;År1,0,F218*(1-VLOOKUP($A219,[1]Hugst!$R$5:$W$9,MATCH(ROUNDUP((G$1)/10,0)*10,[1]Hugst!$R$4:$W$4,0))))</f>
        <v>0</v>
      </c>
      <c r="H219">
        <f>IF($C219-H$1&lt;År1,0,G218*(1-VLOOKUP($A219,[1]Hugst!$R$5:$W$9,MATCH(ROUNDUP((H$1)/10,0)*10,[1]Hugst!$R$4:$W$4,0))))</f>
        <v>0</v>
      </c>
      <c r="I219">
        <f>IF($C219-I$1&lt;År1,0,H218*(1-VLOOKUP($A219,[1]Hugst!$R$5:$W$9,MATCH(ROUNDUP((I$1)/10,0)*10,[1]Hugst!$R$4:$W$4,0))))</f>
        <v>0</v>
      </c>
      <c r="J219">
        <f>IF($C219-J$1&lt;År1,0,I218*(1-VLOOKUP($A219,[1]Hugst!$R$5:$W$9,MATCH(ROUNDUP((J$1)/10,0)*10,[1]Hugst!$R$4:$W$4,0))))</f>
        <v>0</v>
      </c>
      <c r="K219">
        <f>IF($C219-K$1&lt;År1,0,J218*(1-VLOOKUP($A219,[1]Hugst!$R$5:$W$9,MATCH(ROUNDUP((K$1)/10,0)*10,[1]Hugst!$R$4:$W$4,0))))</f>
        <v>0</v>
      </c>
      <c r="L219">
        <f>IF($C219-L$1&lt;År1,0,K218*(1-VLOOKUP($A219,[1]Hugst!$R$5:$W$9,MATCH(ROUNDUP((L$1)/10,0)*10,[1]Hugst!$R$4:$W$4,0))))</f>
        <v>0</v>
      </c>
      <c r="M219">
        <f>IF($C219-M$1&lt;År1,0,L218*(1-VLOOKUP($A219,[1]Hugst!$R$5:$W$9,MATCH(ROUNDUP((M$1)/10,0)*10,[1]Hugst!$R$4:$W$4,0))))</f>
        <v>0</v>
      </c>
      <c r="N219">
        <f>IF($C219-N$1&lt;År1,0,M218*(1-VLOOKUP($A219,[1]Hugst!$R$5:$W$9,MATCH(ROUNDUP((N$1)/10,0)*10,[1]Hugst!$R$4:$W$4,0))))</f>
        <v>0</v>
      </c>
      <c r="O219">
        <f>IF($C219-O$1&lt;År1,0,N218*(1-VLOOKUP($A219,[1]Hugst!$R$5:$W$9,MATCH(ROUNDUP((O$1)/10,0)*10,[1]Hugst!$R$4:$W$4,0))))</f>
        <v>0</v>
      </c>
      <c r="P219">
        <f>IF($C219-P$1&lt;År1,0,O218*(1-VLOOKUP($A219,[1]Hugst!$R$5:$W$9,MATCH(ROUNDUP((P$1)/10,0)*10,[1]Hugst!$R$4:$W$4,0))))</f>
        <v>0</v>
      </c>
      <c r="Q219">
        <f>IF($C219-Q$1&lt;År1,0,P218*(1-VLOOKUP($A219,[1]Hugst!$R$5:$W$9,MATCH(ROUNDUP((Q$1)/10,0)*10,[1]Hugst!$R$4:$W$4,0))))</f>
        <v>0</v>
      </c>
      <c r="R219">
        <f>IF($C219-R$1&lt;År1,0,Q218*(1-VLOOKUP($A219,[1]Hugst!$R$5:$W$9,MATCH(ROUNDUP((R$1)/10,0)*10,[1]Hugst!$R$4:$W$4,0))))</f>
        <v>0</v>
      </c>
      <c r="S219">
        <f>IF($C219-S$1&lt;År1,0,R218*(1-VLOOKUP($A219,[1]Hugst!$R$5:$W$9,MATCH(ROUNDUP((S$1)/10,0)*10,[1]Hugst!$R$4:$W$4,0))))</f>
        <v>0</v>
      </c>
      <c r="T219">
        <f>IF($C219-T$1&lt;År1,0,S218*(1-VLOOKUP($A219,[1]Hugst!$R$5:$W$9,MATCH(ROUNDUP((T$1)/10,0)*10,[1]Hugst!$R$4:$W$4,0))))</f>
        <v>0</v>
      </c>
      <c r="U219">
        <f>IF($C219-U$1&lt;År1,0,T218*(1-VLOOKUP($A219,[1]Hugst!$R$5:$W$9,MATCH(ROUNDUP((U$1)/10,0)*10,[1]Hugst!$R$4:$W$4,0))))</f>
        <v>0</v>
      </c>
      <c r="V219">
        <f>IF($C219-V$1&lt;År1,0,U218*(1-VLOOKUP($A219,[1]Hugst!$R$5:$W$9,MATCH(ROUNDUP((V$1)/10,0)*10,[1]Hugst!$R$4:$W$4,0))))</f>
        <v>0</v>
      </c>
      <c r="W219">
        <f>IF($C219-W$1&lt;År1,0,V218*(1-VLOOKUP($A219,[1]Hugst!$R$5:$W$9,MATCH(ROUNDUP((W$1)/10,0)*10,[1]Hugst!$R$4:$W$4,0))))</f>
        <v>0</v>
      </c>
      <c r="X219">
        <f>IF($C219-X$1&lt;År1,0,W218*(1-VLOOKUP($A219,[1]Hugst!$R$5:$W$9,MATCH(ROUNDUP((X$1)/10,0)*10,[1]Hugst!$R$4:$W$4,0))))</f>
        <v>0</v>
      </c>
      <c r="Y219">
        <f>IF($C219-Y$1&lt;År1,0,X218*(1-VLOOKUP($A219,[1]Hugst!$R$5:$W$9,MATCH(ROUNDUP((Y$1)/10,0)*10,[1]Hugst!$R$4:$W$4,0))))</f>
        <v>0</v>
      </c>
      <c r="Z219">
        <f>IF($C219-Z$1&lt;År1,0,Y218*(1-VLOOKUP($A219,[1]Hugst!$R$5:$W$9,MATCH(ROUNDUP((Z$1)/10,0)*10,[1]Hugst!$R$4:$W$4,0))))</f>
        <v>0</v>
      </c>
      <c r="AA219">
        <f>IF($C219-AA$1&lt;År1,0,Z218*(1-VLOOKUP($A219,[1]Hugst!$R$5:$W$9,MATCH(ROUNDUP((AA$1)/10,0)*10,[1]Hugst!$R$4:$W$4,0))))</f>
        <v>0</v>
      </c>
      <c r="AB219">
        <f>IF($C219-AB$1&lt;År1,0,AA218*(1-VLOOKUP($A219,[1]Hugst!$R$5:$W$9,MATCH(ROUNDUP((AB$1)/10,0)*10,[1]Hugst!$R$4:$W$4,0))))</f>
        <v>0</v>
      </c>
      <c r="AC219">
        <f>IF($C219-AC$1&lt;År1,0,AB218*(1-VLOOKUP($A219,[1]Hugst!$R$5:$W$9,MATCH(ROUNDUP((AC$1)/10,0)*10,[1]Hugst!$R$4:$W$4,0))))</f>
        <v>0</v>
      </c>
      <c r="AD219">
        <f>IF($C219-AD$1&lt;År1,0,AC218*(1-VLOOKUP($A219,[1]Hugst!$R$5:$W$9,MATCH(ROUNDUP((AD$1)/10,0)*10,[1]Hugst!$R$4:$W$4,0))))</f>
        <v>0</v>
      </c>
      <c r="AE219">
        <f>IF($C219-AE$1&lt;År1,0,AD218*(1-VLOOKUP($A219,[1]Hugst!$R$5:$W$9,MATCH(ROUNDUP((AE$1)/10,0)*10,[1]Hugst!$R$4:$W$4,0))))</f>
        <v>0</v>
      </c>
      <c r="AF219">
        <f>IF($C219-AF$1&lt;År1,0,AE218*(1-VLOOKUP($A219,[1]Hugst!$R$5:$W$9,MATCH(ROUNDUP((AF$1)/10,0)*10,[1]Hugst!$R$4:$W$4,0))))</f>
        <v>0</v>
      </c>
      <c r="AG219">
        <f>IF($C219-AG$1&lt;År1,0,AF218*(1-VLOOKUP($A219,[1]Hugst!$R$5:$W$9,MATCH(ROUNDUP((AG$1)/10,0)*10,[1]Hugst!$R$4:$W$4,0))))</f>
        <v>0</v>
      </c>
      <c r="AH219">
        <f>IF($C219-AH$1&lt;År1,0,AG218*(1-VLOOKUP($A219,[1]Hugst!$R$5:$W$9,MATCH(ROUNDUP((AH$1)/10,0)*10,[1]Hugst!$R$4:$W$4,0))))</f>
        <v>0</v>
      </c>
      <c r="AI219">
        <f>IF($C219-AI$1&lt;År1,0,AH218*(1-VLOOKUP($A219,[1]Hugst!$R$5:$W$9,MATCH(ROUNDUP((AI$1)/10,0)*10,[1]Hugst!$R$4:$W$4,0))))</f>
        <v>0</v>
      </c>
      <c r="AJ219">
        <f>IF($C219-AJ$1&lt;År1,0,AI218*(1-VLOOKUP($A219,[1]Hugst!$R$5:$W$9,MATCH(ROUNDUP((AJ$1)/10,0)*10,[1]Hugst!$R$4:$W$4,0))))</f>
        <v>0</v>
      </c>
    </row>
    <row r="220" spans="1:36" x14ac:dyDescent="0.25">
      <c r="A220" t="s">
        <v>179</v>
      </c>
      <c r="B220" t="s">
        <v>24</v>
      </c>
      <c r="C220">
        <v>2021</v>
      </c>
      <c r="D220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285.09468971636375</v>
      </c>
      <c r="E220">
        <f t="shared" ref="E220:E248" ca="1" si="5">IF(C220=2020,SUM(G220:AJ220),SUM(F219:AJ219)-SUM(G220:AJ220))</f>
        <v>0</v>
      </c>
      <c r="F220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634.70187265687969</v>
      </c>
      <c r="G220">
        <f ca="1">IF($C220-G$1&lt;År1,0,F219*(1-VLOOKUP($A220,[1]Hugst!$R$5:$W$9,MATCH(ROUNDUP((G$1)/10,0)*10,[1]Hugst!$R$4:$W$4,0))))</f>
        <v>636.13450928862039</v>
      </c>
      <c r="H220">
        <f>IF($C220-H$1&lt;År1,0,G219*(1-VLOOKUP($A220,[1]Hugst!$R$5:$W$9,MATCH(ROUNDUP((H$1)/10,0)*10,[1]Hugst!$R$4:$W$4,0))))</f>
        <v>0</v>
      </c>
      <c r="I220">
        <f>IF($C220-I$1&lt;År1,0,H219*(1-VLOOKUP($A220,[1]Hugst!$R$5:$W$9,MATCH(ROUNDUP((I$1)/10,0)*10,[1]Hugst!$R$4:$W$4,0))))</f>
        <v>0</v>
      </c>
      <c r="J220">
        <f>IF($C220-J$1&lt;År1,0,I219*(1-VLOOKUP($A220,[1]Hugst!$R$5:$W$9,MATCH(ROUNDUP((J$1)/10,0)*10,[1]Hugst!$R$4:$W$4,0))))</f>
        <v>0</v>
      </c>
      <c r="K220">
        <f>IF($C220-K$1&lt;År1,0,J219*(1-VLOOKUP($A220,[1]Hugst!$R$5:$W$9,MATCH(ROUNDUP((K$1)/10,0)*10,[1]Hugst!$R$4:$W$4,0))))</f>
        <v>0</v>
      </c>
      <c r="L220">
        <f>IF($C220-L$1&lt;År1,0,K219*(1-VLOOKUP($A220,[1]Hugst!$R$5:$W$9,MATCH(ROUNDUP((L$1)/10,0)*10,[1]Hugst!$R$4:$W$4,0))))</f>
        <v>0</v>
      </c>
      <c r="M220">
        <f>IF($C220-M$1&lt;År1,0,L219*(1-VLOOKUP($A220,[1]Hugst!$R$5:$W$9,MATCH(ROUNDUP((M$1)/10,0)*10,[1]Hugst!$R$4:$W$4,0))))</f>
        <v>0</v>
      </c>
      <c r="N220">
        <f>IF($C220-N$1&lt;År1,0,M219*(1-VLOOKUP($A220,[1]Hugst!$R$5:$W$9,MATCH(ROUNDUP((N$1)/10,0)*10,[1]Hugst!$R$4:$W$4,0))))</f>
        <v>0</v>
      </c>
      <c r="O220">
        <f>IF($C220-O$1&lt;År1,0,N219*(1-VLOOKUP($A220,[1]Hugst!$R$5:$W$9,MATCH(ROUNDUP((O$1)/10,0)*10,[1]Hugst!$R$4:$W$4,0))))</f>
        <v>0</v>
      </c>
      <c r="P220">
        <f>IF($C220-P$1&lt;År1,0,O219*(1-VLOOKUP($A220,[1]Hugst!$R$5:$W$9,MATCH(ROUNDUP((P$1)/10,0)*10,[1]Hugst!$R$4:$W$4,0))))</f>
        <v>0</v>
      </c>
      <c r="Q220">
        <f>IF($C220-Q$1&lt;År1,0,P219*(1-VLOOKUP($A220,[1]Hugst!$R$5:$W$9,MATCH(ROUNDUP((Q$1)/10,0)*10,[1]Hugst!$R$4:$W$4,0))))</f>
        <v>0</v>
      </c>
      <c r="R220">
        <f>IF($C220-R$1&lt;År1,0,Q219*(1-VLOOKUP($A220,[1]Hugst!$R$5:$W$9,MATCH(ROUNDUP((R$1)/10,0)*10,[1]Hugst!$R$4:$W$4,0))))</f>
        <v>0</v>
      </c>
      <c r="S220">
        <f>IF($C220-S$1&lt;År1,0,R219*(1-VLOOKUP($A220,[1]Hugst!$R$5:$W$9,MATCH(ROUNDUP((S$1)/10,0)*10,[1]Hugst!$R$4:$W$4,0))))</f>
        <v>0</v>
      </c>
      <c r="T220">
        <f>IF($C220-T$1&lt;År1,0,S219*(1-VLOOKUP($A220,[1]Hugst!$R$5:$W$9,MATCH(ROUNDUP((T$1)/10,0)*10,[1]Hugst!$R$4:$W$4,0))))</f>
        <v>0</v>
      </c>
      <c r="U220">
        <f>IF($C220-U$1&lt;År1,0,T219*(1-VLOOKUP($A220,[1]Hugst!$R$5:$W$9,MATCH(ROUNDUP((U$1)/10,0)*10,[1]Hugst!$R$4:$W$4,0))))</f>
        <v>0</v>
      </c>
      <c r="V220">
        <f>IF($C220-V$1&lt;År1,0,U219*(1-VLOOKUP($A220,[1]Hugst!$R$5:$W$9,MATCH(ROUNDUP((V$1)/10,0)*10,[1]Hugst!$R$4:$W$4,0))))</f>
        <v>0</v>
      </c>
      <c r="W220">
        <f>IF($C220-W$1&lt;År1,0,V219*(1-VLOOKUP($A220,[1]Hugst!$R$5:$W$9,MATCH(ROUNDUP((W$1)/10,0)*10,[1]Hugst!$R$4:$W$4,0))))</f>
        <v>0</v>
      </c>
      <c r="X220">
        <f>IF($C220-X$1&lt;År1,0,W219*(1-VLOOKUP($A220,[1]Hugst!$R$5:$W$9,MATCH(ROUNDUP((X$1)/10,0)*10,[1]Hugst!$R$4:$W$4,0))))</f>
        <v>0</v>
      </c>
      <c r="Y220">
        <f>IF($C220-Y$1&lt;År1,0,X219*(1-VLOOKUP($A220,[1]Hugst!$R$5:$W$9,MATCH(ROUNDUP((Y$1)/10,0)*10,[1]Hugst!$R$4:$W$4,0))))</f>
        <v>0</v>
      </c>
      <c r="Z220">
        <f>IF($C220-Z$1&lt;År1,0,Y219*(1-VLOOKUP($A220,[1]Hugst!$R$5:$W$9,MATCH(ROUNDUP((Z$1)/10,0)*10,[1]Hugst!$R$4:$W$4,0))))</f>
        <v>0</v>
      </c>
      <c r="AA220">
        <f>IF($C220-AA$1&lt;År1,0,Z219*(1-VLOOKUP($A220,[1]Hugst!$R$5:$W$9,MATCH(ROUNDUP((AA$1)/10,0)*10,[1]Hugst!$R$4:$W$4,0))))</f>
        <v>0</v>
      </c>
      <c r="AB220">
        <f>IF($C220-AB$1&lt;År1,0,AA219*(1-VLOOKUP($A220,[1]Hugst!$R$5:$W$9,MATCH(ROUNDUP((AB$1)/10,0)*10,[1]Hugst!$R$4:$W$4,0))))</f>
        <v>0</v>
      </c>
      <c r="AC220">
        <f>IF($C220-AC$1&lt;År1,0,AB219*(1-VLOOKUP($A220,[1]Hugst!$R$5:$W$9,MATCH(ROUNDUP((AC$1)/10,0)*10,[1]Hugst!$R$4:$W$4,0))))</f>
        <v>0</v>
      </c>
      <c r="AD220">
        <f>IF($C220-AD$1&lt;År1,0,AC219*(1-VLOOKUP($A220,[1]Hugst!$R$5:$W$9,MATCH(ROUNDUP((AD$1)/10,0)*10,[1]Hugst!$R$4:$W$4,0))))</f>
        <v>0</v>
      </c>
      <c r="AE220">
        <f>IF($C220-AE$1&lt;År1,0,AD219*(1-VLOOKUP($A220,[1]Hugst!$R$5:$W$9,MATCH(ROUNDUP((AE$1)/10,0)*10,[1]Hugst!$R$4:$W$4,0))))</f>
        <v>0</v>
      </c>
      <c r="AF220">
        <f>IF($C220-AF$1&lt;År1,0,AE219*(1-VLOOKUP($A220,[1]Hugst!$R$5:$W$9,MATCH(ROUNDUP((AF$1)/10,0)*10,[1]Hugst!$R$4:$W$4,0))))</f>
        <v>0</v>
      </c>
      <c r="AG220">
        <f>IF($C220-AG$1&lt;År1,0,AF219*(1-VLOOKUP($A220,[1]Hugst!$R$5:$W$9,MATCH(ROUNDUP((AG$1)/10,0)*10,[1]Hugst!$R$4:$W$4,0))))</f>
        <v>0</v>
      </c>
      <c r="AH220">
        <f>IF($C220-AH$1&lt;År1,0,AG219*(1-VLOOKUP($A220,[1]Hugst!$R$5:$W$9,MATCH(ROUNDUP((AH$1)/10,0)*10,[1]Hugst!$R$4:$W$4,0))))</f>
        <v>0</v>
      </c>
      <c r="AI220">
        <f>IF($C220-AI$1&lt;År1,0,AH219*(1-VLOOKUP($A220,[1]Hugst!$R$5:$W$9,MATCH(ROUNDUP((AI$1)/10,0)*10,[1]Hugst!$R$4:$W$4,0))))</f>
        <v>0</v>
      </c>
      <c r="AJ220">
        <f>IF($C220-AJ$1&lt;År1,0,AI219*(1-VLOOKUP($A220,[1]Hugst!$R$5:$W$9,MATCH(ROUNDUP((AJ$1)/10,0)*10,[1]Hugst!$R$4:$W$4,0))))</f>
        <v>0</v>
      </c>
    </row>
    <row r="221" spans="1:36" x14ac:dyDescent="0.25">
      <c r="A221" t="s">
        <v>179</v>
      </c>
      <c r="B221" t="s">
        <v>24</v>
      </c>
      <c r="C221">
        <v>2022</v>
      </c>
      <c r="D221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283.66921626778276</v>
      </c>
      <c r="E221">
        <f t="shared" ca="1" si="5"/>
        <v>0</v>
      </c>
      <c r="F221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633.2763992082987</v>
      </c>
      <c r="G221">
        <f ca="1">IF($C221-G$1&lt;År1,0,F220*(1-VLOOKUP($A221,[1]Hugst!$R$5:$W$9,MATCH(ROUNDUP((G$1)/10,0)*10,[1]Hugst!$R$4:$W$4,0))))</f>
        <v>634.70187265687969</v>
      </c>
      <c r="H221">
        <f ca="1">IF($C221-H$1&lt;År1,0,G220*(1-VLOOKUP($A221,[1]Hugst!$R$5:$W$9,MATCH(ROUNDUP((H$1)/10,0)*10,[1]Hugst!$R$4:$W$4,0))))</f>
        <v>636.13450928862039</v>
      </c>
      <c r="I221">
        <f>IF($C221-I$1&lt;År1,0,H220*(1-VLOOKUP($A221,[1]Hugst!$R$5:$W$9,MATCH(ROUNDUP((I$1)/10,0)*10,[1]Hugst!$R$4:$W$4,0))))</f>
        <v>0</v>
      </c>
      <c r="J221">
        <f>IF($C221-J$1&lt;År1,0,I220*(1-VLOOKUP($A221,[1]Hugst!$R$5:$W$9,MATCH(ROUNDUP((J$1)/10,0)*10,[1]Hugst!$R$4:$W$4,0))))</f>
        <v>0</v>
      </c>
      <c r="K221">
        <f>IF($C221-K$1&lt;År1,0,J220*(1-VLOOKUP($A221,[1]Hugst!$R$5:$W$9,MATCH(ROUNDUP((K$1)/10,0)*10,[1]Hugst!$R$4:$W$4,0))))</f>
        <v>0</v>
      </c>
      <c r="L221">
        <f>IF($C221-L$1&lt;År1,0,K220*(1-VLOOKUP($A221,[1]Hugst!$R$5:$W$9,MATCH(ROUNDUP((L$1)/10,0)*10,[1]Hugst!$R$4:$W$4,0))))</f>
        <v>0</v>
      </c>
      <c r="M221">
        <f>IF($C221-M$1&lt;År1,0,L220*(1-VLOOKUP($A221,[1]Hugst!$R$5:$W$9,MATCH(ROUNDUP((M$1)/10,0)*10,[1]Hugst!$R$4:$W$4,0))))</f>
        <v>0</v>
      </c>
      <c r="N221">
        <f>IF($C221-N$1&lt;År1,0,M220*(1-VLOOKUP($A221,[1]Hugst!$R$5:$W$9,MATCH(ROUNDUP((N$1)/10,0)*10,[1]Hugst!$R$4:$W$4,0))))</f>
        <v>0</v>
      </c>
      <c r="O221">
        <f>IF($C221-O$1&lt;År1,0,N220*(1-VLOOKUP($A221,[1]Hugst!$R$5:$W$9,MATCH(ROUNDUP((O$1)/10,0)*10,[1]Hugst!$R$4:$W$4,0))))</f>
        <v>0</v>
      </c>
      <c r="P221">
        <f>IF($C221-P$1&lt;År1,0,O220*(1-VLOOKUP($A221,[1]Hugst!$R$5:$W$9,MATCH(ROUNDUP((P$1)/10,0)*10,[1]Hugst!$R$4:$W$4,0))))</f>
        <v>0</v>
      </c>
      <c r="Q221">
        <f>IF($C221-Q$1&lt;År1,0,P220*(1-VLOOKUP($A221,[1]Hugst!$R$5:$W$9,MATCH(ROUNDUP((Q$1)/10,0)*10,[1]Hugst!$R$4:$W$4,0))))</f>
        <v>0</v>
      </c>
      <c r="R221">
        <f>IF($C221-R$1&lt;År1,0,Q220*(1-VLOOKUP($A221,[1]Hugst!$R$5:$W$9,MATCH(ROUNDUP((R$1)/10,0)*10,[1]Hugst!$R$4:$W$4,0))))</f>
        <v>0</v>
      </c>
      <c r="S221">
        <f>IF($C221-S$1&lt;År1,0,R220*(1-VLOOKUP($A221,[1]Hugst!$R$5:$W$9,MATCH(ROUNDUP((S$1)/10,0)*10,[1]Hugst!$R$4:$W$4,0))))</f>
        <v>0</v>
      </c>
      <c r="T221">
        <f>IF($C221-T$1&lt;År1,0,S220*(1-VLOOKUP($A221,[1]Hugst!$R$5:$W$9,MATCH(ROUNDUP((T$1)/10,0)*10,[1]Hugst!$R$4:$W$4,0))))</f>
        <v>0</v>
      </c>
      <c r="U221">
        <f>IF($C221-U$1&lt;År1,0,T220*(1-VLOOKUP($A221,[1]Hugst!$R$5:$W$9,MATCH(ROUNDUP((U$1)/10,0)*10,[1]Hugst!$R$4:$W$4,0))))</f>
        <v>0</v>
      </c>
      <c r="V221">
        <f>IF($C221-V$1&lt;År1,0,U220*(1-VLOOKUP($A221,[1]Hugst!$R$5:$W$9,MATCH(ROUNDUP((V$1)/10,0)*10,[1]Hugst!$R$4:$W$4,0))))</f>
        <v>0</v>
      </c>
      <c r="W221">
        <f>IF($C221-W$1&lt;År1,0,V220*(1-VLOOKUP($A221,[1]Hugst!$R$5:$W$9,MATCH(ROUNDUP((W$1)/10,0)*10,[1]Hugst!$R$4:$W$4,0))))</f>
        <v>0</v>
      </c>
      <c r="X221">
        <f>IF($C221-X$1&lt;År1,0,W220*(1-VLOOKUP($A221,[1]Hugst!$R$5:$W$9,MATCH(ROUNDUP((X$1)/10,0)*10,[1]Hugst!$R$4:$W$4,0))))</f>
        <v>0</v>
      </c>
      <c r="Y221">
        <f>IF($C221-Y$1&lt;År1,0,X220*(1-VLOOKUP($A221,[1]Hugst!$R$5:$W$9,MATCH(ROUNDUP((Y$1)/10,0)*10,[1]Hugst!$R$4:$W$4,0))))</f>
        <v>0</v>
      </c>
      <c r="Z221">
        <f>IF($C221-Z$1&lt;År1,0,Y220*(1-VLOOKUP($A221,[1]Hugst!$R$5:$W$9,MATCH(ROUNDUP((Z$1)/10,0)*10,[1]Hugst!$R$4:$W$4,0))))</f>
        <v>0</v>
      </c>
      <c r="AA221">
        <f>IF($C221-AA$1&lt;År1,0,Z220*(1-VLOOKUP($A221,[1]Hugst!$R$5:$W$9,MATCH(ROUNDUP((AA$1)/10,0)*10,[1]Hugst!$R$4:$W$4,0))))</f>
        <v>0</v>
      </c>
      <c r="AB221">
        <f>IF($C221-AB$1&lt;År1,0,AA220*(1-VLOOKUP($A221,[1]Hugst!$R$5:$W$9,MATCH(ROUNDUP((AB$1)/10,0)*10,[1]Hugst!$R$4:$W$4,0))))</f>
        <v>0</v>
      </c>
      <c r="AC221">
        <f>IF($C221-AC$1&lt;År1,0,AB220*(1-VLOOKUP($A221,[1]Hugst!$R$5:$W$9,MATCH(ROUNDUP((AC$1)/10,0)*10,[1]Hugst!$R$4:$W$4,0))))</f>
        <v>0</v>
      </c>
      <c r="AD221">
        <f>IF($C221-AD$1&lt;År1,0,AC220*(1-VLOOKUP($A221,[1]Hugst!$R$5:$W$9,MATCH(ROUNDUP((AD$1)/10,0)*10,[1]Hugst!$R$4:$W$4,0))))</f>
        <v>0</v>
      </c>
      <c r="AE221">
        <f>IF($C221-AE$1&lt;År1,0,AD220*(1-VLOOKUP($A221,[1]Hugst!$R$5:$W$9,MATCH(ROUNDUP((AE$1)/10,0)*10,[1]Hugst!$R$4:$W$4,0))))</f>
        <v>0</v>
      </c>
      <c r="AF221">
        <f>IF($C221-AF$1&lt;År1,0,AE220*(1-VLOOKUP($A221,[1]Hugst!$R$5:$W$9,MATCH(ROUNDUP((AF$1)/10,0)*10,[1]Hugst!$R$4:$W$4,0))))</f>
        <v>0</v>
      </c>
      <c r="AG221">
        <f>IF($C221-AG$1&lt;År1,0,AF220*(1-VLOOKUP($A221,[1]Hugst!$R$5:$W$9,MATCH(ROUNDUP((AG$1)/10,0)*10,[1]Hugst!$R$4:$W$4,0))))</f>
        <v>0</v>
      </c>
      <c r="AH221">
        <f>IF($C221-AH$1&lt;År1,0,AG220*(1-VLOOKUP($A221,[1]Hugst!$R$5:$W$9,MATCH(ROUNDUP((AH$1)/10,0)*10,[1]Hugst!$R$4:$W$4,0))))</f>
        <v>0</v>
      </c>
      <c r="AI221">
        <f>IF($C221-AI$1&lt;År1,0,AH220*(1-VLOOKUP($A221,[1]Hugst!$R$5:$W$9,MATCH(ROUNDUP((AI$1)/10,0)*10,[1]Hugst!$R$4:$W$4,0))))</f>
        <v>0</v>
      </c>
      <c r="AJ221">
        <f>IF($C221-AJ$1&lt;År1,0,AI220*(1-VLOOKUP($A221,[1]Hugst!$R$5:$W$9,MATCH(ROUNDUP((AJ$1)/10,0)*10,[1]Hugst!$R$4:$W$4,0))))</f>
        <v>0</v>
      </c>
    </row>
    <row r="222" spans="1:36" x14ac:dyDescent="0.25">
      <c r="A222" t="s">
        <v>179</v>
      </c>
      <c r="B222" t="s">
        <v>24</v>
      </c>
      <c r="C222">
        <v>2023</v>
      </c>
      <c r="D222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282.25087018643683</v>
      </c>
      <c r="E222">
        <f t="shared" ca="1" si="5"/>
        <v>0</v>
      </c>
      <c r="F222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631.85805312695265</v>
      </c>
      <c r="G222">
        <f ca="1">IF($C222-G$1&lt;År1,0,F221*(1-VLOOKUP($A222,[1]Hugst!$R$5:$W$9,MATCH(ROUNDUP((G$1)/10,0)*10,[1]Hugst!$R$4:$W$4,0))))</f>
        <v>633.2763992082987</v>
      </c>
      <c r="H222">
        <f ca="1">IF($C222-H$1&lt;År1,0,G221*(1-VLOOKUP($A222,[1]Hugst!$R$5:$W$9,MATCH(ROUNDUP((H$1)/10,0)*10,[1]Hugst!$R$4:$W$4,0))))</f>
        <v>634.70187265687969</v>
      </c>
      <c r="I222">
        <f ca="1">IF($C222-I$1&lt;År1,0,H221*(1-VLOOKUP($A222,[1]Hugst!$R$5:$W$9,MATCH(ROUNDUP((I$1)/10,0)*10,[1]Hugst!$R$4:$W$4,0))))</f>
        <v>636.13450928862039</v>
      </c>
      <c r="J222">
        <f>IF($C222-J$1&lt;År1,0,I221*(1-VLOOKUP($A222,[1]Hugst!$R$5:$W$9,MATCH(ROUNDUP((J$1)/10,0)*10,[1]Hugst!$R$4:$W$4,0))))</f>
        <v>0</v>
      </c>
      <c r="K222">
        <f>IF($C222-K$1&lt;År1,0,J221*(1-VLOOKUP($A222,[1]Hugst!$R$5:$W$9,MATCH(ROUNDUP((K$1)/10,0)*10,[1]Hugst!$R$4:$W$4,0))))</f>
        <v>0</v>
      </c>
      <c r="L222">
        <f>IF($C222-L$1&lt;År1,0,K221*(1-VLOOKUP($A222,[1]Hugst!$R$5:$W$9,MATCH(ROUNDUP((L$1)/10,0)*10,[1]Hugst!$R$4:$W$4,0))))</f>
        <v>0</v>
      </c>
      <c r="M222">
        <f>IF($C222-M$1&lt;År1,0,L221*(1-VLOOKUP($A222,[1]Hugst!$R$5:$W$9,MATCH(ROUNDUP((M$1)/10,0)*10,[1]Hugst!$R$4:$W$4,0))))</f>
        <v>0</v>
      </c>
      <c r="N222">
        <f>IF($C222-N$1&lt;År1,0,M221*(1-VLOOKUP($A222,[1]Hugst!$R$5:$W$9,MATCH(ROUNDUP((N$1)/10,0)*10,[1]Hugst!$R$4:$W$4,0))))</f>
        <v>0</v>
      </c>
      <c r="O222">
        <f>IF($C222-O$1&lt;År1,0,N221*(1-VLOOKUP($A222,[1]Hugst!$R$5:$W$9,MATCH(ROUNDUP((O$1)/10,0)*10,[1]Hugst!$R$4:$W$4,0))))</f>
        <v>0</v>
      </c>
      <c r="P222">
        <f>IF($C222-P$1&lt;År1,0,O221*(1-VLOOKUP($A222,[1]Hugst!$R$5:$W$9,MATCH(ROUNDUP((P$1)/10,0)*10,[1]Hugst!$R$4:$W$4,0))))</f>
        <v>0</v>
      </c>
      <c r="Q222">
        <f>IF($C222-Q$1&lt;År1,0,P221*(1-VLOOKUP($A222,[1]Hugst!$R$5:$W$9,MATCH(ROUNDUP((Q$1)/10,0)*10,[1]Hugst!$R$4:$W$4,0))))</f>
        <v>0</v>
      </c>
      <c r="R222">
        <f>IF($C222-R$1&lt;År1,0,Q221*(1-VLOOKUP($A222,[1]Hugst!$R$5:$W$9,MATCH(ROUNDUP((R$1)/10,0)*10,[1]Hugst!$R$4:$W$4,0))))</f>
        <v>0</v>
      </c>
      <c r="S222">
        <f>IF($C222-S$1&lt;År1,0,R221*(1-VLOOKUP($A222,[1]Hugst!$R$5:$W$9,MATCH(ROUNDUP((S$1)/10,0)*10,[1]Hugst!$R$4:$W$4,0))))</f>
        <v>0</v>
      </c>
      <c r="T222">
        <f>IF($C222-T$1&lt;År1,0,S221*(1-VLOOKUP($A222,[1]Hugst!$R$5:$W$9,MATCH(ROUNDUP((T$1)/10,0)*10,[1]Hugst!$R$4:$W$4,0))))</f>
        <v>0</v>
      </c>
      <c r="U222">
        <f>IF($C222-U$1&lt;År1,0,T221*(1-VLOOKUP($A222,[1]Hugst!$R$5:$W$9,MATCH(ROUNDUP((U$1)/10,0)*10,[1]Hugst!$R$4:$W$4,0))))</f>
        <v>0</v>
      </c>
      <c r="V222">
        <f>IF($C222-V$1&lt;År1,0,U221*(1-VLOOKUP($A222,[1]Hugst!$R$5:$W$9,MATCH(ROUNDUP((V$1)/10,0)*10,[1]Hugst!$R$4:$W$4,0))))</f>
        <v>0</v>
      </c>
      <c r="W222">
        <f>IF($C222-W$1&lt;År1,0,V221*(1-VLOOKUP($A222,[1]Hugst!$R$5:$W$9,MATCH(ROUNDUP((W$1)/10,0)*10,[1]Hugst!$R$4:$W$4,0))))</f>
        <v>0</v>
      </c>
      <c r="X222">
        <f>IF($C222-X$1&lt;År1,0,W221*(1-VLOOKUP($A222,[1]Hugst!$R$5:$W$9,MATCH(ROUNDUP((X$1)/10,0)*10,[1]Hugst!$R$4:$W$4,0))))</f>
        <v>0</v>
      </c>
      <c r="Y222">
        <f>IF($C222-Y$1&lt;År1,0,X221*(1-VLOOKUP($A222,[1]Hugst!$R$5:$W$9,MATCH(ROUNDUP((Y$1)/10,0)*10,[1]Hugst!$R$4:$W$4,0))))</f>
        <v>0</v>
      </c>
      <c r="Z222">
        <f>IF($C222-Z$1&lt;År1,0,Y221*(1-VLOOKUP($A222,[1]Hugst!$R$5:$W$9,MATCH(ROUNDUP((Z$1)/10,0)*10,[1]Hugst!$R$4:$W$4,0))))</f>
        <v>0</v>
      </c>
      <c r="AA222">
        <f>IF($C222-AA$1&lt;År1,0,Z221*(1-VLOOKUP($A222,[1]Hugst!$R$5:$W$9,MATCH(ROUNDUP((AA$1)/10,0)*10,[1]Hugst!$R$4:$W$4,0))))</f>
        <v>0</v>
      </c>
      <c r="AB222">
        <f>IF($C222-AB$1&lt;År1,0,AA221*(1-VLOOKUP($A222,[1]Hugst!$R$5:$W$9,MATCH(ROUNDUP((AB$1)/10,0)*10,[1]Hugst!$R$4:$W$4,0))))</f>
        <v>0</v>
      </c>
      <c r="AC222">
        <f>IF($C222-AC$1&lt;År1,0,AB221*(1-VLOOKUP($A222,[1]Hugst!$R$5:$W$9,MATCH(ROUNDUP((AC$1)/10,0)*10,[1]Hugst!$R$4:$W$4,0))))</f>
        <v>0</v>
      </c>
      <c r="AD222">
        <f>IF($C222-AD$1&lt;År1,0,AC221*(1-VLOOKUP($A222,[1]Hugst!$R$5:$W$9,MATCH(ROUNDUP((AD$1)/10,0)*10,[1]Hugst!$R$4:$W$4,0))))</f>
        <v>0</v>
      </c>
      <c r="AE222">
        <f>IF($C222-AE$1&lt;År1,0,AD221*(1-VLOOKUP($A222,[1]Hugst!$R$5:$W$9,MATCH(ROUNDUP((AE$1)/10,0)*10,[1]Hugst!$R$4:$W$4,0))))</f>
        <v>0</v>
      </c>
      <c r="AF222">
        <f>IF($C222-AF$1&lt;År1,0,AE221*(1-VLOOKUP($A222,[1]Hugst!$R$5:$W$9,MATCH(ROUNDUP((AF$1)/10,0)*10,[1]Hugst!$R$4:$W$4,0))))</f>
        <v>0</v>
      </c>
      <c r="AG222">
        <f>IF($C222-AG$1&lt;År1,0,AF221*(1-VLOOKUP($A222,[1]Hugst!$R$5:$W$9,MATCH(ROUNDUP((AG$1)/10,0)*10,[1]Hugst!$R$4:$W$4,0))))</f>
        <v>0</v>
      </c>
      <c r="AH222">
        <f>IF($C222-AH$1&lt;År1,0,AG221*(1-VLOOKUP($A222,[1]Hugst!$R$5:$W$9,MATCH(ROUNDUP((AH$1)/10,0)*10,[1]Hugst!$R$4:$W$4,0))))</f>
        <v>0</v>
      </c>
      <c r="AI222">
        <f>IF($C222-AI$1&lt;År1,0,AH221*(1-VLOOKUP($A222,[1]Hugst!$R$5:$W$9,MATCH(ROUNDUP((AI$1)/10,0)*10,[1]Hugst!$R$4:$W$4,0))))</f>
        <v>0</v>
      </c>
      <c r="AJ222">
        <f>IF($C222-AJ$1&lt;År1,0,AI221*(1-VLOOKUP($A222,[1]Hugst!$R$5:$W$9,MATCH(ROUNDUP((AJ$1)/10,0)*10,[1]Hugst!$R$4:$W$4,0))))</f>
        <v>0</v>
      </c>
    </row>
    <row r="223" spans="1:36" x14ac:dyDescent="0.25">
      <c r="A223" t="s">
        <v>179</v>
      </c>
      <c r="B223" t="s">
        <v>24</v>
      </c>
      <c r="C223">
        <v>2024</v>
      </c>
      <c r="D223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280.83961583551218</v>
      </c>
      <c r="E223">
        <f t="shared" ca="1" si="5"/>
        <v>0</v>
      </c>
      <c r="F223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630.44679877602812</v>
      </c>
      <c r="G223">
        <f ca="1">IF($C223-G$1&lt;År1,0,F222*(1-VLOOKUP($A223,[1]Hugst!$R$5:$W$9,MATCH(ROUNDUP((G$1)/10,0)*10,[1]Hugst!$R$4:$W$4,0))))</f>
        <v>631.85805312695265</v>
      </c>
      <c r="H223">
        <f ca="1">IF($C223-H$1&lt;År1,0,G222*(1-VLOOKUP($A223,[1]Hugst!$R$5:$W$9,MATCH(ROUNDUP((H$1)/10,0)*10,[1]Hugst!$R$4:$W$4,0))))</f>
        <v>633.2763992082987</v>
      </c>
      <c r="I223">
        <f ca="1">IF($C223-I$1&lt;År1,0,H222*(1-VLOOKUP($A223,[1]Hugst!$R$5:$W$9,MATCH(ROUNDUP((I$1)/10,0)*10,[1]Hugst!$R$4:$W$4,0))))</f>
        <v>634.70187265687969</v>
      </c>
      <c r="J223">
        <f ca="1">IF($C223-J$1&lt;År1,0,I222*(1-VLOOKUP($A223,[1]Hugst!$R$5:$W$9,MATCH(ROUNDUP((J$1)/10,0)*10,[1]Hugst!$R$4:$W$4,0))))</f>
        <v>636.13450928862039</v>
      </c>
      <c r="K223">
        <f>IF($C223-K$1&lt;År1,0,J222*(1-VLOOKUP($A223,[1]Hugst!$R$5:$W$9,MATCH(ROUNDUP((K$1)/10,0)*10,[1]Hugst!$R$4:$W$4,0))))</f>
        <v>0</v>
      </c>
      <c r="L223">
        <f>IF($C223-L$1&lt;År1,0,K222*(1-VLOOKUP($A223,[1]Hugst!$R$5:$W$9,MATCH(ROUNDUP((L$1)/10,0)*10,[1]Hugst!$R$4:$W$4,0))))</f>
        <v>0</v>
      </c>
      <c r="M223">
        <f>IF($C223-M$1&lt;År1,0,L222*(1-VLOOKUP($A223,[1]Hugst!$R$5:$W$9,MATCH(ROUNDUP((M$1)/10,0)*10,[1]Hugst!$R$4:$W$4,0))))</f>
        <v>0</v>
      </c>
      <c r="N223">
        <f>IF($C223-N$1&lt;År1,0,M222*(1-VLOOKUP($A223,[1]Hugst!$R$5:$W$9,MATCH(ROUNDUP((N$1)/10,0)*10,[1]Hugst!$R$4:$W$4,0))))</f>
        <v>0</v>
      </c>
      <c r="O223">
        <f>IF($C223-O$1&lt;År1,0,N222*(1-VLOOKUP($A223,[1]Hugst!$R$5:$W$9,MATCH(ROUNDUP((O$1)/10,0)*10,[1]Hugst!$R$4:$W$4,0))))</f>
        <v>0</v>
      </c>
      <c r="P223">
        <f>IF($C223-P$1&lt;År1,0,O222*(1-VLOOKUP($A223,[1]Hugst!$R$5:$W$9,MATCH(ROUNDUP((P$1)/10,0)*10,[1]Hugst!$R$4:$W$4,0))))</f>
        <v>0</v>
      </c>
      <c r="Q223">
        <f>IF($C223-Q$1&lt;År1,0,P222*(1-VLOOKUP($A223,[1]Hugst!$R$5:$W$9,MATCH(ROUNDUP((Q$1)/10,0)*10,[1]Hugst!$R$4:$W$4,0))))</f>
        <v>0</v>
      </c>
      <c r="R223">
        <f>IF($C223-R$1&lt;År1,0,Q222*(1-VLOOKUP($A223,[1]Hugst!$R$5:$W$9,MATCH(ROUNDUP((R$1)/10,0)*10,[1]Hugst!$R$4:$W$4,0))))</f>
        <v>0</v>
      </c>
      <c r="S223">
        <f>IF($C223-S$1&lt;År1,0,R222*(1-VLOOKUP($A223,[1]Hugst!$R$5:$W$9,MATCH(ROUNDUP((S$1)/10,0)*10,[1]Hugst!$R$4:$W$4,0))))</f>
        <v>0</v>
      </c>
      <c r="T223">
        <f>IF($C223-T$1&lt;År1,0,S222*(1-VLOOKUP($A223,[1]Hugst!$R$5:$W$9,MATCH(ROUNDUP((T$1)/10,0)*10,[1]Hugst!$R$4:$W$4,0))))</f>
        <v>0</v>
      </c>
      <c r="U223">
        <f>IF($C223-U$1&lt;År1,0,T222*(1-VLOOKUP($A223,[1]Hugst!$R$5:$W$9,MATCH(ROUNDUP((U$1)/10,0)*10,[1]Hugst!$R$4:$W$4,0))))</f>
        <v>0</v>
      </c>
      <c r="V223">
        <f>IF($C223-V$1&lt;År1,0,U222*(1-VLOOKUP($A223,[1]Hugst!$R$5:$W$9,MATCH(ROUNDUP((V$1)/10,0)*10,[1]Hugst!$R$4:$W$4,0))))</f>
        <v>0</v>
      </c>
      <c r="W223">
        <f>IF($C223-W$1&lt;År1,0,V222*(1-VLOOKUP($A223,[1]Hugst!$R$5:$W$9,MATCH(ROUNDUP((W$1)/10,0)*10,[1]Hugst!$R$4:$W$4,0))))</f>
        <v>0</v>
      </c>
      <c r="X223">
        <f>IF($C223-X$1&lt;År1,0,W222*(1-VLOOKUP($A223,[1]Hugst!$R$5:$W$9,MATCH(ROUNDUP((X$1)/10,0)*10,[1]Hugst!$R$4:$W$4,0))))</f>
        <v>0</v>
      </c>
      <c r="Y223">
        <f>IF($C223-Y$1&lt;År1,0,X222*(1-VLOOKUP($A223,[1]Hugst!$R$5:$W$9,MATCH(ROUNDUP((Y$1)/10,0)*10,[1]Hugst!$R$4:$W$4,0))))</f>
        <v>0</v>
      </c>
      <c r="Z223">
        <f>IF($C223-Z$1&lt;År1,0,Y222*(1-VLOOKUP($A223,[1]Hugst!$R$5:$W$9,MATCH(ROUNDUP((Z$1)/10,0)*10,[1]Hugst!$R$4:$W$4,0))))</f>
        <v>0</v>
      </c>
      <c r="AA223">
        <f>IF($C223-AA$1&lt;År1,0,Z222*(1-VLOOKUP($A223,[1]Hugst!$R$5:$W$9,MATCH(ROUNDUP((AA$1)/10,0)*10,[1]Hugst!$R$4:$W$4,0))))</f>
        <v>0</v>
      </c>
      <c r="AB223">
        <f>IF($C223-AB$1&lt;År1,0,AA222*(1-VLOOKUP($A223,[1]Hugst!$R$5:$W$9,MATCH(ROUNDUP((AB$1)/10,0)*10,[1]Hugst!$R$4:$W$4,0))))</f>
        <v>0</v>
      </c>
      <c r="AC223">
        <f>IF($C223-AC$1&lt;År1,0,AB222*(1-VLOOKUP($A223,[1]Hugst!$R$5:$W$9,MATCH(ROUNDUP((AC$1)/10,0)*10,[1]Hugst!$R$4:$W$4,0))))</f>
        <v>0</v>
      </c>
      <c r="AD223">
        <f>IF($C223-AD$1&lt;År1,0,AC222*(1-VLOOKUP($A223,[1]Hugst!$R$5:$W$9,MATCH(ROUNDUP((AD$1)/10,0)*10,[1]Hugst!$R$4:$W$4,0))))</f>
        <v>0</v>
      </c>
      <c r="AE223">
        <f>IF($C223-AE$1&lt;År1,0,AD222*(1-VLOOKUP($A223,[1]Hugst!$R$5:$W$9,MATCH(ROUNDUP((AE$1)/10,0)*10,[1]Hugst!$R$4:$W$4,0))))</f>
        <v>0</v>
      </c>
      <c r="AF223">
        <f>IF($C223-AF$1&lt;År1,0,AE222*(1-VLOOKUP($A223,[1]Hugst!$R$5:$W$9,MATCH(ROUNDUP((AF$1)/10,0)*10,[1]Hugst!$R$4:$W$4,0))))</f>
        <v>0</v>
      </c>
      <c r="AG223">
        <f>IF($C223-AG$1&lt;År1,0,AF222*(1-VLOOKUP($A223,[1]Hugst!$R$5:$W$9,MATCH(ROUNDUP((AG$1)/10,0)*10,[1]Hugst!$R$4:$W$4,0))))</f>
        <v>0</v>
      </c>
      <c r="AH223">
        <f>IF($C223-AH$1&lt;År1,0,AG222*(1-VLOOKUP($A223,[1]Hugst!$R$5:$W$9,MATCH(ROUNDUP((AH$1)/10,0)*10,[1]Hugst!$R$4:$W$4,0))))</f>
        <v>0</v>
      </c>
      <c r="AI223">
        <f>IF($C223-AI$1&lt;År1,0,AH222*(1-VLOOKUP($A223,[1]Hugst!$R$5:$W$9,MATCH(ROUNDUP((AI$1)/10,0)*10,[1]Hugst!$R$4:$W$4,0))))</f>
        <v>0</v>
      </c>
      <c r="AJ223">
        <f>IF($C223-AJ$1&lt;År1,0,AI222*(1-VLOOKUP($A223,[1]Hugst!$R$5:$W$9,MATCH(ROUNDUP((AJ$1)/10,0)*10,[1]Hugst!$R$4:$W$4,0))))</f>
        <v>0</v>
      </c>
    </row>
    <row r="224" spans="1:36" x14ac:dyDescent="0.25">
      <c r="A224" t="s">
        <v>179</v>
      </c>
      <c r="B224" t="s">
        <v>24</v>
      </c>
      <c r="C224">
        <v>2025</v>
      </c>
      <c r="D224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279.4354177563298</v>
      </c>
      <c r="E224">
        <f t="shared" ca="1" si="5"/>
        <v>0</v>
      </c>
      <c r="F224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629.04260069684574</v>
      </c>
      <c r="G224">
        <f ca="1">IF($C224-G$1&lt;År1,0,F223*(1-VLOOKUP($A224,[1]Hugst!$R$5:$W$9,MATCH(ROUNDUP((G$1)/10,0)*10,[1]Hugst!$R$4:$W$4,0))))</f>
        <v>630.44679877602812</v>
      </c>
      <c r="H224">
        <f ca="1">IF($C224-H$1&lt;År1,0,G223*(1-VLOOKUP($A224,[1]Hugst!$R$5:$W$9,MATCH(ROUNDUP((H$1)/10,0)*10,[1]Hugst!$R$4:$W$4,0))))</f>
        <v>631.85805312695265</v>
      </c>
      <c r="I224">
        <f ca="1">IF($C224-I$1&lt;År1,0,H223*(1-VLOOKUP($A224,[1]Hugst!$R$5:$W$9,MATCH(ROUNDUP((I$1)/10,0)*10,[1]Hugst!$R$4:$W$4,0))))</f>
        <v>633.2763992082987</v>
      </c>
      <c r="J224">
        <f ca="1">IF($C224-J$1&lt;År1,0,I223*(1-VLOOKUP($A224,[1]Hugst!$R$5:$W$9,MATCH(ROUNDUP((J$1)/10,0)*10,[1]Hugst!$R$4:$W$4,0))))</f>
        <v>634.70187265687969</v>
      </c>
      <c r="K224">
        <f ca="1">IF($C224-K$1&lt;År1,0,J223*(1-VLOOKUP($A224,[1]Hugst!$R$5:$W$9,MATCH(ROUNDUP((K$1)/10,0)*10,[1]Hugst!$R$4:$W$4,0))))</f>
        <v>636.13450928862039</v>
      </c>
      <c r="L224">
        <f>IF($C224-L$1&lt;År1,0,K223*(1-VLOOKUP($A224,[1]Hugst!$R$5:$W$9,MATCH(ROUNDUP((L$1)/10,0)*10,[1]Hugst!$R$4:$W$4,0))))</f>
        <v>0</v>
      </c>
      <c r="M224">
        <f>IF($C224-M$1&lt;År1,0,L223*(1-VLOOKUP($A224,[1]Hugst!$R$5:$W$9,MATCH(ROUNDUP((M$1)/10,0)*10,[1]Hugst!$R$4:$W$4,0))))</f>
        <v>0</v>
      </c>
      <c r="N224">
        <f>IF($C224-N$1&lt;År1,0,M223*(1-VLOOKUP($A224,[1]Hugst!$R$5:$W$9,MATCH(ROUNDUP((N$1)/10,0)*10,[1]Hugst!$R$4:$W$4,0))))</f>
        <v>0</v>
      </c>
      <c r="O224">
        <f>IF($C224-O$1&lt;År1,0,N223*(1-VLOOKUP($A224,[1]Hugst!$R$5:$W$9,MATCH(ROUNDUP((O$1)/10,0)*10,[1]Hugst!$R$4:$W$4,0))))</f>
        <v>0</v>
      </c>
      <c r="P224">
        <f>IF($C224-P$1&lt;År1,0,O223*(1-VLOOKUP($A224,[1]Hugst!$R$5:$W$9,MATCH(ROUNDUP((P$1)/10,0)*10,[1]Hugst!$R$4:$W$4,0))))</f>
        <v>0</v>
      </c>
      <c r="Q224">
        <f>IF($C224-Q$1&lt;År1,0,P223*(1-VLOOKUP($A224,[1]Hugst!$R$5:$W$9,MATCH(ROUNDUP((Q$1)/10,0)*10,[1]Hugst!$R$4:$W$4,0))))</f>
        <v>0</v>
      </c>
      <c r="R224">
        <f>IF($C224-R$1&lt;År1,0,Q223*(1-VLOOKUP($A224,[1]Hugst!$R$5:$W$9,MATCH(ROUNDUP((R$1)/10,0)*10,[1]Hugst!$R$4:$W$4,0))))</f>
        <v>0</v>
      </c>
      <c r="S224">
        <f>IF($C224-S$1&lt;År1,0,R223*(1-VLOOKUP($A224,[1]Hugst!$R$5:$W$9,MATCH(ROUNDUP((S$1)/10,0)*10,[1]Hugst!$R$4:$W$4,0))))</f>
        <v>0</v>
      </c>
      <c r="T224">
        <f>IF($C224-T$1&lt;År1,0,S223*(1-VLOOKUP($A224,[1]Hugst!$R$5:$W$9,MATCH(ROUNDUP((T$1)/10,0)*10,[1]Hugst!$R$4:$W$4,0))))</f>
        <v>0</v>
      </c>
      <c r="U224">
        <f>IF($C224-U$1&lt;År1,0,T223*(1-VLOOKUP($A224,[1]Hugst!$R$5:$W$9,MATCH(ROUNDUP((U$1)/10,0)*10,[1]Hugst!$R$4:$W$4,0))))</f>
        <v>0</v>
      </c>
      <c r="V224">
        <f>IF($C224-V$1&lt;År1,0,U223*(1-VLOOKUP($A224,[1]Hugst!$R$5:$W$9,MATCH(ROUNDUP((V$1)/10,0)*10,[1]Hugst!$R$4:$W$4,0))))</f>
        <v>0</v>
      </c>
      <c r="W224">
        <f>IF($C224-W$1&lt;År1,0,V223*(1-VLOOKUP($A224,[1]Hugst!$R$5:$W$9,MATCH(ROUNDUP((W$1)/10,0)*10,[1]Hugst!$R$4:$W$4,0))))</f>
        <v>0</v>
      </c>
      <c r="X224">
        <f>IF($C224-X$1&lt;År1,0,W223*(1-VLOOKUP($A224,[1]Hugst!$R$5:$W$9,MATCH(ROUNDUP((X$1)/10,0)*10,[1]Hugst!$R$4:$W$4,0))))</f>
        <v>0</v>
      </c>
      <c r="Y224">
        <f>IF($C224-Y$1&lt;År1,0,X223*(1-VLOOKUP($A224,[1]Hugst!$R$5:$W$9,MATCH(ROUNDUP((Y$1)/10,0)*10,[1]Hugst!$R$4:$W$4,0))))</f>
        <v>0</v>
      </c>
      <c r="Z224">
        <f>IF($C224-Z$1&lt;År1,0,Y223*(1-VLOOKUP($A224,[1]Hugst!$R$5:$W$9,MATCH(ROUNDUP((Z$1)/10,0)*10,[1]Hugst!$R$4:$W$4,0))))</f>
        <v>0</v>
      </c>
      <c r="AA224">
        <f>IF($C224-AA$1&lt;År1,0,Z223*(1-VLOOKUP($A224,[1]Hugst!$R$5:$W$9,MATCH(ROUNDUP((AA$1)/10,0)*10,[1]Hugst!$R$4:$W$4,0))))</f>
        <v>0</v>
      </c>
      <c r="AB224">
        <f>IF($C224-AB$1&lt;År1,0,AA223*(1-VLOOKUP($A224,[1]Hugst!$R$5:$W$9,MATCH(ROUNDUP((AB$1)/10,0)*10,[1]Hugst!$R$4:$W$4,0))))</f>
        <v>0</v>
      </c>
      <c r="AC224">
        <f>IF($C224-AC$1&lt;År1,0,AB223*(1-VLOOKUP($A224,[1]Hugst!$R$5:$W$9,MATCH(ROUNDUP((AC$1)/10,0)*10,[1]Hugst!$R$4:$W$4,0))))</f>
        <v>0</v>
      </c>
      <c r="AD224">
        <f>IF($C224-AD$1&lt;År1,0,AC223*(1-VLOOKUP($A224,[1]Hugst!$R$5:$W$9,MATCH(ROUNDUP((AD$1)/10,0)*10,[1]Hugst!$R$4:$W$4,0))))</f>
        <v>0</v>
      </c>
      <c r="AE224">
        <f>IF($C224-AE$1&lt;År1,0,AD223*(1-VLOOKUP($A224,[1]Hugst!$R$5:$W$9,MATCH(ROUNDUP((AE$1)/10,0)*10,[1]Hugst!$R$4:$W$4,0))))</f>
        <v>0</v>
      </c>
      <c r="AF224">
        <f>IF($C224-AF$1&lt;År1,0,AE223*(1-VLOOKUP($A224,[1]Hugst!$R$5:$W$9,MATCH(ROUNDUP((AF$1)/10,0)*10,[1]Hugst!$R$4:$W$4,0))))</f>
        <v>0</v>
      </c>
      <c r="AG224">
        <f>IF($C224-AG$1&lt;År1,0,AF223*(1-VLOOKUP($A224,[1]Hugst!$R$5:$W$9,MATCH(ROUNDUP((AG$1)/10,0)*10,[1]Hugst!$R$4:$W$4,0))))</f>
        <v>0</v>
      </c>
      <c r="AH224">
        <f>IF($C224-AH$1&lt;År1,0,AG223*(1-VLOOKUP($A224,[1]Hugst!$R$5:$W$9,MATCH(ROUNDUP((AH$1)/10,0)*10,[1]Hugst!$R$4:$W$4,0))))</f>
        <v>0</v>
      </c>
      <c r="AI224">
        <f>IF($C224-AI$1&lt;År1,0,AH223*(1-VLOOKUP($A224,[1]Hugst!$R$5:$W$9,MATCH(ROUNDUP((AI$1)/10,0)*10,[1]Hugst!$R$4:$W$4,0))))</f>
        <v>0</v>
      </c>
      <c r="AJ224">
        <f>IF($C224-AJ$1&lt;År1,0,AI223*(1-VLOOKUP($A224,[1]Hugst!$R$5:$W$9,MATCH(ROUNDUP((AJ$1)/10,0)*10,[1]Hugst!$R$4:$W$4,0))))</f>
        <v>0</v>
      </c>
    </row>
    <row r="225" spans="1:36" x14ac:dyDescent="0.25">
      <c r="A225" t="s">
        <v>179</v>
      </c>
      <c r="B225" t="s">
        <v>24</v>
      </c>
      <c r="C225">
        <v>2026</v>
      </c>
      <c r="D225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278.03824066756056</v>
      </c>
      <c r="E225">
        <f t="shared" ca="1" si="5"/>
        <v>0</v>
      </c>
      <c r="F225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627.6454236080765</v>
      </c>
      <c r="G225">
        <f ca="1">IF($C225-G$1&lt;År1,0,F224*(1-VLOOKUP($A225,[1]Hugst!$R$5:$W$9,MATCH(ROUNDUP((G$1)/10,0)*10,[1]Hugst!$R$4:$W$4,0))))</f>
        <v>629.04260069684574</v>
      </c>
      <c r="H225">
        <f ca="1">IF($C225-H$1&lt;År1,0,G224*(1-VLOOKUP($A225,[1]Hugst!$R$5:$W$9,MATCH(ROUNDUP((H$1)/10,0)*10,[1]Hugst!$R$4:$W$4,0))))</f>
        <v>630.44679877602812</v>
      </c>
      <c r="I225">
        <f ca="1">IF($C225-I$1&lt;År1,0,H224*(1-VLOOKUP($A225,[1]Hugst!$R$5:$W$9,MATCH(ROUNDUP((I$1)/10,0)*10,[1]Hugst!$R$4:$W$4,0))))</f>
        <v>631.85805312695265</v>
      </c>
      <c r="J225">
        <f ca="1">IF($C225-J$1&lt;År1,0,I224*(1-VLOOKUP($A225,[1]Hugst!$R$5:$W$9,MATCH(ROUNDUP((J$1)/10,0)*10,[1]Hugst!$R$4:$W$4,0))))</f>
        <v>633.2763992082987</v>
      </c>
      <c r="K225">
        <f ca="1">IF($C225-K$1&lt;År1,0,J224*(1-VLOOKUP($A225,[1]Hugst!$R$5:$W$9,MATCH(ROUNDUP((K$1)/10,0)*10,[1]Hugst!$R$4:$W$4,0))))</f>
        <v>634.70187265687969</v>
      </c>
      <c r="L225">
        <f ca="1">IF($C225-L$1&lt;År1,0,K224*(1-VLOOKUP($A225,[1]Hugst!$R$5:$W$9,MATCH(ROUNDUP((L$1)/10,0)*10,[1]Hugst!$R$4:$W$4,0))))</f>
        <v>636.13450928862039</v>
      </c>
      <c r="M225">
        <f>IF($C225-M$1&lt;År1,0,L224*(1-VLOOKUP($A225,[1]Hugst!$R$5:$W$9,MATCH(ROUNDUP((M$1)/10,0)*10,[1]Hugst!$R$4:$W$4,0))))</f>
        <v>0</v>
      </c>
      <c r="N225">
        <f>IF($C225-N$1&lt;År1,0,M224*(1-VLOOKUP($A225,[1]Hugst!$R$5:$W$9,MATCH(ROUNDUP((N$1)/10,0)*10,[1]Hugst!$R$4:$W$4,0))))</f>
        <v>0</v>
      </c>
      <c r="O225">
        <f>IF($C225-O$1&lt;År1,0,N224*(1-VLOOKUP($A225,[1]Hugst!$R$5:$W$9,MATCH(ROUNDUP((O$1)/10,0)*10,[1]Hugst!$R$4:$W$4,0))))</f>
        <v>0</v>
      </c>
      <c r="P225">
        <f>IF($C225-P$1&lt;År1,0,O224*(1-VLOOKUP($A225,[1]Hugst!$R$5:$W$9,MATCH(ROUNDUP((P$1)/10,0)*10,[1]Hugst!$R$4:$W$4,0))))</f>
        <v>0</v>
      </c>
      <c r="Q225">
        <f>IF($C225-Q$1&lt;År1,0,P224*(1-VLOOKUP($A225,[1]Hugst!$R$5:$W$9,MATCH(ROUNDUP((Q$1)/10,0)*10,[1]Hugst!$R$4:$W$4,0))))</f>
        <v>0</v>
      </c>
      <c r="R225">
        <f>IF($C225-R$1&lt;År1,0,Q224*(1-VLOOKUP($A225,[1]Hugst!$R$5:$W$9,MATCH(ROUNDUP((R$1)/10,0)*10,[1]Hugst!$R$4:$W$4,0))))</f>
        <v>0</v>
      </c>
      <c r="S225">
        <f>IF($C225-S$1&lt;År1,0,R224*(1-VLOOKUP($A225,[1]Hugst!$R$5:$W$9,MATCH(ROUNDUP((S$1)/10,0)*10,[1]Hugst!$R$4:$W$4,0))))</f>
        <v>0</v>
      </c>
      <c r="T225">
        <f>IF($C225-T$1&lt;År1,0,S224*(1-VLOOKUP($A225,[1]Hugst!$R$5:$W$9,MATCH(ROUNDUP((T$1)/10,0)*10,[1]Hugst!$R$4:$W$4,0))))</f>
        <v>0</v>
      </c>
      <c r="U225">
        <f>IF($C225-U$1&lt;År1,0,T224*(1-VLOOKUP($A225,[1]Hugst!$R$5:$W$9,MATCH(ROUNDUP((U$1)/10,0)*10,[1]Hugst!$R$4:$W$4,0))))</f>
        <v>0</v>
      </c>
      <c r="V225">
        <f>IF($C225-V$1&lt;År1,0,U224*(1-VLOOKUP($A225,[1]Hugst!$R$5:$W$9,MATCH(ROUNDUP((V$1)/10,0)*10,[1]Hugst!$R$4:$W$4,0))))</f>
        <v>0</v>
      </c>
      <c r="W225">
        <f>IF($C225-W$1&lt;År1,0,V224*(1-VLOOKUP($A225,[1]Hugst!$R$5:$W$9,MATCH(ROUNDUP((W$1)/10,0)*10,[1]Hugst!$R$4:$W$4,0))))</f>
        <v>0</v>
      </c>
      <c r="X225">
        <f>IF($C225-X$1&lt;År1,0,W224*(1-VLOOKUP($A225,[1]Hugst!$R$5:$W$9,MATCH(ROUNDUP((X$1)/10,0)*10,[1]Hugst!$R$4:$W$4,0))))</f>
        <v>0</v>
      </c>
      <c r="Y225">
        <f>IF($C225-Y$1&lt;År1,0,X224*(1-VLOOKUP($A225,[1]Hugst!$R$5:$W$9,MATCH(ROUNDUP((Y$1)/10,0)*10,[1]Hugst!$R$4:$W$4,0))))</f>
        <v>0</v>
      </c>
      <c r="Z225">
        <f>IF($C225-Z$1&lt;År1,0,Y224*(1-VLOOKUP($A225,[1]Hugst!$R$5:$W$9,MATCH(ROUNDUP((Z$1)/10,0)*10,[1]Hugst!$R$4:$W$4,0))))</f>
        <v>0</v>
      </c>
      <c r="AA225">
        <f>IF($C225-AA$1&lt;År1,0,Z224*(1-VLOOKUP($A225,[1]Hugst!$R$5:$W$9,MATCH(ROUNDUP((AA$1)/10,0)*10,[1]Hugst!$R$4:$W$4,0))))</f>
        <v>0</v>
      </c>
      <c r="AB225">
        <f>IF($C225-AB$1&lt;År1,0,AA224*(1-VLOOKUP($A225,[1]Hugst!$R$5:$W$9,MATCH(ROUNDUP((AB$1)/10,0)*10,[1]Hugst!$R$4:$W$4,0))))</f>
        <v>0</v>
      </c>
      <c r="AC225">
        <f>IF($C225-AC$1&lt;År1,0,AB224*(1-VLOOKUP($A225,[1]Hugst!$R$5:$W$9,MATCH(ROUNDUP((AC$1)/10,0)*10,[1]Hugst!$R$4:$W$4,0))))</f>
        <v>0</v>
      </c>
      <c r="AD225">
        <f>IF($C225-AD$1&lt;År1,0,AC224*(1-VLOOKUP($A225,[1]Hugst!$R$5:$W$9,MATCH(ROUNDUP((AD$1)/10,0)*10,[1]Hugst!$R$4:$W$4,0))))</f>
        <v>0</v>
      </c>
      <c r="AE225">
        <f>IF($C225-AE$1&lt;År1,0,AD224*(1-VLOOKUP($A225,[1]Hugst!$R$5:$W$9,MATCH(ROUNDUP((AE$1)/10,0)*10,[1]Hugst!$R$4:$W$4,0))))</f>
        <v>0</v>
      </c>
      <c r="AF225">
        <f>IF($C225-AF$1&lt;År1,0,AE224*(1-VLOOKUP($A225,[1]Hugst!$R$5:$W$9,MATCH(ROUNDUP((AF$1)/10,0)*10,[1]Hugst!$R$4:$W$4,0))))</f>
        <v>0</v>
      </c>
      <c r="AG225">
        <f>IF($C225-AG$1&lt;År1,0,AF224*(1-VLOOKUP($A225,[1]Hugst!$R$5:$W$9,MATCH(ROUNDUP((AG$1)/10,0)*10,[1]Hugst!$R$4:$W$4,0))))</f>
        <v>0</v>
      </c>
      <c r="AH225">
        <f>IF($C225-AH$1&lt;År1,0,AG224*(1-VLOOKUP($A225,[1]Hugst!$R$5:$W$9,MATCH(ROUNDUP((AH$1)/10,0)*10,[1]Hugst!$R$4:$W$4,0))))</f>
        <v>0</v>
      </c>
      <c r="AI225">
        <f>IF($C225-AI$1&lt;År1,0,AH224*(1-VLOOKUP($A225,[1]Hugst!$R$5:$W$9,MATCH(ROUNDUP((AI$1)/10,0)*10,[1]Hugst!$R$4:$W$4,0))))</f>
        <v>0</v>
      </c>
      <c r="AJ225">
        <f>IF($C225-AJ$1&lt;År1,0,AI224*(1-VLOOKUP($A225,[1]Hugst!$R$5:$W$9,MATCH(ROUNDUP((AJ$1)/10,0)*10,[1]Hugst!$R$4:$W$4,0))))</f>
        <v>0</v>
      </c>
    </row>
    <row r="226" spans="1:36" x14ac:dyDescent="0.25">
      <c r="A226" t="s">
        <v>179</v>
      </c>
      <c r="B226" t="s">
        <v>24</v>
      </c>
      <c r="C226">
        <v>2027</v>
      </c>
      <c r="D226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276.64804946420918</v>
      </c>
      <c r="E226">
        <f t="shared" ca="1" si="5"/>
        <v>0</v>
      </c>
      <c r="F226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626.25523240472512</v>
      </c>
      <c r="G226">
        <f ca="1">IF($C226-G$1&lt;År1,0,F225*(1-VLOOKUP($A226,[1]Hugst!$R$5:$W$9,MATCH(ROUNDUP((G$1)/10,0)*10,[1]Hugst!$R$4:$W$4,0))))</f>
        <v>627.6454236080765</v>
      </c>
      <c r="H226">
        <f ca="1">IF($C226-H$1&lt;År1,0,G225*(1-VLOOKUP($A226,[1]Hugst!$R$5:$W$9,MATCH(ROUNDUP((H$1)/10,0)*10,[1]Hugst!$R$4:$W$4,0))))</f>
        <v>629.04260069684574</v>
      </c>
      <c r="I226">
        <f ca="1">IF($C226-I$1&lt;År1,0,H225*(1-VLOOKUP($A226,[1]Hugst!$R$5:$W$9,MATCH(ROUNDUP((I$1)/10,0)*10,[1]Hugst!$R$4:$W$4,0))))</f>
        <v>630.44679877602812</v>
      </c>
      <c r="J226">
        <f ca="1">IF($C226-J$1&lt;År1,0,I225*(1-VLOOKUP($A226,[1]Hugst!$R$5:$W$9,MATCH(ROUNDUP((J$1)/10,0)*10,[1]Hugst!$R$4:$W$4,0))))</f>
        <v>631.85805312695265</v>
      </c>
      <c r="K226">
        <f ca="1">IF($C226-K$1&lt;År1,0,J225*(1-VLOOKUP($A226,[1]Hugst!$R$5:$W$9,MATCH(ROUNDUP((K$1)/10,0)*10,[1]Hugst!$R$4:$W$4,0))))</f>
        <v>633.2763992082987</v>
      </c>
      <c r="L226">
        <f ca="1">IF($C226-L$1&lt;År1,0,K225*(1-VLOOKUP($A226,[1]Hugst!$R$5:$W$9,MATCH(ROUNDUP((L$1)/10,0)*10,[1]Hugst!$R$4:$W$4,0))))</f>
        <v>634.70187265687969</v>
      </c>
      <c r="M226">
        <f ca="1">IF($C226-M$1&lt;År1,0,L225*(1-VLOOKUP($A226,[1]Hugst!$R$5:$W$9,MATCH(ROUNDUP((M$1)/10,0)*10,[1]Hugst!$R$4:$W$4,0))))</f>
        <v>636.13450928862039</v>
      </c>
      <c r="N226">
        <f>IF($C226-N$1&lt;År1,0,M225*(1-VLOOKUP($A226,[1]Hugst!$R$5:$W$9,MATCH(ROUNDUP((N$1)/10,0)*10,[1]Hugst!$R$4:$W$4,0))))</f>
        <v>0</v>
      </c>
      <c r="O226">
        <f>IF($C226-O$1&lt;År1,0,N225*(1-VLOOKUP($A226,[1]Hugst!$R$5:$W$9,MATCH(ROUNDUP((O$1)/10,0)*10,[1]Hugst!$R$4:$W$4,0))))</f>
        <v>0</v>
      </c>
      <c r="P226">
        <f>IF($C226-P$1&lt;År1,0,O225*(1-VLOOKUP($A226,[1]Hugst!$R$5:$W$9,MATCH(ROUNDUP((P$1)/10,0)*10,[1]Hugst!$R$4:$W$4,0))))</f>
        <v>0</v>
      </c>
      <c r="Q226">
        <f>IF($C226-Q$1&lt;År1,0,P225*(1-VLOOKUP($A226,[1]Hugst!$R$5:$W$9,MATCH(ROUNDUP((Q$1)/10,0)*10,[1]Hugst!$R$4:$W$4,0))))</f>
        <v>0</v>
      </c>
      <c r="R226">
        <f>IF($C226-R$1&lt;År1,0,Q225*(1-VLOOKUP($A226,[1]Hugst!$R$5:$W$9,MATCH(ROUNDUP((R$1)/10,0)*10,[1]Hugst!$R$4:$W$4,0))))</f>
        <v>0</v>
      </c>
      <c r="S226">
        <f>IF($C226-S$1&lt;År1,0,R225*(1-VLOOKUP($A226,[1]Hugst!$R$5:$W$9,MATCH(ROUNDUP((S$1)/10,0)*10,[1]Hugst!$R$4:$W$4,0))))</f>
        <v>0</v>
      </c>
      <c r="T226">
        <f>IF($C226-T$1&lt;År1,0,S225*(1-VLOOKUP($A226,[1]Hugst!$R$5:$W$9,MATCH(ROUNDUP((T$1)/10,0)*10,[1]Hugst!$R$4:$W$4,0))))</f>
        <v>0</v>
      </c>
      <c r="U226">
        <f>IF($C226-U$1&lt;År1,0,T225*(1-VLOOKUP($A226,[1]Hugst!$R$5:$W$9,MATCH(ROUNDUP((U$1)/10,0)*10,[1]Hugst!$R$4:$W$4,0))))</f>
        <v>0</v>
      </c>
      <c r="V226">
        <f>IF($C226-V$1&lt;År1,0,U225*(1-VLOOKUP($A226,[1]Hugst!$R$5:$W$9,MATCH(ROUNDUP((V$1)/10,0)*10,[1]Hugst!$R$4:$W$4,0))))</f>
        <v>0</v>
      </c>
      <c r="W226">
        <f>IF($C226-W$1&lt;År1,0,V225*(1-VLOOKUP($A226,[1]Hugst!$R$5:$W$9,MATCH(ROUNDUP((W$1)/10,0)*10,[1]Hugst!$R$4:$W$4,0))))</f>
        <v>0</v>
      </c>
      <c r="X226">
        <f>IF($C226-X$1&lt;År1,0,W225*(1-VLOOKUP($A226,[1]Hugst!$R$5:$W$9,MATCH(ROUNDUP((X$1)/10,0)*10,[1]Hugst!$R$4:$W$4,0))))</f>
        <v>0</v>
      </c>
      <c r="Y226">
        <f>IF($C226-Y$1&lt;År1,0,X225*(1-VLOOKUP($A226,[1]Hugst!$R$5:$W$9,MATCH(ROUNDUP((Y$1)/10,0)*10,[1]Hugst!$R$4:$W$4,0))))</f>
        <v>0</v>
      </c>
      <c r="Z226">
        <f>IF($C226-Z$1&lt;År1,0,Y225*(1-VLOOKUP($A226,[1]Hugst!$R$5:$W$9,MATCH(ROUNDUP((Z$1)/10,0)*10,[1]Hugst!$R$4:$W$4,0))))</f>
        <v>0</v>
      </c>
      <c r="AA226">
        <f>IF($C226-AA$1&lt;År1,0,Z225*(1-VLOOKUP($A226,[1]Hugst!$R$5:$W$9,MATCH(ROUNDUP((AA$1)/10,0)*10,[1]Hugst!$R$4:$W$4,0))))</f>
        <v>0</v>
      </c>
      <c r="AB226">
        <f>IF($C226-AB$1&lt;År1,0,AA225*(1-VLOOKUP($A226,[1]Hugst!$R$5:$W$9,MATCH(ROUNDUP((AB$1)/10,0)*10,[1]Hugst!$R$4:$W$4,0))))</f>
        <v>0</v>
      </c>
      <c r="AC226">
        <f>IF($C226-AC$1&lt;År1,0,AB225*(1-VLOOKUP($A226,[1]Hugst!$R$5:$W$9,MATCH(ROUNDUP((AC$1)/10,0)*10,[1]Hugst!$R$4:$W$4,0))))</f>
        <v>0</v>
      </c>
      <c r="AD226">
        <f>IF($C226-AD$1&lt;År1,0,AC225*(1-VLOOKUP($A226,[1]Hugst!$R$5:$W$9,MATCH(ROUNDUP((AD$1)/10,0)*10,[1]Hugst!$R$4:$W$4,0))))</f>
        <v>0</v>
      </c>
      <c r="AE226">
        <f>IF($C226-AE$1&lt;År1,0,AD225*(1-VLOOKUP($A226,[1]Hugst!$R$5:$W$9,MATCH(ROUNDUP((AE$1)/10,0)*10,[1]Hugst!$R$4:$W$4,0))))</f>
        <v>0</v>
      </c>
      <c r="AF226">
        <f>IF($C226-AF$1&lt;År1,0,AE225*(1-VLOOKUP($A226,[1]Hugst!$R$5:$W$9,MATCH(ROUNDUP((AF$1)/10,0)*10,[1]Hugst!$R$4:$W$4,0))))</f>
        <v>0</v>
      </c>
      <c r="AG226">
        <f>IF($C226-AG$1&lt;År1,0,AF225*(1-VLOOKUP($A226,[1]Hugst!$R$5:$W$9,MATCH(ROUNDUP((AG$1)/10,0)*10,[1]Hugst!$R$4:$W$4,0))))</f>
        <v>0</v>
      </c>
      <c r="AH226">
        <f>IF($C226-AH$1&lt;År1,0,AG225*(1-VLOOKUP($A226,[1]Hugst!$R$5:$W$9,MATCH(ROUNDUP((AH$1)/10,0)*10,[1]Hugst!$R$4:$W$4,0))))</f>
        <v>0</v>
      </c>
      <c r="AI226">
        <f>IF($C226-AI$1&lt;År1,0,AH225*(1-VLOOKUP($A226,[1]Hugst!$R$5:$W$9,MATCH(ROUNDUP((AI$1)/10,0)*10,[1]Hugst!$R$4:$W$4,0))))</f>
        <v>0</v>
      </c>
      <c r="AJ226">
        <f>IF($C226-AJ$1&lt;År1,0,AI225*(1-VLOOKUP($A226,[1]Hugst!$R$5:$W$9,MATCH(ROUNDUP((AJ$1)/10,0)*10,[1]Hugst!$R$4:$W$4,0))))</f>
        <v>0</v>
      </c>
    </row>
    <row r="227" spans="1:36" x14ac:dyDescent="0.25">
      <c r="A227" t="s">
        <v>179</v>
      </c>
      <c r="B227" t="s">
        <v>24</v>
      </c>
      <c r="C227">
        <v>2028</v>
      </c>
      <c r="D227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275.26480921689426</v>
      </c>
      <c r="E227">
        <f t="shared" ca="1" si="5"/>
        <v>0</v>
      </c>
      <c r="F227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624.8719921574102</v>
      </c>
      <c r="G227">
        <f ca="1">IF($C227-G$1&lt;År1,0,F226*(1-VLOOKUP($A227,[1]Hugst!$R$5:$W$9,MATCH(ROUNDUP((G$1)/10,0)*10,[1]Hugst!$R$4:$W$4,0))))</f>
        <v>626.25523240472512</v>
      </c>
      <c r="H227">
        <f ca="1">IF($C227-H$1&lt;År1,0,G226*(1-VLOOKUP($A227,[1]Hugst!$R$5:$W$9,MATCH(ROUNDUP((H$1)/10,0)*10,[1]Hugst!$R$4:$W$4,0))))</f>
        <v>627.6454236080765</v>
      </c>
      <c r="I227">
        <f ca="1">IF($C227-I$1&lt;År1,0,H226*(1-VLOOKUP($A227,[1]Hugst!$R$5:$W$9,MATCH(ROUNDUP((I$1)/10,0)*10,[1]Hugst!$R$4:$W$4,0))))</f>
        <v>629.04260069684574</v>
      </c>
      <c r="J227">
        <f ca="1">IF($C227-J$1&lt;År1,0,I226*(1-VLOOKUP($A227,[1]Hugst!$R$5:$W$9,MATCH(ROUNDUP((J$1)/10,0)*10,[1]Hugst!$R$4:$W$4,0))))</f>
        <v>630.44679877602812</v>
      </c>
      <c r="K227">
        <f ca="1">IF($C227-K$1&lt;År1,0,J226*(1-VLOOKUP($A227,[1]Hugst!$R$5:$W$9,MATCH(ROUNDUP((K$1)/10,0)*10,[1]Hugst!$R$4:$W$4,0))))</f>
        <v>631.85805312695265</v>
      </c>
      <c r="L227">
        <f ca="1">IF($C227-L$1&lt;År1,0,K226*(1-VLOOKUP($A227,[1]Hugst!$R$5:$W$9,MATCH(ROUNDUP((L$1)/10,0)*10,[1]Hugst!$R$4:$W$4,0))))</f>
        <v>633.2763992082987</v>
      </c>
      <c r="M227">
        <f ca="1">IF($C227-M$1&lt;År1,0,L226*(1-VLOOKUP($A227,[1]Hugst!$R$5:$W$9,MATCH(ROUNDUP((M$1)/10,0)*10,[1]Hugst!$R$4:$W$4,0))))</f>
        <v>634.70187265687969</v>
      </c>
      <c r="N227">
        <f ca="1">IF($C227-N$1&lt;År1,0,M226*(1-VLOOKUP($A227,[1]Hugst!$R$5:$W$9,MATCH(ROUNDUP((N$1)/10,0)*10,[1]Hugst!$R$4:$W$4,0))))</f>
        <v>636.13450928862039</v>
      </c>
      <c r="O227">
        <f>IF($C227-O$1&lt;År1,0,N226*(1-VLOOKUP($A227,[1]Hugst!$R$5:$W$9,MATCH(ROUNDUP((O$1)/10,0)*10,[1]Hugst!$R$4:$W$4,0))))</f>
        <v>0</v>
      </c>
      <c r="P227">
        <f>IF($C227-P$1&lt;År1,0,O226*(1-VLOOKUP($A227,[1]Hugst!$R$5:$W$9,MATCH(ROUNDUP((P$1)/10,0)*10,[1]Hugst!$R$4:$W$4,0))))</f>
        <v>0</v>
      </c>
      <c r="Q227">
        <f>IF($C227-Q$1&lt;År1,0,P226*(1-VLOOKUP($A227,[1]Hugst!$R$5:$W$9,MATCH(ROUNDUP((Q$1)/10,0)*10,[1]Hugst!$R$4:$W$4,0))))</f>
        <v>0</v>
      </c>
      <c r="R227">
        <f>IF($C227-R$1&lt;År1,0,Q226*(1-VLOOKUP($A227,[1]Hugst!$R$5:$W$9,MATCH(ROUNDUP((R$1)/10,0)*10,[1]Hugst!$R$4:$W$4,0))))</f>
        <v>0</v>
      </c>
      <c r="S227">
        <f>IF($C227-S$1&lt;År1,0,R226*(1-VLOOKUP($A227,[1]Hugst!$R$5:$W$9,MATCH(ROUNDUP((S$1)/10,0)*10,[1]Hugst!$R$4:$W$4,0))))</f>
        <v>0</v>
      </c>
      <c r="T227">
        <f>IF($C227-T$1&lt;År1,0,S226*(1-VLOOKUP($A227,[1]Hugst!$R$5:$W$9,MATCH(ROUNDUP((T$1)/10,0)*10,[1]Hugst!$R$4:$W$4,0))))</f>
        <v>0</v>
      </c>
      <c r="U227">
        <f>IF($C227-U$1&lt;År1,0,T226*(1-VLOOKUP($A227,[1]Hugst!$R$5:$W$9,MATCH(ROUNDUP((U$1)/10,0)*10,[1]Hugst!$R$4:$W$4,0))))</f>
        <v>0</v>
      </c>
      <c r="V227">
        <f>IF($C227-V$1&lt;År1,0,U226*(1-VLOOKUP($A227,[1]Hugst!$R$5:$W$9,MATCH(ROUNDUP((V$1)/10,0)*10,[1]Hugst!$R$4:$W$4,0))))</f>
        <v>0</v>
      </c>
      <c r="W227">
        <f>IF($C227-W$1&lt;År1,0,V226*(1-VLOOKUP($A227,[1]Hugst!$R$5:$W$9,MATCH(ROUNDUP((W$1)/10,0)*10,[1]Hugst!$R$4:$W$4,0))))</f>
        <v>0</v>
      </c>
      <c r="X227">
        <f>IF($C227-X$1&lt;År1,0,W226*(1-VLOOKUP($A227,[1]Hugst!$R$5:$W$9,MATCH(ROUNDUP((X$1)/10,0)*10,[1]Hugst!$R$4:$W$4,0))))</f>
        <v>0</v>
      </c>
      <c r="Y227">
        <f>IF($C227-Y$1&lt;År1,0,X226*(1-VLOOKUP($A227,[1]Hugst!$R$5:$W$9,MATCH(ROUNDUP((Y$1)/10,0)*10,[1]Hugst!$R$4:$W$4,0))))</f>
        <v>0</v>
      </c>
      <c r="Z227">
        <f>IF($C227-Z$1&lt;År1,0,Y226*(1-VLOOKUP($A227,[1]Hugst!$R$5:$W$9,MATCH(ROUNDUP((Z$1)/10,0)*10,[1]Hugst!$R$4:$W$4,0))))</f>
        <v>0</v>
      </c>
      <c r="AA227">
        <f>IF($C227-AA$1&lt;År1,0,Z226*(1-VLOOKUP($A227,[1]Hugst!$R$5:$W$9,MATCH(ROUNDUP((AA$1)/10,0)*10,[1]Hugst!$R$4:$W$4,0))))</f>
        <v>0</v>
      </c>
      <c r="AB227">
        <f>IF($C227-AB$1&lt;År1,0,AA226*(1-VLOOKUP($A227,[1]Hugst!$R$5:$W$9,MATCH(ROUNDUP((AB$1)/10,0)*10,[1]Hugst!$R$4:$W$4,0))))</f>
        <v>0</v>
      </c>
      <c r="AC227">
        <f>IF($C227-AC$1&lt;År1,0,AB226*(1-VLOOKUP($A227,[1]Hugst!$R$5:$W$9,MATCH(ROUNDUP((AC$1)/10,0)*10,[1]Hugst!$R$4:$W$4,0))))</f>
        <v>0</v>
      </c>
      <c r="AD227">
        <f>IF($C227-AD$1&lt;År1,0,AC226*(1-VLOOKUP($A227,[1]Hugst!$R$5:$W$9,MATCH(ROUNDUP((AD$1)/10,0)*10,[1]Hugst!$R$4:$W$4,0))))</f>
        <v>0</v>
      </c>
      <c r="AE227">
        <f>IF($C227-AE$1&lt;År1,0,AD226*(1-VLOOKUP($A227,[1]Hugst!$R$5:$W$9,MATCH(ROUNDUP((AE$1)/10,0)*10,[1]Hugst!$R$4:$W$4,0))))</f>
        <v>0</v>
      </c>
      <c r="AF227">
        <f>IF($C227-AF$1&lt;År1,0,AE226*(1-VLOOKUP($A227,[1]Hugst!$R$5:$W$9,MATCH(ROUNDUP((AF$1)/10,0)*10,[1]Hugst!$R$4:$W$4,0))))</f>
        <v>0</v>
      </c>
      <c r="AG227">
        <f>IF($C227-AG$1&lt;År1,0,AF226*(1-VLOOKUP($A227,[1]Hugst!$R$5:$W$9,MATCH(ROUNDUP((AG$1)/10,0)*10,[1]Hugst!$R$4:$W$4,0))))</f>
        <v>0</v>
      </c>
      <c r="AH227">
        <f>IF($C227-AH$1&lt;År1,0,AG226*(1-VLOOKUP($A227,[1]Hugst!$R$5:$W$9,MATCH(ROUNDUP((AH$1)/10,0)*10,[1]Hugst!$R$4:$W$4,0))))</f>
        <v>0</v>
      </c>
      <c r="AI227">
        <f>IF($C227-AI$1&lt;År1,0,AH226*(1-VLOOKUP($A227,[1]Hugst!$R$5:$W$9,MATCH(ROUNDUP((AI$1)/10,0)*10,[1]Hugst!$R$4:$W$4,0))))</f>
        <v>0</v>
      </c>
      <c r="AJ227">
        <f>IF($C227-AJ$1&lt;År1,0,AI226*(1-VLOOKUP($A227,[1]Hugst!$R$5:$W$9,MATCH(ROUNDUP((AJ$1)/10,0)*10,[1]Hugst!$R$4:$W$4,0))))</f>
        <v>0</v>
      </c>
    </row>
    <row r="228" spans="1:36" x14ac:dyDescent="0.25">
      <c r="A228" t="s">
        <v>179</v>
      </c>
      <c r="B228" t="s">
        <v>24</v>
      </c>
      <c r="C228">
        <v>2029</v>
      </c>
      <c r="D22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273.88848517080805</v>
      </c>
      <c r="E228">
        <f t="shared" ca="1" si="5"/>
        <v>0</v>
      </c>
      <c r="F22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623.49566811132399</v>
      </c>
      <c r="G228">
        <f ca="1">IF($C228-G$1&lt;År1,0,F227*(1-VLOOKUP($A228,[1]Hugst!$R$5:$W$9,MATCH(ROUNDUP((G$1)/10,0)*10,[1]Hugst!$R$4:$W$4,0))))</f>
        <v>624.8719921574102</v>
      </c>
      <c r="H228">
        <f ca="1">IF($C228-H$1&lt;År1,0,G227*(1-VLOOKUP($A228,[1]Hugst!$R$5:$W$9,MATCH(ROUNDUP((H$1)/10,0)*10,[1]Hugst!$R$4:$W$4,0))))</f>
        <v>626.25523240472512</v>
      </c>
      <c r="I228">
        <f ca="1">IF($C228-I$1&lt;År1,0,H227*(1-VLOOKUP($A228,[1]Hugst!$R$5:$W$9,MATCH(ROUNDUP((I$1)/10,0)*10,[1]Hugst!$R$4:$W$4,0))))</f>
        <v>627.6454236080765</v>
      </c>
      <c r="J228">
        <f ca="1">IF($C228-J$1&lt;År1,0,I227*(1-VLOOKUP($A228,[1]Hugst!$R$5:$W$9,MATCH(ROUNDUP((J$1)/10,0)*10,[1]Hugst!$R$4:$W$4,0))))</f>
        <v>629.04260069684574</v>
      </c>
      <c r="K228">
        <f ca="1">IF($C228-K$1&lt;År1,0,J227*(1-VLOOKUP($A228,[1]Hugst!$R$5:$W$9,MATCH(ROUNDUP((K$1)/10,0)*10,[1]Hugst!$R$4:$W$4,0))))</f>
        <v>630.44679877602812</v>
      </c>
      <c r="L228">
        <f ca="1">IF($C228-L$1&lt;År1,0,K227*(1-VLOOKUP($A228,[1]Hugst!$R$5:$W$9,MATCH(ROUNDUP((L$1)/10,0)*10,[1]Hugst!$R$4:$W$4,0))))</f>
        <v>631.85805312695265</v>
      </c>
      <c r="M228">
        <f ca="1">IF($C228-M$1&lt;År1,0,L227*(1-VLOOKUP($A228,[1]Hugst!$R$5:$W$9,MATCH(ROUNDUP((M$1)/10,0)*10,[1]Hugst!$R$4:$W$4,0))))</f>
        <v>633.2763992082987</v>
      </c>
      <c r="N228">
        <f ca="1">IF($C228-N$1&lt;År1,0,M227*(1-VLOOKUP($A228,[1]Hugst!$R$5:$W$9,MATCH(ROUNDUP((N$1)/10,0)*10,[1]Hugst!$R$4:$W$4,0))))</f>
        <v>634.70187265687969</v>
      </c>
      <c r="O228">
        <f ca="1">IF($C228-O$1&lt;År1,0,N227*(1-VLOOKUP($A228,[1]Hugst!$R$5:$W$9,MATCH(ROUNDUP((O$1)/10,0)*10,[1]Hugst!$R$4:$W$4,0))))</f>
        <v>636.13450928862039</v>
      </c>
      <c r="P228">
        <f>IF($C228-P$1&lt;År1,0,O227*(1-VLOOKUP($A228,[1]Hugst!$R$5:$W$9,MATCH(ROUNDUP((P$1)/10,0)*10,[1]Hugst!$R$4:$W$4,0))))</f>
        <v>0</v>
      </c>
      <c r="Q228">
        <f>IF($C228-Q$1&lt;År1,0,P227*(1-VLOOKUP($A228,[1]Hugst!$R$5:$W$9,MATCH(ROUNDUP((Q$1)/10,0)*10,[1]Hugst!$R$4:$W$4,0))))</f>
        <v>0</v>
      </c>
      <c r="R228">
        <f>IF($C228-R$1&lt;År1,0,Q227*(1-VLOOKUP($A228,[1]Hugst!$R$5:$W$9,MATCH(ROUNDUP((R$1)/10,0)*10,[1]Hugst!$R$4:$W$4,0))))</f>
        <v>0</v>
      </c>
      <c r="S228">
        <f>IF($C228-S$1&lt;År1,0,R227*(1-VLOOKUP($A228,[1]Hugst!$R$5:$W$9,MATCH(ROUNDUP((S$1)/10,0)*10,[1]Hugst!$R$4:$W$4,0))))</f>
        <v>0</v>
      </c>
      <c r="T228">
        <f>IF($C228-T$1&lt;År1,0,S227*(1-VLOOKUP($A228,[1]Hugst!$R$5:$W$9,MATCH(ROUNDUP((T$1)/10,0)*10,[1]Hugst!$R$4:$W$4,0))))</f>
        <v>0</v>
      </c>
      <c r="U228">
        <f>IF($C228-U$1&lt;År1,0,T227*(1-VLOOKUP($A228,[1]Hugst!$R$5:$W$9,MATCH(ROUNDUP((U$1)/10,0)*10,[1]Hugst!$R$4:$W$4,0))))</f>
        <v>0</v>
      </c>
      <c r="V228">
        <f>IF($C228-V$1&lt;År1,0,U227*(1-VLOOKUP($A228,[1]Hugst!$R$5:$W$9,MATCH(ROUNDUP((V$1)/10,0)*10,[1]Hugst!$R$4:$W$4,0))))</f>
        <v>0</v>
      </c>
      <c r="W228">
        <f>IF($C228-W$1&lt;År1,0,V227*(1-VLOOKUP($A228,[1]Hugst!$R$5:$W$9,MATCH(ROUNDUP((W$1)/10,0)*10,[1]Hugst!$R$4:$W$4,0))))</f>
        <v>0</v>
      </c>
      <c r="X228">
        <f>IF($C228-X$1&lt;År1,0,W227*(1-VLOOKUP($A228,[1]Hugst!$R$5:$W$9,MATCH(ROUNDUP((X$1)/10,0)*10,[1]Hugst!$R$4:$W$4,0))))</f>
        <v>0</v>
      </c>
      <c r="Y228">
        <f>IF($C228-Y$1&lt;År1,0,X227*(1-VLOOKUP($A228,[1]Hugst!$R$5:$W$9,MATCH(ROUNDUP((Y$1)/10,0)*10,[1]Hugst!$R$4:$W$4,0))))</f>
        <v>0</v>
      </c>
      <c r="Z228">
        <f>IF($C228-Z$1&lt;År1,0,Y227*(1-VLOOKUP($A228,[1]Hugst!$R$5:$W$9,MATCH(ROUNDUP((Z$1)/10,0)*10,[1]Hugst!$R$4:$W$4,0))))</f>
        <v>0</v>
      </c>
      <c r="AA228">
        <f>IF($C228-AA$1&lt;År1,0,Z227*(1-VLOOKUP($A228,[1]Hugst!$R$5:$W$9,MATCH(ROUNDUP((AA$1)/10,0)*10,[1]Hugst!$R$4:$W$4,0))))</f>
        <v>0</v>
      </c>
      <c r="AB228">
        <f>IF($C228-AB$1&lt;År1,0,AA227*(1-VLOOKUP($A228,[1]Hugst!$R$5:$W$9,MATCH(ROUNDUP((AB$1)/10,0)*10,[1]Hugst!$R$4:$W$4,0))))</f>
        <v>0</v>
      </c>
      <c r="AC228">
        <f>IF($C228-AC$1&lt;År1,0,AB227*(1-VLOOKUP($A228,[1]Hugst!$R$5:$W$9,MATCH(ROUNDUP((AC$1)/10,0)*10,[1]Hugst!$R$4:$W$4,0))))</f>
        <v>0</v>
      </c>
      <c r="AD228">
        <f>IF($C228-AD$1&lt;År1,0,AC227*(1-VLOOKUP($A228,[1]Hugst!$R$5:$W$9,MATCH(ROUNDUP((AD$1)/10,0)*10,[1]Hugst!$R$4:$W$4,0))))</f>
        <v>0</v>
      </c>
      <c r="AE228">
        <f>IF($C228-AE$1&lt;År1,0,AD227*(1-VLOOKUP($A228,[1]Hugst!$R$5:$W$9,MATCH(ROUNDUP((AE$1)/10,0)*10,[1]Hugst!$R$4:$W$4,0))))</f>
        <v>0</v>
      </c>
      <c r="AF228">
        <f>IF($C228-AF$1&lt;År1,0,AE227*(1-VLOOKUP($A228,[1]Hugst!$R$5:$W$9,MATCH(ROUNDUP((AF$1)/10,0)*10,[1]Hugst!$R$4:$W$4,0))))</f>
        <v>0</v>
      </c>
      <c r="AG228">
        <f>IF($C228-AG$1&lt;År1,0,AF227*(1-VLOOKUP($A228,[1]Hugst!$R$5:$W$9,MATCH(ROUNDUP((AG$1)/10,0)*10,[1]Hugst!$R$4:$W$4,0))))</f>
        <v>0</v>
      </c>
      <c r="AH228">
        <f>IF($C228-AH$1&lt;År1,0,AG227*(1-VLOOKUP($A228,[1]Hugst!$R$5:$W$9,MATCH(ROUNDUP((AH$1)/10,0)*10,[1]Hugst!$R$4:$W$4,0))))</f>
        <v>0</v>
      </c>
      <c r="AI228">
        <f>IF($C228-AI$1&lt;År1,0,AH227*(1-VLOOKUP($A228,[1]Hugst!$R$5:$W$9,MATCH(ROUNDUP((AI$1)/10,0)*10,[1]Hugst!$R$4:$W$4,0))))</f>
        <v>0</v>
      </c>
      <c r="AJ228">
        <f>IF($C228-AJ$1&lt;År1,0,AI227*(1-VLOOKUP($A228,[1]Hugst!$R$5:$W$9,MATCH(ROUNDUP((AJ$1)/10,0)*10,[1]Hugst!$R$4:$W$4,0))))</f>
        <v>0</v>
      </c>
    </row>
    <row r="229" spans="1:36" x14ac:dyDescent="0.25">
      <c r="A229" t="s">
        <v>179</v>
      </c>
      <c r="B229" t="s">
        <v>24</v>
      </c>
      <c r="C229">
        <v>2030</v>
      </c>
      <c r="D229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272.51904274496019</v>
      </c>
      <c r="E229">
        <f t="shared" ca="1" si="5"/>
        <v>1.396392825267867</v>
      </c>
      <c r="F22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623.522618510744</v>
      </c>
      <c r="G229">
        <f ca="1">IF($C229-G$1&lt;År1,0,F228*(1-VLOOKUP($A229,[1]Hugst!$R$5:$W$9,MATCH(ROUNDUP((G$1)/10,0)*10,[1]Hugst!$R$4:$W$4,0))))</f>
        <v>623.49566811132399</v>
      </c>
      <c r="H229">
        <f ca="1">IF($C229-H$1&lt;År1,0,G228*(1-VLOOKUP($A229,[1]Hugst!$R$5:$W$9,MATCH(ROUNDUP((H$1)/10,0)*10,[1]Hugst!$R$4:$W$4,0))))</f>
        <v>624.8719921574102</v>
      </c>
      <c r="I229">
        <f ca="1">IF($C229-I$1&lt;År1,0,H228*(1-VLOOKUP($A229,[1]Hugst!$R$5:$W$9,MATCH(ROUNDUP((I$1)/10,0)*10,[1]Hugst!$R$4:$W$4,0))))</f>
        <v>626.25523240472512</v>
      </c>
      <c r="J229">
        <f ca="1">IF($C229-J$1&lt;År1,0,I228*(1-VLOOKUP($A229,[1]Hugst!$R$5:$W$9,MATCH(ROUNDUP((J$1)/10,0)*10,[1]Hugst!$R$4:$W$4,0))))</f>
        <v>627.6454236080765</v>
      </c>
      <c r="K229">
        <f ca="1">IF($C229-K$1&lt;År1,0,J228*(1-VLOOKUP($A229,[1]Hugst!$R$5:$W$9,MATCH(ROUNDUP((K$1)/10,0)*10,[1]Hugst!$R$4:$W$4,0))))</f>
        <v>629.04260069684574</v>
      </c>
      <c r="L229">
        <f ca="1">IF($C229-L$1&lt;År1,0,K228*(1-VLOOKUP($A229,[1]Hugst!$R$5:$W$9,MATCH(ROUNDUP((L$1)/10,0)*10,[1]Hugst!$R$4:$W$4,0))))</f>
        <v>630.44679877602812</v>
      </c>
      <c r="M229">
        <f ca="1">IF($C229-M$1&lt;År1,0,L228*(1-VLOOKUP($A229,[1]Hugst!$R$5:$W$9,MATCH(ROUNDUP((M$1)/10,0)*10,[1]Hugst!$R$4:$W$4,0))))</f>
        <v>631.85805312695265</v>
      </c>
      <c r="N229">
        <f ca="1">IF($C229-N$1&lt;År1,0,M228*(1-VLOOKUP($A229,[1]Hugst!$R$5:$W$9,MATCH(ROUNDUP((N$1)/10,0)*10,[1]Hugst!$R$4:$W$4,0))))</f>
        <v>633.2763992082987</v>
      </c>
      <c r="O229">
        <f ca="1">IF($C229-O$1&lt;År1,0,N228*(1-VLOOKUP($A229,[1]Hugst!$R$5:$W$9,MATCH(ROUNDUP((O$1)/10,0)*10,[1]Hugst!$R$4:$W$4,0))))</f>
        <v>634.70187265687969</v>
      </c>
      <c r="P229">
        <f ca="1">IF($C229-P$1&lt;År1,0,O228*(1-VLOOKUP($A229,[1]Hugst!$R$5:$W$9,MATCH(ROUNDUP((P$1)/10,0)*10,[1]Hugst!$R$4:$W$4,0))))</f>
        <v>634.73811646335264</v>
      </c>
      <c r="Q229">
        <f>IF($C229-Q$1&lt;År1,0,P228*(1-VLOOKUP($A229,[1]Hugst!$R$5:$W$9,MATCH(ROUNDUP((Q$1)/10,0)*10,[1]Hugst!$R$4:$W$4,0))))</f>
        <v>0</v>
      </c>
      <c r="R229">
        <f>IF($C229-R$1&lt;År1,0,Q228*(1-VLOOKUP($A229,[1]Hugst!$R$5:$W$9,MATCH(ROUNDUP((R$1)/10,0)*10,[1]Hugst!$R$4:$W$4,0))))</f>
        <v>0</v>
      </c>
      <c r="S229">
        <f>IF($C229-S$1&lt;År1,0,R228*(1-VLOOKUP($A229,[1]Hugst!$R$5:$W$9,MATCH(ROUNDUP((S$1)/10,0)*10,[1]Hugst!$R$4:$W$4,0))))</f>
        <v>0</v>
      </c>
      <c r="T229">
        <f>IF($C229-T$1&lt;År1,0,S228*(1-VLOOKUP($A229,[1]Hugst!$R$5:$W$9,MATCH(ROUNDUP((T$1)/10,0)*10,[1]Hugst!$R$4:$W$4,0))))</f>
        <v>0</v>
      </c>
      <c r="U229">
        <f>IF($C229-U$1&lt;År1,0,T228*(1-VLOOKUP($A229,[1]Hugst!$R$5:$W$9,MATCH(ROUNDUP((U$1)/10,0)*10,[1]Hugst!$R$4:$W$4,0))))</f>
        <v>0</v>
      </c>
      <c r="V229">
        <f>IF($C229-V$1&lt;År1,0,U228*(1-VLOOKUP($A229,[1]Hugst!$R$5:$W$9,MATCH(ROUNDUP((V$1)/10,0)*10,[1]Hugst!$R$4:$W$4,0))))</f>
        <v>0</v>
      </c>
      <c r="W229">
        <f>IF($C229-W$1&lt;År1,0,V228*(1-VLOOKUP($A229,[1]Hugst!$R$5:$W$9,MATCH(ROUNDUP((W$1)/10,0)*10,[1]Hugst!$R$4:$W$4,0))))</f>
        <v>0</v>
      </c>
      <c r="X229">
        <f>IF($C229-X$1&lt;År1,0,W228*(1-VLOOKUP($A229,[1]Hugst!$R$5:$W$9,MATCH(ROUNDUP((X$1)/10,0)*10,[1]Hugst!$R$4:$W$4,0))))</f>
        <v>0</v>
      </c>
      <c r="Y229">
        <f>IF($C229-Y$1&lt;År1,0,X228*(1-VLOOKUP($A229,[1]Hugst!$R$5:$W$9,MATCH(ROUNDUP((Y$1)/10,0)*10,[1]Hugst!$R$4:$W$4,0))))</f>
        <v>0</v>
      </c>
      <c r="Z229">
        <f>IF($C229-Z$1&lt;År1,0,Y228*(1-VLOOKUP($A229,[1]Hugst!$R$5:$W$9,MATCH(ROUNDUP((Z$1)/10,0)*10,[1]Hugst!$R$4:$W$4,0))))</f>
        <v>0</v>
      </c>
      <c r="AA229">
        <f>IF($C229-AA$1&lt;År1,0,Z228*(1-VLOOKUP($A229,[1]Hugst!$R$5:$W$9,MATCH(ROUNDUP((AA$1)/10,0)*10,[1]Hugst!$R$4:$W$4,0))))</f>
        <v>0</v>
      </c>
      <c r="AB229">
        <f>IF($C229-AB$1&lt;År1,0,AA228*(1-VLOOKUP($A229,[1]Hugst!$R$5:$W$9,MATCH(ROUNDUP((AB$1)/10,0)*10,[1]Hugst!$R$4:$W$4,0))))</f>
        <v>0</v>
      </c>
      <c r="AC229">
        <f>IF($C229-AC$1&lt;År1,0,AB228*(1-VLOOKUP($A229,[1]Hugst!$R$5:$W$9,MATCH(ROUNDUP((AC$1)/10,0)*10,[1]Hugst!$R$4:$W$4,0))))</f>
        <v>0</v>
      </c>
      <c r="AD229">
        <f>IF($C229-AD$1&lt;År1,0,AC228*(1-VLOOKUP($A229,[1]Hugst!$R$5:$W$9,MATCH(ROUNDUP((AD$1)/10,0)*10,[1]Hugst!$R$4:$W$4,0))))</f>
        <v>0</v>
      </c>
      <c r="AE229">
        <f>IF($C229-AE$1&lt;År1,0,AD228*(1-VLOOKUP($A229,[1]Hugst!$R$5:$W$9,MATCH(ROUNDUP((AE$1)/10,0)*10,[1]Hugst!$R$4:$W$4,0))))</f>
        <v>0</v>
      </c>
      <c r="AF229">
        <f>IF($C229-AF$1&lt;År1,0,AE228*(1-VLOOKUP($A229,[1]Hugst!$R$5:$W$9,MATCH(ROUNDUP((AF$1)/10,0)*10,[1]Hugst!$R$4:$W$4,0))))</f>
        <v>0</v>
      </c>
      <c r="AG229">
        <f>IF($C229-AG$1&lt;År1,0,AF228*(1-VLOOKUP($A229,[1]Hugst!$R$5:$W$9,MATCH(ROUNDUP((AG$1)/10,0)*10,[1]Hugst!$R$4:$W$4,0))))</f>
        <v>0</v>
      </c>
      <c r="AH229">
        <f>IF($C229-AH$1&lt;År1,0,AG228*(1-VLOOKUP($A229,[1]Hugst!$R$5:$W$9,MATCH(ROUNDUP((AH$1)/10,0)*10,[1]Hugst!$R$4:$W$4,0))))</f>
        <v>0</v>
      </c>
      <c r="AI229">
        <f>IF($C229-AI$1&lt;År1,0,AH228*(1-VLOOKUP($A229,[1]Hugst!$R$5:$W$9,MATCH(ROUNDUP((AI$1)/10,0)*10,[1]Hugst!$R$4:$W$4,0))))</f>
        <v>0</v>
      </c>
      <c r="AJ229">
        <f>IF($C229-AJ$1&lt;År1,0,AI228*(1-VLOOKUP($A229,[1]Hugst!$R$5:$W$9,MATCH(ROUNDUP((AJ$1)/10,0)*10,[1]Hugst!$R$4:$W$4,0))))</f>
        <v>0</v>
      </c>
    </row>
    <row r="230" spans="1:36" x14ac:dyDescent="0.25">
      <c r="A230" t="s">
        <v>179</v>
      </c>
      <c r="B230" t="s">
        <v>24</v>
      </c>
      <c r="C230">
        <v>2031</v>
      </c>
      <c r="D230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271.15644753122115</v>
      </c>
      <c r="E230">
        <f t="shared" ca="1" si="5"/>
        <v>2.7865755858729244</v>
      </c>
      <c r="F230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823.32573916647709</v>
      </c>
      <c r="G230">
        <f ca="1">IF($C230-G$1&lt;År1,0,F229*(1-VLOOKUP($A230,[1]Hugst!$R$5:$W$9,MATCH(ROUNDUP((G$1)/10,0)*10,[1]Hugst!$R$4:$W$4,0))))</f>
        <v>623.522618510744</v>
      </c>
      <c r="H230">
        <f ca="1">IF($C230-H$1&lt;År1,0,G229*(1-VLOOKUP($A230,[1]Hugst!$R$5:$W$9,MATCH(ROUNDUP((H$1)/10,0)*10,[1]Hugst!$R$4:$W$4,0))))</f>
        <v>623.49566811132399</v>
      </c>
      <c r="I230">
        <f ca="1">IF($C230-I$1&lt;År1,0,H229*(1-VLOOKUP($A230,[1]Hugst!$R$5:$W$9,MATCH(ROUNDUP((I$1)/10,0)*10,[1]Hugst!$R$4:$W$4,0))))</f>
        <v>624.8719921574102</v>
      </c>
      <c r="J230">
        <f ca="1">IF($C230-J$1&lt;År1,0,I229*(1-VLOOKUP($A230,[1]Hugst!$R$5:$W$9,MATCH(ROUNDUP((J$1)/10,0)*10,[1]Hugst!$R$4:$W$4,0))))</f>
        <v>626.25523240472512</v>
      </c>
      <c r="K230">
        <f ca="1">IF($C230-K$1&lt;År1,0,J229*(1-VLOOKUP($A230,[1]Hugst!$R$5:$W$9,MATCH(ROUNDUP((K$1)/10,0)*10,[1]Hugst!$R$4:$W$4,0))))</f>
        <v>627.6454236080765</v>
      </c>
      <c r="L230">
        <f ca="1">IF($C230-L$1&lt;År1,0,K229*(1-VLOOKUP($A230,[1]Hugst!$R$5:$W$9,MATCH(ROUNDUP((L$1)/10,0)*10,[1]Hugst!$R$4:$W$4,0))))</f>
        <v>629.04260069684574</v>
      </c>
      <c r="M230">
        <f ca="1">IF($C230-M$1&lt;År1,0,L229*(1-VLOOKUP($A230,[1]Hugst!$R$5:$W$9,MATCH(ROUNDUP((M$1)/10,0)*10,[1]Hugst!$R$4:$W$4,0))))</f>
        <v>630.44679877602812</v>
      </c>
      <c r="N230">
        <f ca="1">IF($C230-N$1&lt;År1,0,M229*(1-VLOOKUP($A230,[1]Hugst!$R$5:$W$9,MATCH(ROUNDUP((N$1)/10,0)*10,[1]Hugst!$R$4:$W$4,0))))</f>
        <v>631.85805312695265</v>
      </c>
      <c r="O230">
        <f ca="1">IF($C230-O$1&lt;År1,0,N229*(1-VLOOKUP($A230,[1]Hugst!$R$5:$W$9,MATCH(ROUNDUP((O$1)/10,0)*10,[1]Hugst!$R$4:$W$4,0))))</f>
        <v>633.2763992082987</v>
      </c>
      <c r="P230">
        <f ca="1">IF($C230-P$1&lt;År1,0,O229*(1-VLOOKUP($A230,[1]Hugst!$R$5:$W$9,MATCH(ROUNDUP((P$1)/10,0)*10,[1]Hugst!$R$4:$W$4,0))))</f>
        <v>633.30862464373047</v>
      </c>
      <c r="Q230">
        <f ca="1">IF($C230-Q$1&lt;År1,0,P229*(1-VLOOKUP($A230,[1]Hugst!$R$5:$W$9,MATCH(ROUNDUP((Q$1)/10,0)*10,[1]Hugst!$R$4:$W$4,0))))</f>
        <v>633.34478889062825</v>
      </c>
      <c r="R230">
        <f>IF($C230-R$1&lt;År1,0,Q229*(1-VLOOKUP($A230,[1]Hugst!$R$5:$W$9,MATCH(ROUNDUP((R$1)/10,0)*10,[1]Hugst!$R$4:$W$4,0))))</f>
        <v>0</v>
      </c>
      <c r="S230">
        <f>IF($C230-S$1&lt;År1,0,R229*(1-VLOOKUP($A230,[1]Hugst!$R$5:$W$9,MATCH(ROUNDUP((S$1)/10,0)*10,[1]Hugst!$R$4:$W$4,0))))</f>
        <v>0</v>
      </c>
      <c r="T230">
        <f>IF($C230-T$1&lt;År1,0,S229*(1-VLOOKUP($A230,[1]Hugst!$R$5:$W$9,MATCH(ROUNDUP((T$1)/10,0)*10,[1]Hugst!$R$4:$W$4,0))))</f>
        <v>0</v>
      </c>
      <c r="U230">
        <f>IF($C230-U$1&lt;År1,0,T229*(1-VLOOKUP($A230,[1]Hugst!$R$5:$W$9,MATCH(ROUNDUP((U$1)/10,0)*10,[1]Hugst!$R$4:$W$4,0))))</f>
        <v>0</v>
      </c>
      <c r="V230">
        <f>IF($C230-V$1&lt;År1,0,U229*(1-VLOOKUP($A230,[1]Hugst!$R$5:$W$9,MATCH(ROUNDUP((V$1)/10,0)*10,[1]Hugst!$R$4:$W$4,0))))</f>
        <v>0</v>
      </c>
      <c r="W230">
        <f>IF($C230-W$1&lt;År1,0,V229*(1-VLOOKUP($A230,[1]Hugst!$R$5:$W$9,MATCH(ROUNDUP((W$1)/10,0)*10,[1]Hugst!$R$4:$W$4,0))))</f>
        <v>0</v>
      </c>
      <c r="X230">
        <f>IF($C230-X$1&lt;År1,0,W229*(1-VLOOKUP($A230,[1]Hugst!$R$5:$W$9,MATCH(ROUNDUP((X$1)/10,0)*10,[1]Hugst!$R$4:$W$4,0))))</f>
        <v>0</v>
      </c>
      <c r="Y230">
        <f>IF($C230-Y$1&lt;År1,0,X229*(1-VLOOKUP($A230,[1]Hugst!$R$5:$W$9,MATCH(ROUNDUP((Y$1)/10,0)*10,[1]Hugst!$R$4:$W$4,0))))</f>
        <v>0</v>
      </c>
      <c r="Z230">
        <f>IF($C230-Z$1&lt;År1,0,Y229*(1-VLOOKUP($A230,[1]Hugst!$R$5:$W$9,MATCH(ROUNDUP((Z$1)/10,0)*10,[1]Hugst!$R$4:$W$4,0))))</f>
        <v>0</v>
      </c>
      <c r="AA230">
        <f>IF($C230-AA$1&lt;År1,0,Z229*(1-VLOOKUP($A230,[1]Hugst!$R$5:$W$9,MATCH(ROUNDUP((AA$1)/10,0)*10,[1]Hugst!$R$4:$W$4,0))))</f>
        <v>0</v>
      </c>
      <c r="AB230">
        <f>IF($C230-AB$1&lt;År1,0,AA229*(1-VLOOKUP($A230,[1]Hugst!$R$5:$W$9,MATCH(ROUNDUP((AB$1)/10,0)*10,[1]Hugst!$R$4:$W$4,0))))</f>
        <v>0</v>
      </c>
      <c r="AC230">
        <f>IF($C230-AC$1&lt;År1,0,AB229*(1-VLOOKUP($A230,[1]Hugst!$R$5:$W$9,MATCH(ROUNDUP((AC$1)/10,0)*10,[1]Hugst!$R$4:$W$4,0))))</f>
        <v>0</v>
      </c>
      <c r="AD230">
        <f>IF($C230-AD$1&lt;År1,0,AC229*(1-VLOOKUP($A230,[1]Hugst!$R$5:$W$9,MATCH(ROUNDUP((AD$1)/10,0)*10,[1]Hugst!$R$4:$W$4,0))))</f>
        <v>0</v>
      </c>
      <c r="AE230">
        <f>IF($C230-AE$1&lt;År1,0,AD229*(1-VLOOKUP($A230,[1]Hugst!$R$5:$W$9,MATCH(ROUNDUP((AE$1)/10,0)*10,[1]Hugst!$R$4:$W$4,0))))</f>
        <v>0</v>
      </c>
      <c r="AF230">
        <f>IF($C230-AF$1&lt;År1,0,AE229*(1-VLOOKUP($A230,[1]Hugst!$R$5:$W$9,MATCH(ROUNDUP((AF$1)/10,0)*10,[1]Hugst!$R$4:$W$4,0))))</f>
        <v>0</v>
      </c>
      <c r="AG230">
        <f>IF($C230-AG$1&lt;År1,0,AF229*(1-VLOOKUP($A230,[1]Hugst!$R$5:$W$9,MATCH(ROUNDUP((AG$1)/10,0)*10,[1]Hugst!$R$4:$W$4,0))))</f>
        <v>0</v>
      </c>
      <c r="AH230">
        <f>IF($C230-AH$1&lt;År1,0,AG229*(1-VLOOKUP($A230,[1]Hugst!$R$5:$W$9,MATCH(ROUNDUP((AH$1)/10,0)*10,[1]Hugst!$R$4:$W$4,0))))</f>
        <v>0</v>
      </c>
      <c r="AI230">
        <f>IF($C230-AI$1&lt;År1,0,AH229*(1-VLOOKUP($A230,[1]Hugst!$R$5:$W$9,MATCH(ROUNDUP((AI$1)/10,0)*10,[1]Hugst!$R$4:$W$4,0))))</f>
        <v>0</v>
      </c>
      <c r="AJ230">
        <f>IF($C230-AJ$1&lt;År1,0,AI229*(1-VLOOKUP($A230,[1]Hugst!$R$5:$W$9,MATCH(ROUNDUP((AJ$1)/10,0)*10,[1]Hugst!$R$4:$W$4,0))))</f>
        <v>0</v>
      </c>
    </row>
    <row r="231" spans="1:36" x14ac:dyDescent="0.25">
      <c r="A231" t="s">
        <v>179</v>
      </c>
      <c r="B231" t="s">
        <v>24</v>
      </c>
      <c r="C231">
        <v>2032</v>
      </c>
      <c r="D231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269.80066529357509</v>
      </c>
      <c r="E231">
        <f t="shared" ca="1" si="5"/>
        <v>4.170577637727547</v>
      </c>
      <c r="F231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823.35395898068566</v>
      </c>
      <c r="G231">
        <f ca="1">IF($C231-G$1&lt;År1,0,F230*(1-VLOOKUP($A231,[1]Hugst!$R$5:$W$9,MATCH(ROUNDUP((G$1)/10,0)*10,[1]Hugst!$R$4:$W$4,0))))</f>
        <v>823.32573916647709</v>
      </c>
      <c r="H231">
        <f ca="1">IF($C231-H$1&lt;År1,0,G230*(1-VLOOKUP($A231,[1]Hugst!$R$5:$W$9,MATCH(ROUNDUP((H$1)/10,0)*10,[1]Hugst!$R$4:$W$4,0))))</f>
        <v>623.522618510744</v>
      </c>
      <c r="I231">
        <f ca="1">IF($C231-I$1&lt;År1,0,H230*(1-VLOOKUP($A231,[1]Hugst!$R$5:$W$9,MATCH(ROUNDUP((I$1)/10,0)*10,[1]Hugst!$R$4:$W$4,0))))</f>
        <v>623.49566811132399</v>
      </c>
      <c r="J231">
        <f ca="1">IF($C231-J$1&lt;År1,0,I230*(1-VLOOKUP($A231,[1]Hugst!$R$5:$W$9,MATCH(ROUNDUP((J$1)/10,0)*10,[1]Hugst!$R$4:$W$4,0))))</f>
        <v>624.8719921574102</v>
      </c>
      <c r="K231">
        <f ca="1">IF($C231-K$1&lt;År1,0,J230*(1-VLOOKUP($A231,[1]Hugst!$R$5:$W$9,MATCH(ROUNDUP((K$1)/10,0)*10,[1]Hugst!$R$4:$W$4,0))))</f>
        <v>626.25523240472512</v>
      </c>
      <c r="L231">
        <f ca="1">IF($C231-L$1&lt;År1,0,K230*(1-VLOOKUP($A231,[1]Hugst!$R$5:$W$9,MATCH(ROUNDUP((L$1)/10,0)*10,[1]Hugst!$R$4:$W$4,0))))</f>
        <v>627.6454236080765</v>
      </c>
      <c r="M231">
        <f ca="1">IF($C231-M$1&lt;År1,0,L230*(1-VLOOKUP($A231,[1]Hugst!$R$5:$W$9,MATCH(ROUNDUP((M$1)/10,0)*10,[1]Hugst!$R$4:$W$4,0))))</f>
        <v>629.04260069684574</v>
      </c>
      <c r="N231">
        <f ca="1">IF($C231-N$1&lt;År1,0,M230*(1-VLOOKUP($A231,[1]Hugst!$R$5:$W$9,MATCH(ROUNDUP((N$1)/10,0)*10,[1]Hugst!$R$4:$W$4,0))))</f>
        <v>630.44679877602812</v>
      </c>
      <c r="O231">
        <f ca="1">IF($C231-O$1&lt;År1,0,N230*(1-VLOOKUP($A231,[1]Hugst!$R$5:$W$9,MATCH(ROUNDUP((O$1)/10,0)*10,[1]Hugst!$R$4:$W$4,0))))</f>
        <v>631.85805312695265</v>
      </c>
      <c r="P231">
        <f ca="1">IF($C231-P$1&lt;År1,0,O230*(1-VLOOKUP($A231,[1]Hugst!$R$5:$W$9,MATCH(ROUNDUP((P$1)/10,0)*10,[1]Hugst!$R$4:$W$4,0))))</f>
        <v>631.88628028320727</v>
      </c>
      <c r="Q231">
        <f ca="1">IF($C231-Q$1&lt;År1,0,P230*(1-VLOOKUP($A231,[1]Hugst!$R$5:$W$9,MATCH(ROUNDUP((Q$1)/10,0)*10,[1]Hugst!$R$4:$W$4,0))))</f>
        <v>631.91843497987838</v>
      </c>
      <c r="R231">
        <f ca="1">IF($C231-R$1&lt;År1,0,Q230*(1-VLOOKUP($A231,[1]Hugst!$R$5:$W$9,MATCH(ROUNDUP((R$1)/10,0)*10,[1]Hugst!$R$4:$W$4,0))))</f>
        <v>631.95451984184399</v>
      </c>
      <c r="S231">
        <f>IF($C231-S$1&lt;År1,0,R230*(1-VLOOKUP($A231,[1]Hugst!$R$5:$W$9,MATCH(ROUNDUP((S$1)/10,0)*10,[1]Hugst!$R$4:$W$4,0))))</f>
        <v>0</v>
      </c>
      <c r="T231">
        <f>IF($C231-T$1&lt;År1,0,S230*(1-VLOOKUP($A231,[1]Hugst!$R$5:$W$9,MATCH(ROUNDUP((T$1)/10,0)*10,[1]Hugst!$R$4:$W$4,0))))</f>
        <v>0</v>
      </c>
      <c r="U231">
        <f>IF($C231-U$1&lt;År1,0,T230*(1-VLOOKUP($A231,[1]Hugst!$R$5:$W$9,MATCH(ROUNDUP((U$1)/10,0)*10,[1]Hugst!$R$4:$W$4,0))))</f>
        <v>0</v>
      </c>
      <c r="V231">
        <f>IF($C231-V$1&lt;År1,0,U230*(1-VLOOKUP($A231,[1]Hugst!$R$5:$W$9,MATCH(ROUNDUP((V$1)/10,0)*10,[1]Hugst!$R$4:$W$4,0))))</f>
        <v>0</v>
      </c>
      <c r="W231">
        <f>IF($C231-W$1&lt;År1,0,V230*(1-VLOOKUP($A231,[1]Hugst!$R$5:$W$9,MATCH(ROUNDUP((W$1)/10,0)*10,[1]Hugst!$R$4:$W$4,0))))</f>
        <v>0</v>
      </c>
      <c r="X231">
        <f>IF($C231-X$1&lt;År1,0,W230*(1-VLOOKUP($A231,[1]Hugst!$R$5:$W$9,MATCH(ROUNDUP((X$1)/10,0)*10,[1]Hugst!$R$4:$W$4,0))))</f>
        <v>0</v>
      </c>
      <c r="Y231">
        <f>IF($C231-Y$1&lt;År1,0,X230*(1-VLOOKUP($A231,[1]Hugst!$R$5:$W$9,MATCH(ROUNDUP((Y$1)/10,0)*10,[1]Hugst!$R$4:$W$4,0))))</f>
        <v>0</v>
      </c>
      <c r="Z231">
        <f>IF($C231-Z$1&lt;År1,0,Y230*(1-VLOOKUP($A231,[1]Hugst!$R$5:$W$9,MATCH(ROUNDUP((Z$1)/10,0)*10,[1]Hugst!$R$4:$W$4,0))))</f>
        <v>0</v>
      </c>
      <c r="AA231">
        <f>IF($C231-AA$1&lt;År1,0,Z230*(1-VLOOKUP($A231,[1]Hugst!$R$5:$W$9,MATCH(ROUNDUP((AA$1)/10,0)*10,[1]Hugst!$R$4:$W$4,0))))</f>
        <v>0</v>
      </c>
      <c r="AB231">
        <f>IF($C231-AB$1&lt;År1,0,AA230*(1-VLOOKUP($A231,[1]Hugst!$R$5:$W$9,MATCH(ROUNDUP((AB$1)/10,0)*10,[1]Hugst!$R$4:$W$4,0))))</f>
        <v>0</v>
      </c>
      <c r="AC231">
        <f>IF($C231-AC$1&lt;År1,0,AB230*(1-VLOOKUP($A231,[1]Hugst!$R$5:$W$9,MATCH(ROUNDUP((AC$1)/10,0)*10,[1]Hugst!$R$4:$W$4,0))))</f>
        <v>0</v>
      </c>
      <c r="AD231">
        <f>IF($C231-AD$1&lt;År1,0,AC230*(1-VLOOKUP($A231,[1]Hugst!$R$5:$W$9,MATCH(ROUNDUP((AD$1)/10,0)*10,[1]Hugst!$R$4:$W$4,0))))</f>
        <v>0</v>
      </c>
      <c r="AE231">
        <f>IF($C231-AE$1&lt;År1,0,AD230*(1-VLOOKUP($A231,[1]Hugst!$R$5:$W$9,MATCH(ROUNDUP((AE$1)/10,0)*10,[1]Hugst!$R$4:$W$4,0))))</f>
        <v>0</v>
      </c>
      <c r="AF231">
        <f>IF($C231-AF$1&lt;År1,0,AE230*(1-VLOOKUP($A231,[1]Hugst!$R$5:$W$9,MATCH(ROUNDUP((AF$1)/10,0)*10,[1]Hugst!$R$4:$W$4,0))))</f>
        <v>0</v>
      </c>
      <c r="AG231">
        <f>IF($C231-AG$1&lt;År1,0,AF230*(1-VLOOKUP($A231,[1]Hugst!$R$5:$W$9,MATCH(ROUNDUP((AG$1)/10,0)*10,[1]Hugst!$R$4:$W$4,0))))</f>
        <v>0</v>
      </c>
      <c r="AH231">
        <f>IF($C231-AH$1&lt;År1,0,AG230*(1-VLOOKUP($A231,[1]Hugst!$R$5:$W$9,MATCH(ROUNDUP((AH$1)/10,0)*10,[1]Hugst!$R$4:$W$4,0))))</f>
        <v>0</v>
      </c>
      <c r="AI231">
        <f>IF($C231-AI$1&lt;År1,0,AH230*(1-VLOOKUP($A231,[1]Hugst!$R$5:$W$9,MATCH(ROUNDUP((AI$1)/10,0)*10,[1]Hugst!$R$4:$W$4,0))))</f>
        <v>0</v>
      </c>
      <c r="AJ231">
        <f>IF($C231-AJ$1&lt;År1,0,AI230*(1-VLOOKUP($A231,[1]Hugst!$R$5:$W$9,MATCH(ROUNDUP((AJ$1)/10,0)*10,[1]Hugst!$R$4:$W$4,0))))</f>
        <v>0</v>
      </c>
    </row>
    <row r="232" spans="1:36" x14ac:dyDescent="0.25">
      <c r="A232" t="s">
        <v>179</v>
      </c>
      <c r="B232" t="s">
        <v>24</v>
      </c>
      <c r="C232">
        <v>2033</v>
      </c>
      <c r="D232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268.45166196710352</v>
      </c>
      <c r="E232">
        <f t="shared" ca="1" si="5"/>
        <v>5.5484281936787738</v>
      </c>
      <c r="F232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823.38280621016531</v>
      </c>
      <c r="G232">
        <f ca="1">IF($C232-G$1&lt;År1,0,F231*(1-VLOOKUP($A232,[1]Hugst!$R$5:$W$9,MATCH(ROUNDUP((G$1)/10,0)*10,[1]Hugst!$R$4:$W$4,0))))</f>
        <v>823.35395898068566</v>
      </c>
      <c r="H232">
        <f ca="1">IF($C232-H$1&lt;År1,0,G231*(1-VLOOKUP($A232,[1]Hugst!$R$5:$W$9,MATCH(ROUNDUP((H$1)/10,0)*10,[1]Hugst!$R$4:$W$4,0))))</f>
        <v>823.32573916647709</v>
      </c>
      <c r="I232">
        <f ca="1">IF($C232-I$1&lt;År1,0,H231*(1-VLOOKUP($A232,[1]Hugst!$R$5:$W$9,MATCH(ROUNDUP((I$1)/10,0)*10,[1]Hugst!$R$4:$W$4,0))))</f>
        <v>623.522618510744</v>
      </c>
      <c r="J232">
        <f ca="1">IF($C232-J$1&lt;År1,0,I231*(1-VLOOKUP($A232,[1]Hugst!$R$5:$W$9,MATCH(ROUNDUP((J$1)/10,0)*10,[1]Hugst!$R$4:$W$4,0))))</f>
        <v>623.49566811132399</v>
      </c>
      <c r="K232">
        <f ca="1">IF($C232-K$1&lt;År1,0,J231*(1-VLOOKUP($A232,[1]Hugst!$R$5:$W$9,MATCH(ROUNDUP((K$1)/10,0)*10,[1]Hugst!$R$4:$W$4,0))))</f>
        <v>624.8719921574102</v>
      </c>
      <c r="L232">
        <f ca="1">IF($C232-L$1&lt;År1,0,K231*(1-VLOOKUP($A232,[1]Hugst!$R$5:$W$9,MATCH(ROUNDUP((L$1)/10,0)*10,[1]Hugst!$R$4:$W$4,0))))</f>
        <v>626.25523240472512</v>
      </c>
      <c r="M232">
        <f ca="1">IF($C232-M$1&lt;År1,0,L231*(1-VLOOKUP($A232,[1]Hugst!$R$5:$W$9,MATCH(ROUNDUP((M$1)/10,0)*10,[1]Hugst!$R$4:$W$4,0))))</f>
        <v>627.6454236080765</v>
      </c>
      <c r="N232">
        <f ca="1">IF($C232-N$1&lt;År1,0,M231*(1-VLOOKUP($A232,[1]Hugst!$R$5:$W$9,MATCH(ROUNDUP((N$1)/10,0)*10,[1]Hugst!$R$4:$W$4,0))))</f>
        <v>629.04260069684574</v>
      </c>
      <c r="O232">
        <f ca="1">IF($C232-O$1&lt;År1,0,N231*(1-VLOOKUP($A232,[1]Hugst!$R$5:$W$9,MATCH(ROUNDUP((O$1)/10,0)*10,[1]Hugst!$R$4:$W$4,0))))</f>
        <v>630.44679877602812</v>
      </c>
      <c r="P232">
        <f ca="1">IF($C232-P$1&lt;År1,0,O231*(1-VLOOKUP($A232,[1]Hugst!$R$5:$W$9,MATCH(ROUNDUP((P$1)/10,0)*10,[1]Hugst!$R$4:$W$4,0))))</f>
        <v>630.47104764447886</v>
      </c>
      <c r="Q232">
        <f ca="1">IF($C232-Q$1&lt;År1,0,P231*(1-VLOOKUP($A232,[1]Hugst!$R$5:$W$9,MATCH(ROUNDUP((Q$1)/10,0)*10,[1]Hugst!$R$4:$W$4,0))))</f>
        <v>630.49921283868321</v>
      </c>
      <c r="R232">
        <f ca="1">IF($C232-R$1&lt;År1,0,Q231*(1-VLOOKUP($A232,[1]Hugst!$R$5:$W$9,MATCH(ROUNDUP((R$1)/10,0)*10,[1]Hugst!$R$4:$W$4,0))))</f>
        <v>630.53129695187374</v>
      </c>
      <c r="S232">
        <f ca="1">IF($C232-S$1&lt;År1,0,R231*(1-VLOOKUP($A232,[1]Hugst!$R$5:$W$9,MATCH(ROUNDUP((S$1)/10,0)*10,[1]Hugst!$R$4:$W$4,0))))</f>
        <v>630.56730260316681</v>
      </c>
      <c r="T232">
        <f>IF($C232-T$1&lt;År1,0,S231*(1-VLOOKUP($A232,[1]Hugst!$R$5:$W$9,MATCH(ROUNDUP((T$1)/10,0)*10,[1]Hugst!$R$4:$W$4,0))))</f>
        <v>0</v>
      </c>
      <c r="U232">
        <f>IF($C232-U$1&lt;År1,0,T231*(1-VLOOKUP($A232,[1]Hugst!$R$5:$W$9,MATCH(ROUNDUP((U$1)/10,0)*10,[1]Hugst!$R$4:$W$4,0))))</f>
        <v>0</v>
      </c>
      <c r="V232">
        <f>IF($C232-V$1&lt;År1,0,U231*(1-VLOOKUP($A232,[1]Hugst!$R$5:$W$9,MATCH(ROUNDUP((V$1)/10,0)*10,[1]Hugst!$R$4:$W$4,0))))</f>
        <v>0</v>
      </c>
      <c r="W232">
        <f>IF($C232-W$1&lt;År1,0,V231*(1-VLOOKUP($A232,[1]Hugst!$R$5:$W$9,MATCH(ROUNDUP((W$1)/10,0)*10,[1]Hugst!$R$4:$W$4,0))))</f>
        <v>0</v>
      </c>
      <c r="X232">
        <f>IF($C232-X$1&lt;År1,0,W231*(1-VLOOKUP($A232,[1]Hugst!$R$5:$W$9,MATCH(ROUNDUP((X$1)/10,0)*10,[1]Hugst!$R$4:$W$4,0))))</f>
        <v>0</v>
      </c>
      <c r="Y232">
        <f>IF($C232-Y$1&lt;År1,0,X231*(1-VLOOKUP($A232,[1]Hugst!$R$5:$W$9,MATCH(ROUNDUP((Y$1)/10,0)*10,[1]Hugst!$R$4:$W$4,0))))</f>
        <v>0</v>
      </c>
      <c r="Z232">
        <f>IF($C232-Z$1&lt;År1,0,Y231*(1-VLOOKUP($A232,[1]Hugst!$R$5:$W$9,MATCH(ROUNDUP((Z$1)/10,0)*10,[1]Hugst!$R$4:$W$4,0))))</f>
        <v>0</v>
      </c>
      <c r="AA232">
        <f>IF($C232-AA$1&lt;År1,0,Z231*(1-VLOOKUP($A232,[1]Hugst!$R$5:$W$9,MATCH(ROUNDUP((AA$1)/10,0)*10,[1]Hugst!$R$4:$W$4,0))))</f>
        <v>0</v>
      </c>
      <c r="AB232">
        <f>IF($C232-AB$1&lt;År1,0,AA231*(1-VLOOKUP($A232,[1]Hugst!$R$5:$W$9,MATCH(ROUNDUP((AB$1)/10,0)*10,[1]Hugst!$R$4:$W$4,0))))</f>
        <v>0</v>
      </c>
      <c r="AC232">
        <f>IF($C232-AC$1&lt;År1,0,AB231*(1-VLOOKUP($A232,[1]Hugst!$R$5:$W$9,MATCH(ROUNDUP((AC$1)/10,0)*10,[1]Hugst!$R$4:$W$4,0))))</f>
        <v>0</v>
      </c>
      <c r="AD232">
        <f>IF($C232-AD$1&lt;År1,0,AC231*(1-VLOOKUP($A232,[1]Hugst!$R$5:$W$9,MATCH(ROUNDUP((AD$1)/10,0)*10,[1]Hugst!$R$4:$W$4,0))))</f>
        <v>0</v>
      </c>
      <c r="AE232">
        <f>IF($C232-AE$1&lt;År1,0,AD231*(1-VLOOKUP($A232,[1]Hugst!$R$5:$W$9,MATCH(ROUNDUP((AE$1)/10,0)*10,[1]Hugst!$R$4:$W$4,0))))</f>
        <v>0</v>
      </c>
      <c r="AF232">
        <f>IF($C232-AF$1&lt;År1,0,AE231*(1-VLOOKUP($A232,[1]Hugst!$R$5:$W$9,MATCH(ROUNDUP((AF$1)/10,0)*10,[1]Hugst!$R$4:$W$4,0))))</f>
        <v>0</v>
      </c>
      <c r="AG232">
        <f>IF($C232-AG$1&lt;År1,0,AF231*(1-VLOOKUP($A232,[1]Hugst!$R$5:$W$9,MATCH(ROUNDUP((AG$1)/10,0)*10,[1]Hugst!$R$4:$W$4,0))))</f>
        <v>0</v>
      </c>
      <c r="AH232">
        <f>IF($C232-AH$1&lt;År1,0,AG231*(1-VLOOKUP($A232,[1]Hugst!$R$5:$W$9,MATCH(ROUNDUP((AH$1)/10,0)*10,[1]Hugst!$R$4:$W$4,0))))</f>
        <v>0</v>
      </c>
      <c r="AI232">
        <f>IF($C232-AI$1&lt;År1,0,AH231*(1-VLOOKUP($A232,[1]Hugst!$R$5:$W$9,MATCH(ROUNDUP((AI$1)/10,0)*10,[1]Hugst!$R$4:$W$4,0))))</f>
        <v>0</v>
      </c>
      <c r="AJ232">
        <f>IF($C232-AJ$1&lt;År1,0,AI231*(1-VLOOKUP($A232,[1]Hugst!$R$5:$W$9,MATCH(ROUNDUP((AJ$1)/10,0)*10,[1]Hugst!$R$4:$W$4,0))))</f>
        <v>0</v>
      </c>
    </row>
    <row r="233" spans="1:36" x14ac:dyDescent="0.25">
      <c r="A233" t="s">
        <v>179</v>
      </c>
      <c r="B233" t="s">
        <v>24</v>
      </c>
      <c r="C233">
        <v>2034</v>
      </c>
      <c r="D233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267.10940365726901</v>
      </c>
      <c r="E233">
        <f t="shared" ca="1" si="5"/>
        <v>6.9201563242258999</v>
      </c>
      <c r="F233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823.41227603087793</v>
      </c>
      <c r="G233">
        <f ca="1">IF($C233-G$1&lt;År1,0,F232*(1-VLOOKUP($A233,[1]Hugst!$R$5:$W$9,MATCH(ROUNDUP((G$1)/10,0)*10,[1]Hugst!$R$4:$W$4,0))))</f>
        <v>823.38280621016531</v>
      </c>
      <c r="H233">
        <f ca="1">IF($C233-H$1&lt;År1,0,G232*(1-VLOOKUP($A233,[1]Hugst!$R$5:$W$9,MATCH(ROUNDUP((H$1)/10,0)*10,[1]Hugst!$R$4:$W$4,0))))</f>
        <v>823.35395898068566</v>
      </c>
      <c r="I233">
        <f ca="1">IF($C233-I$1&lt;År1,0,H232*(1-VLOOKUP($A233,[1]Hugst!$R$5:$W$9,MATCH(ROUNDUP((I$1)/10,0)*10,[1]Hugst!$R$4:$W$4,0))))</f>
        <v>823.32573916647709</v>
      </c>
      <c r="J233">
        <f ca="1">IF($C233-J$1&lt;År1,0,I232*(1-VLOOKUP($A233,[1]Hugst!$R$5:$W$9,MATCH(ROUNDUP((J$1)/10,0)*10,[1]Hugst!$R$4:$W$4,0))))</f>
        <v>623.522618510744</v>
      </c>
      <c r="K233">
        <f ca="1">IF($C233-K$1&lt;År1,0,J232*(1-VLOOKUP($A233,[1]Hugst!$R$5:$W$9,MATCH(ROUNDUP((K$1)/10,0)*10,[1]Hugst!$R$4:$W$4,0))))</f>
        <v>623.49566811132399</v>
      </c>
      <c r="L233">
        <f ca="1">IF($C233-L$1&lt;År1,0,K232*(1-VLOOKUP($A233,[1]Hugst!$R$5:$W$9,MATCH(ROUNDUP((L$1)/10,0)*10,[1]Hugst!$R$4:$W$4,0))))</f>
        <v>624.8719921574102</v>
      </c>
      <c r="M233">
        <f ca="1">IF($C233-M$1&lt;År1,0,L232*(1-VLOOKUP($A233,[1]Hugst!$R$5:$W$9,MATCH(ROUNDUP((M$1)/10,0)*10,[1]Hugst!$R$4:$W$4,0))))</f>
        <v>626.25523240472512</v>
      </c>
      <c r="N233">
        <f ca="1">IF($C233-N$1&lt;År1,0,M232*(1-VLOOKUP($A233,[1]Hugst!$R$5:$W$9,MATCH(ROUNDUP((N$1)/10,0)*10,[1]Hugst!$R$4:$W$4,0))))</f>
        <v>627.6454236080765</v>
      </c>
      <c r="O233">
        <f ca="1">IF($C233-O$1&lt;År1,0,N232*(1-VLOOKUP($A233,[1]Hugst!$R$5:$W$9,MATCH(ROUNDUP((O$1)/10,0)*10,[1]Hugst!$R$4:$W$4,0))))</f>
        <v>629.04260069684574</v>
      </c>
      <c r="P233">
        <f ca="1">IF($C233-P$1&lt;År1,0,O232*(1-VLOOKUP($A233,[1]Hugst!$R$5:$W$9,MATCH(ROUNDUP((P$1)/10,0)*10,[1]Hugst!$R$4:$W$4,0))))</f>
        <v>629.0628911689588</v>
      </c>
      <c r="Q233">
        <f ca="1">IF($C233-Q$1&lt;År1,0,P232*(1-VLOOKUP($A233,[1]Hugst!$R$5:$W$9,MATCH(ROUNDUP((Q$1)/10,0)*10,[1]Hugst!$R$4:$W$4,0))))</f>
        <v>629.08708680818609</v>
      </c>
      <c r="R233">
        <f ca="1">IF($C233-R$1&lt;År1,0,Q232*(1-VLOOKUP($A233,[1]Hugst!$R$5:$W$9,MATCH(ROUNDUP((R$1)/10,0)*10,[1]Hugst!$R$4:$W$4,0))))</f>
        <v>629.11519017635442</v>
      </c>
      <c r="S233">
        <f ca="1">IF($C233-S$1&lt;År1,0,R232*(1-VLOOKUP($A233,[1]Hugst!$R$5:$W$9,MATCH(ROUNDUP((S$1)/10,0)*10,[1]Hugst!$R$4:$W$4,0))))</f>
        <v>629.14720386100373</v>
      </c>
      <c r="T233">
        <f ca="1">IF($C233-T$1&lt;År1,0,S232*(1-VLOOKUP($A233,[1]Hugst!$R$5:$W$9,MATCH(ROUNDUP((T$1)/10,0)*10,[1]Hugst!$R$4:$W$4,0))))</f>
        <v>629.18313047550134</v>
      </c>
      <c r="U233">
        <f>IF($C233-U$1&lt;År1,0,T232*(1-VLOOKUP($A233,[1]Hugst!$R$5:$W$9,MATCH(ROUNDUP((U$1)/10,0)*10,[1]Hugst!$R$4:$W$4,0))))</f>
        <v>0</v>
      </c>
      <c r="V233">
        <f>IF($C233-V$1&lt;År1,0,U232*(1-VLOOKUP($A233,[1]Hugst!$R$5:$W$9,MATCH(ROUNDUP((V$1)/10,0)*10,[1]Hugst!$R$4:$W$4,0))))</f>
        <v>0</v>
      </c>
      <c r="W233">
        <f>IF($C233-W$1&lt;År1,0,V232*(1-VLOOKUP($A233,[1]Hugst!$R$5:$W$9,MATCH(ROUNDUP((W$1)/10,0)*10,[1]Hugst!$R$4:$W$4,0))))</f>
        <v>0</v>
      </c>
      <c r="X233">
        <f>IF($C233-X$1&lt;År1,0,W232*(1-VLOOKUP($A233,[1]Hugst!$R$5:$W$9,MATCH(ROUNDUP((X$1)/10,0)*10,[1]Hugst!$R$4:$W$4,0))))</f>
        <v>0</v>
      </c>
      <c r="Y233">
        <f>IF($C233-Y$1&lt;År1,0,X232*(1-VLOOKUP($A233,[1]Hugst!$R$5:$W$9,MATCH(ROUNDUP((Y$1)/10,0)*10,[1]Hugst!$R$4:$W$4,0))))</f>
        <v>0</v>
      </c>
      <c r="Z233">
        <f>IF($C233-Z$1&lt;År1,0,Y232*(1-VLOOKUP($A233,[1]Hugst!$R$5:$W$9,MATCH(ROUNDUP((Z$1)/10,0)*10,[1]Hugst!$R$4:$W$4,0))))</f>
        <v>0</v>
      </c>
      <c r="AA233">
        <f>IF($C233-AA$1&lt;År1,0,Z232*(1-VLOOKUP($A233,[1]Hugst!$R$5:$W$9,MATCH(ROUNDUP((AA$1)/10,0)*10,[1]Hugst!$R$4:$W$4,0))))</f>
        <v>0</v>
      </c>
      <c r="AB233">
        <f>IF($C233-AB$1&lt;År1,0,AA232*(1-VLOOKUP($A233,[1]Hugst!$R$5:$W$9,MATCH(ROUNDUP((AB$1)/10,0)*10,[1]Hugst!$R$4:$W$4,0))))</f>
        <v>0</v>
      </c>
      <c r="AC233">
        <f>IF($C233-AC$1&lt;År1,0,AB232*(1-VLOOKUP($A233,[1]Hugst!$R$5:$W$9,MATCH(ROUNDUP((AC$1)/10,0)*10,[1]Hugst!$R$4:$W$4,0))))</f>
        <v>0</v>
      </c>
      <c r="AD233">
        <f>IF($C233-AD$1&lt;År1,0,AC232*(1-VLOOKUP($A233,[1]Hugst!$R$5:$W$9,MATCH(ROUNDUP((AD$1)/10,0)*10,[1]Hugst!$R$4:$W$4,0))))</f>
        <v>0</v>
      </c>
      <c r="AE233">
        <f>IF($C233-AE$1&lt;År1,0,AD232*(1-VLOOKUP($A233,[1]Hugst!$R$5:$W$9,MATCH(ROUNDUP((AE$1)/10,0)*10,[1]Hugst!$R$4:$W$4,0))))</f>
        <v>0</v>
      </c>
      <c r="AF233">
        <f>IF($C233-AF$1&lt;År1,0,AE232*(1-VLOOKUP($A233,[1]Hugst!$R$5:$W$9,MATCH(ROUNDUP((AF$1)/10,0)*10,[1]Hugst!$R$4:$W$4,0))))</f>
        <v>0</v>
      </c>
      <c r="AG233">
        <f>IF($C233-AG$1&lt;År1,0,AF232*(1-VLOOKUP($A233,[1]Hugst!$R$5:$W$9,MATCH(ROUNDUP((AG$1)/10,0)*10,[1]Hugst!$R$4:$W$4,0))))</f>
        <v>0</v>
      </c>
      <c r="AH233">
        <f>IF($C233-AH$1&lt;År1,0,AG232*(1-VLOOKUP($A233,[1]Hugst!$R$5:$W$9,MATCH(ROUNDUP((AH$1)/10,0)*10,[1]Hugst!$R$4:$W$4,0))))</f>
        <v>0</v>
      </c>
      <c r="AI233">
        <f>IF($C233-AI$1&lt;År1,0,AH232*(1-VLOOKUP($A233,[1]Hugst!$R$5:$W$9,MATCH(ROUNDUP((AI$1)/10,0)*10,[1]Hugst!$R$4:$W$4,0))))</f>
        <v>0</v>
      </c>
      <c r="AJ233">
        <f>IF($C233-AJ$1&lt;År1,0,AI232*(1-VLOOKUP($A233,[1]Hugst!$R$5:$W$9,MATCH(ROUNDUP((AJ$1)/10,0)*10,[1]Hugst!$R$4:$W$4,0))))</f>
        <v>0</v>
      </c>
    </row>
    <row r="234" spans="1:36" x14ac:dyDescent="0.25">
      <c r="A234" t="s">
        <v>179</v>
      </c>
      <c r="B234" t="s">
        <v>24</v>
      </c>
      <c r="C234">
        <v>2035</v>
      </c>
      <c r="D234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265.77385663898804</v>
      </c>
      <c r="E234">
        <f t="shared" ca="1" si="5"/>
        <v>8.2857909582180582</v>
      </c>
      <c r="F234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823.44236364658911</v>
      </c>
      <c r="G234">
        <f ca="1">IF($C234-G$1&lt;År1,0,F233*(1-VLOOKUP($A234,[1]Hugst!$R$5:$W$9,MATCH(ROUNDUP((G$1)/10,0)*10,[1]Hugst!$R$4:$W$4,0))))</f>
        <v>823.41227603087793</v>
      </c>
      <c r="H234">
        <f ca="1">IF($C234-H$1&lt;År1,0,G233*(1-VLOOKUP($A234,[1]Hugst!$R$5:$W$9,MATCH(ROUNDUP((H$1)/10,0)*10,[1]Hugst!$R$4:$W$4,0))))</f>
        <v>823.38280621016531</v>
      </c>
      <c r="I234">
        <f ca="1">IF($C234-I$1&lt;År1,0,H233*(1-VLOOKUP($A234,[1]Hugst!$R$5:$W$9,MATCH(ROUNDUP((I$1)/10,0)*10,[1]Hugst!$R$4:$W$4,0))))</f>
        <v>823.35395898068566</v>
      </c>
      <c r="J234">
        <f ca="1">IF($C234-J$1&lt;År1,0,I233*(1-VLOOKUP($A234,[1]Hugst!$R$5:$W$9,MATCH(ROUNDUP((J$1)/10,0)*10,[1]Hugst!$R$4:$W$4,0))))</f>
        <v>823.32573916647709</v>
      </c>
      <c r="K234">
        <f ca="1">IF($C234-K$1&lt;År1,0,J233*(1-VLOOKUP($A234,[1]Hugst!$R$5:$W$9,MATCH(ROUNDUP((K$1)/10,0)*10,[1]Hugst!$R$4:$W$4,0))))</f>
        <v>623.522618510744</v>
      </c>
      <c r="L234">
        <f ca="1">IF($C234-L$1&lt;År1,0,K233*(1-VLOOKUP($A234,[1]Hugst!$R$5:$W$9,MATCH(ROUNDUP((L$1)/10,0)*10,[1]Hugst!$R$4:$W$4,0))))</f>
        <v>623.49566811132399</v>
      </c>
      <c r="M234">
        <f ca="1">IF($C234-M$1&lt;År1,0,L233*(1-VLOOKUP($A234,[1]Hugst!$R$5:$W$9,MATCH(ROUNDUP((M$1)/10,0)*10,[1]Hugst!$R$4:$W$4,0))))</f>
        <v>624.8719921574102</v>
      </c>
      <c r="N234">
        <f ca="1">IF($C234-N$1&lt;År1,0,M233*(1-VLOOKUP($A234,[1]Hugst!$R$5:$W$9,MATCH(ROUNDUP((N$1)/10,0)*10,[1]Hugst!$R$4:$W$4,0))))</f>
        <v>626.25523240472512</v>
      </c>
      <c r="O234">
        <f ca="1">IF($C234-O$1&lt;År1,0,N233*(1-VLOOKUP($A234,[1]Hugst!$R$5:$W$9,MATCH(ROUNDUP((O$1)/10,0)*10,[1]Hugst!$R$4:$W$4,0))))</f>
        <v>627.6454236080765</v>
      </c>
      <c r="P234">
        <f ca="1">IF($C234-P$1&lt;År1,0,O233*(1-VLOOKUP($A234,[1]Hugst!$R$5:$W$9,MATCH(ROUNDUP((P$1)/10,0)*10,[1]Hugst!$R$4:$W$4,0))))</f>
        <v>627.66177547580389</v>
      </c>
      <c r="Q234">
        <f ca="1">IF($C234-Q$1&lt;År1,0,P233*(1-VLOOKUP($A234,[1]Hugst!$R$5:$W$9,MATCH(ROUNDUP((Q$1)/10,0)*10,[1]Hugst!$R$4:$W$4,0))))</f>
        <v>627.68202140785615</v>
      </c>
      <c r="R234">
        <f ca="1">IF($C234-R$1&lt;År1,0,Q233*(1-VLOOKUP($A234,[1]Hugst!$R$5:$W$9,MATCH(ROUNDUP((R$1)/10,0)*10,[1]Hugst!$R$4:$W$4,0))))</f>
        <v>627.7061639347047</v>
      </c>
      <c r="S234">
        <f ca="1">IF($C234-S$1&lt;År1,0,R233*(1-VLOOKUP($A234,[1]Hugst!$R$5:$W$9,MATCH(ROUNDUP((S$1)/10,0)*10,[1]Hugst!$R$4:$W$4,0))))</f>
        <v>627.73420561255261</v>
      </c>
      <c r="T234">
        <f ca="1">IF($C234-T$1&lt;År1,0,S233*(1-VLOOKUP($A234,[1]Hugst!$R$5:$W$9,MATCH(ROUNDUP((T$1)/10,0)*10,[1]Hugst!$R$4:$W$4,0))))</f>
        <v>627.76614902326003</v>
      </c>
      <c r="U234">
        <f ca="1">IF($C234-U$1&lt;År1,0,T233*(1-VLOOKUP($A234,[1]Hugst!$R$5:$W$9,MATCH(ROUNDUP((U$1)/10,0)*10,[1]Hugst!$R$4:$W$4,0))))</f>
        <v>627.80199677445751</v>
      </c>
      <c r="V234">
        <f>IF($C234-V$1&lt;År1,0,U233*(1-VLOOKUP($A234,[1]Hugst!$R$5:$W$9,MATCH(ROUNDUP((V$1)/10,0)*10,[1]Hugst!$R$4:$W$4,0))))</f>
        <v>0</v>
      </c>
      <c r="W234">
        <f>IF($C234-W$1&lt;År1,0,V233*(1-VLOOKUP($A234,[1]Hugst!$R$5:$W$9,MATCH(ROUNDUP((W$1)/10,0)*10,[1]Hugst!$R$4:$W$4,0))))</f>
        <v>0</v>
      </c>
      <c r="X234">
        <f>IF($C234-X$1&lt;År1,0,W233*(1-VLOOKUP($A234,[1]Hugst!$R$5:$W$9,MATCH(ROUNDUP((X$1)/10,0)*10,[1]Hugst!$R$4:$W$4,0))))</f>
        <v>0</v>
      </c>
      <c r="Y234">
        <f>IF($C234-Y$1&lt;År1,0,X233*(1-VLOOKUP($A234,[1]Hugst!$R$5:$W$9,MATCH(ROUNDUP((Y$1)/10,0)*10,[1]Hugst!$R$4:$W$4,0))))</f>
        <v>0</v>
      </c>
      <c r="Z234">
        <f>IF($C234-Z$1&lt;År1,0,Y233*(1-VLOOKUP($A234,[1]Hugst!$R$5:$W$9,MATCH(ROUNDUP((Z$1)/10,0)*10,[1]Hugst!$R$4:$W$4,0))))</f>
        <v>0</v>
      </c>
      <c r="AA234">
        <f>IF($C234-AA$1&lt;År1,0,Z233*(1-VLOOKUP($A234,[1]Hugst!$R$5:$W$9,MATCH(ROUNDUP((AA$1)/10,0)*10,[1]Hugst!$R$4:$W$4,0))))</f>
        <v>0</v>
      </c>
      <c r="AB234">
        <f>IF($C234-AB$1&lt;År1,0,AA233*(1-VLOOKUP($A234,[1]Hugst!$R$5:$W$9,MATCH(ROUNDUP((AB$1)/10,0)*10,[1]Hugst!$R$4:$W$4,0))))</f>
        <v>0</v>
      </c>
      <c r="AC234">
        <f>IF($C234-AC$1&lt;År1,0,AB233*(1-VLOOKUP($A234,[1]Hugst!$R$5:$W$9,MATCH(ROUNDUP((AC$1)/10,0)*10,[1]Hugst!$R$4:$W$4,0))))</f>
        <v>0</v>
      </c>
      <c r="AD234">
        <f>IF($C234-AD$1&lt;År1,0,AC233*(1-VLOOKUP($A234,[1]Hugst!$R$5:$W$9,MATCH(ROUNDUP((AD$1)/10,0)*10,[1]Hugst!$R$4:$W$4,0))))</f>
        <v>0</v>
      </c>
      <c r="AE234">
        <f>IF($C234-AE$1&lt;År1,0,AD233*(1-VLOOKUP($A234,[1]Hugst!$R$5:$W$9,MATCH(ROUNDUP((AE$1)/10,0)*10,[1]Hugst!$R$4:$W$4,0))))</f>
        <v>0</v>
      </c>
      <c r="AF234">
        <f>IF($C234-AF$1&lt;År1,0,AE233*(1-VLOOKUP($A234,[1]Hugst!$R$5:$W$9,MATCH(ROUNDUP((AF$1)/10,0)*10,[1]Hugst!$R$4:$W$4,0))))</f>
        <v>0</v>
      </c>
      <c r="AG234">
        <f>IF($C234-AG$1&lt;År1,0,AF233*(1-VLOOKUP($A234,[1]Hugst!$R$5:$W$9,MATCH(ROUNDUP((AG$1)/10,0)*10,[1]Hugst!$R$4:$W$4,0))))</f>
        <v>0</v>
      </c>
      <c r="AH234">
        <f>IF($C234-AH$1&lt;År1,0,AG233*(1-VLOOKUP($A234,[1]Hugst!$R$5:$W$9,MATCH(ROUNDUP((AH$1)/10,0)*10,[1]Hugst!$R$4:$W$4,0))))</f>
        <v>0</v>
      </c>
      <c r="AI234">
        <f>IF($C234-AI$1&lt;År1,0,AH233*(1-VLOOKUP($A234,[1]Hugst!$R$5:$W$9,MATCH(ROUNDUP((AI$1)/10,0)*10,[1]Hugst!$R$4:$W$4,0))))</f>
        <v>0</v>
      </c>
      <c r="AJ234">
        <f>IF($C234-AJ$1&lt;År1,0,AI233*(1-VLOOKUP($A234,[1]Hugst!$R$5:$W$9,MATCH(ROUNDUP((AJ$1)/10,0)*10,[1]Hugst!$R$4:$W$4,0))))</f>
        <v>0</v>
      </c>
    </row>
    <row r="235" spans="1:36" x14ac:dyDescent="0.25">
      <c r="A235" t="s">
        <v>179</v>
      </c>
      <c r="B235" t="s">
        <v>24</v>
      </c>
      <c r="C235">
        <v>2036</v>
      </c>
      <c r="D235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264.444987355786</v>
      </c>
      <c r="E235">
        <f t="shared" ca="1" si="5"/>
        <v>9.6453608835417981</v>
      </c>
      <c r="F235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823.47306428871082</v>
      </c>
      <c r="G235">
        <f ca="1">IF($C235-G$1&lt;År1,0,F234*(1-VLOOKUP($A235,[1]Hugst!$R$5:$W$9,MATCH(ROUNDUP((G$1)/10,0)*10,[1]Hugst!$R$4:$W$4,0))))</f>
        <v>823.44236364658911</v>
      </c>
      <c r="H235">
        <f ca="1">IF($C235-H$1&lt;År1,0,G234*(1-VLOOKUP($A235,[1]Hugst!$R$5:$W$9,MATCH(ROUNDUP((H$1)/10,0)*10,[1]Hugst!$R$4:$W$4,0))))</f>
        <v>823.41227603087793</v>
      </c>
      <c r="I235">
        <f ca="1">IF($C235-I$1&lt;År1,0,H234*(1-VLOOKUP($A235,[1]Hugst!$R$5:$W$9,MATCH(ROUNDUP((I$1)/10,0)*10,[1]Hugst!$R$4:$W$4,0))))</f>
        <v>823.38280621016531</v>
      </c>
      <c r="J235">
        <f ca="1">IF($C235-J$1&lt;År1,0,I234*(1-VLOOKUP($A235,[1]Hugst!$R$5:$W$9,MATCH(ROUNDUP((J$1)/10,0)*10,[1]Hugst!$R$4:$W$4,0))))</f>
        <v>823.35395898068566</v>
      </c>
      <c r="K235">
        <f ca="1">IF($C235-K$1&lt;År1,0,J234*(1-VLOOKUP($A235,[1]Hugst!$R$5:$W$9,MATCH(ROUNDUP((K$1)/10,0)*10,[1]Hugst!$R$4:$W$4,0))))</f>
        <v>823.32573916647709</v>
      </c>
      <c r="L235">
        <f ca="1">IF($C235-L$1&lt;År1,0,K234*(1-VLOOKUP($A235,[1]Hugst!$R$5:$W$9,MATCH(ROUNDUP((L$1)/10,0)*10,[1]Hugst!$R$4:$W$4,0))))</f>
        <v>623.522618510744</v>
      </c>
      <c r="M235">
        <f ca="1">IF($C235-M$1&lt;År1,0,L234*(1-VLOOKUP($A235,[1]Hugst!$R$5:$W$9,MATCH(ROUNDUP((M$1)/10,0)*10,[1]Hugst!$R$4:$W$4,0))))</f>
        <v>623.49566811132399</v>
      </c>
      <c r="N235">
        <f ca="1">IF($C235-N$1&lt;År1,0,M234*(1-VLOOKUP($A235,[1]Hugst!$R$5:$W$9,MATCH(ROUNDUP((N$1)/10,0)*10,[1]Hugst!$R$4:$W$4,0))))</f>
        <v>624.8719921574102</v>
      </c>
      <c r="O235">
        <f ca="1">IF($C235-O$1&lt;År1,0,N234*(1-VLOOKUP($A235,[1]Hugst!$R$5:$W$9,MATCH(ROUNDUP((O$1)/10,0)*10,[1]Hugst!$R$4:$W$4,0))))</f>
        <v>626.25523240472512</v>
      </c>
      <c r="P235">
        <f ca="1">IF($C235-P$1&lt;År1,0,O234*(1-VLOOKUP($A235,[1]Hugst!$R$5:$W$9,MATCH(ROUNDUP((P$1)/10,0)*10,[1]Hugst!$R$4:$W$4,0))))</f>
        <v>626.26766536113189</v>
      </c>
      <c r="Q235">
        <f ca="1">IF($C235-Q$1&lt;År1,0,P234*(1-VLOOKUP($A235,[1]Hugst!$R$5:$W$9,MATCH(ROUNDUP((Q$1)/10,0)*10,[1]Hugst!$R$4:$W$4,0))))</f>
        <v>626.28398133451549</v>
      </c>
      <c r="R235">
        <f ca="1">IF($C235-R$1&lt;År1,0,Q234*(1-VLOOKUP($A235,[1]Hugst!$R$5:$W$9,MATCH(ROUNDUP((R$1)/10,0)*10,[1]Hugst!$R$4:$W$4,0))))</f>
        <v>626.30418282427797</v>
      </c>
      <c r="S235">
        <f ca="1">IF($C235-S$1&lt;År1,0,R234*(1-VLOOKUP($A235,[1]Hugst!$R$5:$W$9,MATCH(ROUNDUP((S$1)/10,0)*10,[1]Hugst!$R$4:$W$4,0))))</f>
        <v>626.3282723553358</v>
      </c>
      <c r="T235">
        <f ca="1">IF($C235-T$1&lt;År1,0,S234*(1-VLOOKUP($A235,[1]Hugst!$R$5:$W$9,MATCH(ROUNDUP((T$1)/10,0)*10,[1]Hugst!$R$4:$W$4,0))))</f>
        <v>626.35625247828114</v>
      </c>
      <c r="U235">
        <f ca="1">IF($C235-U$1&lt;År1,0,T234*(1-VLOOKUP($A235,[1]Hugst!$R$5:$W$9,MATCH(ROUNDUP((U$1)/10,0)*10,[1]Hugst!$R$4:$W$4,0))))</f>
        <v>626.3881257693065</v>
      </c>
      <c r="V235">
        <f ca="1">IF($C235-V$1&lt;År1,0,U234*(1-VLOOKUP($A235,[1]Hugst!$R$5:$W$9,MATCH(ROUNDUP((V$1)/10,0)*10,[1]Hugst!$R$4:$W$4,0))))</f>
        <v>626.42389483031843</v>
      </c>
      <c r="W235">
        <f>IF($C235-W$1&lt;År1,0,V234*(1-VLOOKUP($A235,[1]Hugst!$R$5:$W$9,MATCH(ROUNDUP((W$1)/10,0)*10,[1]Hugst!$R$4:$W$4,0))))</f>
        <v>0</v>
      </c>
      <c r="X235">
        <f>IF($C235-X$1&lt;År1,0,W234*(1-VLOOKUP($A235,[1]Hugst!$R$5:$W$9,MATCH(ROUNDUP((X$1)/10,0)*10,[1]Hugst!$R$4:$W$4,0))))</f>
        <v>0</v>
      </c>
      <c r="Y235">
        <f>IF($C235-Y$1&lt;År1,0,X234*(1-VLOOKUP($A235,[1]Hugst!$R$5:$W$9,MATCH(ROUNDUP((Y$1)/10,0)*10,[1]Hugst!$R$4:$W$4,0))))</f>
        <v>0</v>
      </c>
      <c r="Z235">
        <f>IF($C235-Z$1&lt;År1,0,Y234*(1-VLOOKUP($A235,[1]Hugst!$R$5:$W$9,MATCH(ROUNDUP((Z$1)/10,0)*10,[1]Hugst!$R$4:$W$4,0))))</f>
        <v>0</v>
      </c>
      <c r="AA235">
        <f>IF($C235-AA$1&lt;År1,0,Z234*(1-VLOOKUP($A235,[1]Hugst!$R$5:$W$9,MATCH(ROUNDUP((AA$1)/10,0)*10,[1]Hugst!$R$4:$W$4,0))))</f>
        <v>0</v>
      </c>
      <c r="AB235">
        <f>IF($C235-AB$1&lt;År1,0,AA234*(1-VLOOKUP($A235,[1]Hugst!$R$5:$W$9,MATCH(ROUNDUP((AB$1)/10,0)*10,[1]Hugst!$R$4:$W$4,0))))</f>
        <v>0</v>
      </c>
      <c r="AC235">
        <f>IF($C235-AC$1&lt;År1,0,AB234*(1-VLOOKUP($A235,[1]Hugst!$R$5:$W$9,MATCH(ROUNDUP((AC$1)/10,0)*10,[1]Hugst!$R$4:$W$4,0))))</f>
        <v>0</v>
      </c>
      <c r="AD235">
        <f>IF($C235-AD$1&lt;År1,0,AC234*(1-VLOOKUP($A235,[1]Hugst!$R$5:$W$9,MATCH(ROUNDUP((AD$1)/10,0)*10,[1]Hugst!$R$4:$W$4,0))))</f>
        <v>0</v>
      </c>
      <c r="AE235">
        <f>IF($C235-AE$1&lt;År1,0,AD234*(1-VLOOKUP($A235,[1]Hugst!$R$5:$W$9,MATCH(ROUNDUP((AE$1)/10,0)*10,[1]Hugst!$R$4:$W$4,0))))</f>
        <v>0</v>
      </c>
      <c r="AF235">
        <f>IF($C235-AF$1&lt;År1,0,AE234*(1-VLOOKUP($A235,[1]Hugst!$R$5:$W$9,MATCH(ROUNDUP((AF$1)/10,0)*10,[1]Hugst!$R$4:$W$4,0))))</f>
        <v>0</v>
      </c>
      <c r="AG235">
        <f>IF($C235-AG$1&lt;År1,0,AF234*(1-VLOOKUP($A235,[1]Hugst!$R$5:$W$9,MATCH(ROUNDUP((AG$1)/10,0)*10,[1]Hugst!$R$4:$W$4,0))))</f>
        <v>0</v>
      </c>
      <c r="AH235">
        <f>IF($C235-AH$1&lt;År1,0,AG234*(1-VLOOKUP($A235,[1]Hugst!$R$5:$W$9,MATCH(ROUNDUP((AH$1)/10,0)*10,[1]Hugst!$R$4:$W$4,0))))</f>
        <v>0</v>
      </c>
      <c r="AI235">
        <f>IF($C235-AI$1&lt;År1,0,AH234*(1-VLOOKUP($A235,[1]Hugst!$R$5:$W$9,MATCH(ROUNDUP((AI$1)/10,0)*10,[1]Hugst!$R$4:$W$4,0))))</f>
        <v>0</v>
      </c>
      <c r="AJ235">
        <f>IF($C235-AJ$1&lt;År1,0,AI234*(1-VLOOKUP($A235,[1]Hugst!$R$5:$W$9,MATCH(ROUNDUP((AJ$1)/10,0)*10,[1]Hugst!$R$4:$W$4,0))))</f>
        <v>0</v>
      </c>
    </row>
    <row r="236" spans="1:36" x14ac:dyDescent="0.25">
      <c r="A236" t="s">
        <v>179</v>
      </c>
      <c r="B236" t="s">
        <v>24</v>
      </c>
      <c r="C236">
        <v>2037</v>
      </c>
      <c r="D236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263.12276241901054</v>
      </c>
      <c r="E236">
        <f t="shared" ca="1" si="5"/>
        <v>10.998894747859595</v>
      </c>
      <c r="F236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823.50437321625316</v>
      </c>
      <c r="G236">
        <f ca="1">IF($C236-G$1&lt;År1,0,F235*(1-VLOOKUP($A236,[1]Hugst!$R$5:$W$9,MATCH(ROUNDUP((G$1)/10,0)*10,[1]Hugst!$R$4:$W$4,0))))</f>
        <v>823.47306428871082</v>
      </c>
      <c r="H236">
        <f ca="1">IF($C236-H$1&lt;År1,0,G235*(1-VLOOKUP($A236,[1]Hugst!$R$5:$W$9,MATCH(ROUNDUP((H$1)/10,0)*10,[1]Hugst!$R$4:$W$4,0))))</f>
        <v>823.44236364658911</v>
      </c>
      <c r="I236">
        <f ca="1">IF($C236-I$1&lt;År1,0,H235*(1-VLOOKUP($A236,[1]Hugst!$R$5:$W$9,MATCH(ROUNDUP((I$1)/10,0)*10,[1]Hugst!$R$4:$W$4,0))))</f>
        <v>823.41227603087793</v>
      </c>
      <c r="J236">
        <f ca="1">IF($C236-J$1&lt;År1,0,I235*(1-VLOOKUP($A236,[1]Hugst!$R$5:$W$9,MATCH(ROUNDUP((J$1)/10,0)*10,[1]Hugst!$R$4:$W$4,0))))</f>
        <v>823.38280621016531</v>
      </c>
      <c r="K236">
        <f ca="1">IF($C236-K$1&lt;År1,0,J235*(1-VLOOKUP($A236,[1]Hugst!$R$5:$W$9,MATCH(ROUNDUP((K$1)/10,0)*10,[1]Hugst!$R$4:$W$4,0))))</f>
        <v>823.35395898068566</v>
      </c>
      <c r="L236">
        <f ca="1">IF($C236-L$1&lt;År1,0,K235*(1-VLOOKUP($A236,[1]Hugst!$R$5:$W$9,MATCH(ROUNDUP((L$1)/10,0)*10,[1]Hugst!$R$4:$W$4,0))))</f>
        <v>823.32573916647709</v>
      </c>
      <c r="M236">
        <f ca="1">IF($C236-M$1&lt;År1,0,L235*(1-VLOOKUP($A236,[1]Hugst!$R$5:$W$9,MATCH(ROUNDUP((M$1)/10,0)*10,[1]Hugst!$R$4:$W$4,0))))</f>
        <v>623.522618510744</v>
      </c>
      <c r="N236">
        <f ca="1">IF($C236-N$1&lt;År1,0,M235*(1-VLOOKUP($A236,[1]Hugst!$R$5:$W$9,MATCH(ROUNDUP((N$1)/10,0)*10,[1]Hugst!$R$4:$W$4,0))))</f>
        <v>623.49566811132399</v>
      </c>
      <c r="O236">
        <f ca="1">IF($C236-O$1&lt;År1,0,N235*(1-VLOOKUP($A236,[1]Hugst!$R$5:$W$9,MATCH(ROUNDUP((O$1)/10,0)*10,[1]Hugst!$R$4:$W$4,0))))</f>
        <v>624.8719921574102</v>
      </c>
      <c r="P236">
        <f ca="1">IF($C236-P$1&lt;År1,0,O235*(1-VLOOKUP($A236,[1]Hugst!$R$5:$W$9,MATCH(ROUNDUP((P$1)/10,0)*10,[1]Hugst!$R$4:$W$4,0))))</f>
        <v>624.88052579700741</v>
      </c>
      <c r="Q236">
        <f ca="1">IF($C236-Q$1&lt;År1,0,P235*(1-VLOOKUP($A236,[1]Hugst!$R$5:$W$9,MATCH(ROUNDUP((Q$1)/10,0)*10,[1]Hugst!$R$4:$W$4,0))))</f>
        <v>624.89293146155865</v>
      </c>
      <c r="R236">
        <f ca="1">IF($C236-R$1&lt;År1,0,Q235*(1-VLOOKUP($A236,[1]Hugst!$R$5:$W$9,MATCH(ROUNDUP((R$1)/10,0)*10,[1]Hugst!$R$4:$W$4,0))))</f>
        <v>624.90921161939093</v>
      </c>
      <c r="S236">
        <f ca="1">IF($C236-S$1&lt;År1,0,R235*(1-VLOOKUP($A236,[1]Hugst!$R$5:$W$9,MATCH(ROUNDUP((S$1)/10,0)*10,[1]Hugst!$R$4:$W$4,0))))</f>
        <v>624.92936876441979</v>
      </c>
      <c r="T236">
        <f ca="1">IF($C236-T$1&lt;År1,0,S235*(1-VLOOKUP($A236,[1]Hugst!$R$5:$W$9,MATCH(ROUNDUP((T$1)/10,0)*10,[1]Hugst!$R$4:$W$4,0))))</f>
        <v>624.95340541601922</v>
      </c>
      <c r="U236">
        <f ca="1">IF($C236-U$1&lt;År1,0,T235*(1-VLOOKUP($A236,[1]Hugst!$R$5:$W$9,MATCH(ROUNDUP((U$1)/10,0)*10,[1]Hugst!$R$4:$W$4,0))))</f>
        <v>624.98132411918243</v>
      </c>
      <c r="V236">
        <f ca="1">IF($C236-V$1&lt;År1,0,U235*(1-VLOOKUP($A236,[1]Hugst!$R$5:$W$9,MATCH(ROUNDUP((V$1)/10,0)*10,[1]Hugst!$R$4:$W$4,0))))</f>
        <v>625.01312744444704</v>
      </c>
      <c r="W236">
        <f ca="1">IF($C236-W$1&lt;År1,0,V235*(1-VLOOKUP($A236,[1]Hugst!$R$5:$W$9,MATCH(ROUNDUP((W$1)/10,0)*10,[1]Hugst!$R$4:$W$4,0))))</f>
        <v>625.04881798800795</v>
      </c>
      <c r="X236">
        <f>IF($C236-X$1&lt;År1,0,W235*(1-VLOOKUP($A236,[1]Hugst!$R$5:$W$9,MATCH(ROUNDUP((X$1)/10,0)*10,[1]Hugst!$R$4:$W$4,0))))</f>
        <v>0</v>
      </c>
      <c r="Y236">
        <f>IF($C236-Y$1&lt;År1,0,X235*(1-VLOOKUP($A236,[1]Hugst!$R$5:$W$9,MATCH(ROUNDUP((Y$1)/10,0)*10,[1]Hugst!$R$4:$W$4,0))))</f>
        <v>0</v>
      </c>
      <c r="Z236">
        <f>IF($C236-Z$1&lt;År1,0,Y235*(1-VLOOKUP($A236,[1]Hugst!$R$5:$W$9,MATCH(ROUNDUP((Z$1)/10,0)*10,[1]Hugst!$R$4:$W$4,0))))</f>
        <v>0</v>
      </c>
      <c r="AA236">
        <f>IF($C236-AA$1&lt;År1,0,Z235*(1-VLOOKUP($A236,[1]Hugst!$R$5:$W$9,MATCH(ROUNDUP((AA$1)/10,0)*10,[1]Hugst!$R$4:$W$4,0))))</f>
        <v>0</v>
      </c>
      <c r="AB236">
        <f>IF($C236-AB$1&lt;År1,0,AA235*(1-VLOOKUP($A236,[1]Hugst!$R$5:$W$9,MATCH(ROUNDUP((AB$1)/10,0)*10,[1]Hugst!$R$4:$W$4,0))))</f>
        <v>0</v>
      </c>
      <c r="AC236">
        <f>IF($C236-AC$1&lt;År1,0,AB235*(1-VLOOKUP($A236,[1]Hugst!$R$5:$W$9,MATCH(ROUNDUP((AC$1)/10,0)*10,[1]Hugst!$R$4:$W$4,0))))</f>
        <v>0</v>
      </c>
      <c r="AD236">
        <f>IF($C236-AD$1&lt;År1,0,AC235*(1-VLOOKUP($A236,[1]Hugst!$R$5:$W$9,MATCH(ROUNDUP((AD$1)/10,0)*10,[1]Hugst!$R$4:$W$4,0))))</f>
        <v>0</v>
      </c>
      <c r="AE236">
        <f>IF($C236-AE$1&lt;År1,0,AD235*(1-VLOOKUP($A236,[1]Hugst!$R$5:$W$9,MATCH(ROUNDUP((AE$1)/10,0)*10,[1]Hugst!$R$4:$W$4,0))))</f>
        <v>0</v>
      </c>
      <c r="AF236">
        <f>IF($C236-AF$1&lt;År1,0,AE235*(1-VLOOKUP($A236,[1]Hugst!$R$5:$W$9,MATCH(ROUNDUP((AF$1)/10,0)*10,[1]Hugst!$R$4:$W$4,0))))</f>
        <v>0</v>
      </c>
      <c r="AG236">
        <f>IF($C236-AG$1&lt;År1,0,AF235*(1-VLOOKUP($A236,[1]Hugst!$R$5:$W$9,MATCH(ROUNDUP((AG$1)/10,0)*10,[1]Hugst!$R$4:$W$4,0))))</f>
        <v>0</v>
      </c>
      <c r="AH236">
        <f>IF($C236-AH$1&lt;År1,0,AG235*(1-VLOOKUP($A236,[1]Hugst!$R$5:$W$9,MATCH(ROUNDUP((AH$1)/10,0)*10,[1]Hugst!$R$4:$W$4,0))))</f>
        <v>0</v>
      </c>
      <c r="AI236">
        <f>IF($C236-AI$1&lt;År1,0,AH235*(1-VLOOKUP($A236,[1]Hugst!$R$5:$W$9,MATCH(ROUNDUP((AI$1)/10,0)*10,[1]Hugst!$R$4:$W$4,0))))</f>
        <v>0</v>
      </c>
      <c r="AJ236">
        <f>IF($C236-AJ$1&lt;År1,0,AI235*(1-VLOOKUP($A236,[1]Hugst!$R$5:$W$9,MATCH(ROUNDUP((AJ$1)/10,0)*10,[1]Hugst!$R$4:$W$4,0))))</f>
        <v>0</v>
      </c>
    </row>
    <row r="237" spans="1:36" x14ac:dyDescent="0.25">
      <c r="A237" t="s">
        <v>179</v>
      </c>
      <c r="B237" t="s">
        <v>24</v>
      </c>
      <c r="C237">
        <v>2038</v>
      </c>
      <c r="D237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261.80714860692024</v>
      </c>
      <c r="E237">
        <f t="shared" ca="1" si="5"/>
        <v>12.346421059244676</v>
      </c>
      <c r="F237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823.53628571554793</v>
      </c>
      <c r="G237">
        <f ca="1">IF($C237-G$1&lt;År1,0,F236*(1-VLOOKUP($A237,[1]Hugst!$R$5:$W$9,MATCH(ROUNDUP((G$1)/10,0)*10,[1]Hugst!$R$4:$W$4,0))))</f>
        <v>823.50437321625316</v>
      </c>
      <c r="H237">
        <f ca="1">IF($C237-H$1&lt;År1,0,G236*(1-VLOOKUP($A237,[1]Hugst!$R$5:$W$9,MATCH(ROUNDUP((H$1)/10,0)*10,[1]Hugst!$R$4:$W$4,0))))</f>
        <v>823.47306428871082</v>
      </c>
      <c r="I237">
        <f ca="1">IF($C237-I$1&lt;År1,0,H236*(1-VLOOKUP($A237,[1]Hugst!$R$5:$W$9,MATCH(ROUNDUP((I$1)/10,0)*10,[1]Hugst!$R$4:$W$4,0))))</f>
        <v>823.44236364658911</v>
      </c>
      <c r="J237">
        <f ca="1">IF($C237-J$1&lt;År1,0,I236*(1-VLOOKUP($A237,[1]Hugst!$R$5:$W$9,MATCH(ROUNDUP((J$1)/10,0)*10,[1]Hugst!$R$4:$W$4,0))))</f>
        <v>823.41227603087793</v>
      </c>
      <c r="K237">
        <f ca="1">IF($C237-K$1&lt;År1,0,J236*(1-VLOOKUP($A237,[1]Hugst!$R$5:$W$9,MATCH(ROUNDUP((K$1)/10,0)*10,[1]Hugst!$R$4:$W$4,0))))</f>
        <v>823.38280621016531</v>
      </c>
      <c r="L237">
        <f ca="1">IF($C237-L$1&lt;År1,0,K236*(1-VLOOKUP($A237,[1]Hugst!$R$5:$W$9,MATCH(ROUNDUP((L$1)/10,0)*10,[1]Hugst!$R$4:$W$4,0))))</f>
        <v>823.35395898068566</v>
      </c>
      <c r="M237">
        <f ca="1">IF($C237-M$1&lt;År1,0,L236*(1-VLOOKUP($A237,[1]Hugst!$R$5:$W$9,MATCH(ROUNDUP((M$1)/10,0)*10,[1]Hugst!$R$4:$W$4,0))))</f>
        <v>823.32573916647709</v>
      </c>
      <c r="N237">
        <f ca="1">IF($C237-N$1&lt;År1,0,M236*(1-VLOOKUP($A237,[1]Hugst!$R$5:$W$9,MATCH(ROUNDUP((N$1)/10,0)*10,[1]Hugst!$R$4:$W$4,0))))</f>
        <v>623.522618510744</v>
      </c>
      <c r="O237">
        <f ca="1">IF($C237-O$1&lt;År1,0,N236*(1-VLOOKUP($A237,[1]Hugst!$R$5:$W$9,MATCH(ROUNDUP((O$1)/10,0)*10,[1]Hugst!$R$4:$W$4,0))))</f>
        <v>623.49566811132399</v>
      </c>
      <c r="P237">
        <f ca="1">IF($C237-P$1&lt;År1,0,O236*(1-VLOOKUP($A237,[1]Hugst!$R$5:$W$9,MATCH(ROUNDUP((P$1)/10,0)*10,[1]Hugst!$R$4:$W$4,0))))</f>
        <v>623.5003219307232</v>
      </c>
      <c r="Q237">
        <f ca="1">IF($C237-Q$1&lt;År1,0,P236*(1-VLOOKUP($A237,[1]Hugst!$R$5:$W$9,MATCH(ROUNDUP((Q$1)/10,0)*10,[1]Hugst!$R$4:$W$4,0))))</f>
        <v>623.50883683794086</v>
      </c>
      <c r="R237">
        <f ca="1">IF($C237-R$1&lt;År1,0,Q236*(1-VLOOKUP($A237,[1]Hugst!$R$5:$W$9,MATCH(ROUNDUP((R$1)/10,0)*10,[1]Hugst!$R$4:$W$4,0))))</f>
        <v>623.52121527054544</v>
      </c>
      <c r="S237">
        <f ca="1">IF($C237-S$1&lt;År1,0,R236*(1-VLOOKUP($A237,[1]Hugst!$R$5:$W$9,MATCH(ROUNDUP((S$1)/10,0)*10,[1]Hugst!$R$4:$W$4,0))))</f>
        <v>623.53745969144597</v>
      </c>
      <c r="T237">
        <f ca="1">IF($C237-T$1&lt;År1,0,S236*(1-VLOOKUP($A237,[1]Hugst!$R$5:$W$9,MATCH(ROUNDUP((T$1)/10,0)*10,[1]Hugst!$R$4:$W$4,0))))</f>
        <v>623.55757258908329</v>
      </c>
      <c r="U237">
        <f ca="1">IF($C237-U$1&lt;År1,0,T236*(1-VLOOKUP($A237,[1]Hugst!$R$5:$W$9,MATCH(ROUNDUP((U$1)/10,0)*10,[1]Hugst!$R$4:$W$4,0))))</f>
        <v>623.58155647730109</v>
      </c>
      <c r="V237">
        <f ca="1">IF($C237-V$1&lt;År1,0,U236*(1-VLOOKUP($A237,[1]Hugst!$R$5:$W$9,MATCH(ROUNDUP((V$1)/10,0)*10,[1]Hugst!$R$4:$W$4,0))))</f>
        <v>623.60941389550612</v>
      </c>
      <c r="W237">
        <f ca="1">IF($C237-W$1&lt;År1,0,V236*(1-VLOOKUP($A237,[1]Hugst!$R$5:$W$9,MATCH(ROUNDUP((W$1)/10,0)*10,[1]Hugst!$R$4:$W$4,0))))</f>
        <v>623.64114740859338</v>
      </c>
      <c r="X237">
        <f ca="1">IF($C237-X$1&lt;År1,0,W236*(1-VLOOKUP($A237,[1]Hugst!$R$5:$W$9,MATCH(ROUNDUP((X$1)/10,0)*10,[1]Hugst!$R$4:$W$4,0))))</f>
        <v>623.67675960705867</v>
      </c>
      <c r="Y237">
        <f>IF($C237-Y$1&lt;År1,0,X236*(1-VLOOKUP($A237,[1]Hugst!$R$5:$W$9,MATCH(ROUNDUP((Y$1)/10,0)*10,[1]Hugst!$R$4:$W$4,0))))</f>
        <v>0</v>
      </c>
      <c r="Z237">
        <f>IF($C237-Z$1&lt;År1,0,Y236*(1-VLOOKUP($A237,[1]Hugst!$R$5:$W$9,MATCH(ROUNDUP((Z$1)/10,0)*10,[1]Hugst!$R$4:$W$4,0))))</f>
        <v>0</v>
      </c>
      <c r="AA237">
        <f>IF($C237-AA$1&lt;År1,0,Z236*(1-VLOOKUP($A237,[1]Hugst!$R$5:$W$9,MATCH(ROUNDUP((AA$1)/10,0)*10,[1]Hugst!$R$4:$W$4,0))))</f>
        <v>0</v>
      </c>
      <c r="AB237">
        <f>IF($C237-AB$1&lt;År1,0,AA236*(1-VLOOKUP($A237,[1]Hugst!$R$5:$W$9,MATCH(ROUNDUP((AB$1)/10,0)*10,[1]Hugst!$R$4:$W$4,0))))</f>
        <v>0</v>
      </c>
      <c r="AC237">
        <f>IF($C237-AC$1&lt;År1,0,AB236*(1-VLOOKUP($A237,[1]Hugst!$R$5:$W$9,MATCH(ROUNDUP((AC$1)/10,0)*10,[1]Hugst!$R$4:$W$4,0))))</f>
        <v>0</v>
      </c>
      <c r="AD237">
        <f>IF($C237-AD$1&lt;År1,0,AC236*(1-VLOOKUP($A237,[1]Hugst!$R$5:$W$9,MATCH(ROUNDUP((AD$1)/10,0)*10,[1]Hugst!$R$4:$W$4,0))))</f>
        <v>0</v>
      </c>
      <c r="AE237">
        <f>IF($C237-AE$1&lt;År1,0,AD236*(1-VLOOKUP($A237,[1]Hugst!$R$5:$W$9,MATCH(ROUNDUP((AE$1)/10,0)*10,[1]Hugst!$R$4:$W$4,0))))</f>
        <v>0</v>
      </c>
      <c r="AF237">
        <f>IF($C237-AF$1&lt;År1,0,AE236*(1-VLOOKUP($A237,[1]Hugst!$R$5:$W$9,MATCH(ROUNDUP((AF$1)/10,0)*10,[1]Hugst!$R$4:$W$4,0))))</f>
        <v>0</v>
      </c>
      <c r="AG237">
        <f>IF($C237-AG$1&lt;År1,0,AF236*(1-VLOOKUP($A237,[1]Hugst!$R$5:$W$9,MATCH(ROUNDUP((AG$1)/10,0)*10,[1]Hugst!$R$4:$W$4,0))))</f>
        <v>0</v>
      </c>
      <c r="AH237">
        <f>IF($C237-AH$1&lt;År1,0,AG236*(1-VLOOKUP($A237,[1]Hugst!$R$5:$W$9,MATCH(ROUNDUP((AH$1)/10,0)*10,[1]Hugst!$R$4:$W$4,0))))</f>
        <v>0</v>
      </c>
      <c r="AI237">
        <f>IF($C237-AI$1&lt;År1,0,AH236*(1-VLOOKUP($A237,[1]Hugst!$R$5:$W$9,MATCH(ROUNDUP((AI$1)/10,0)*10,[1]Hugst!$R$4:$W$4,0))))</f>
        <v>0</v>
      </c>
      <c r="AJ237">
        <f>IF($C237-AJ$1&lt;År1,0,AI236*(1-VLOOKUP($A237,[1]Hugst!$R$5:$W$9,MATCH(ROUNDUP((AJ$1)/10,0)*10,[1]Hugst!$R$4:$W$4,0))))</f>
        <v>0</v>
      </c>
    </row>
    <row r="238" spans="1:36" x14ac:dyDescent="0.25">
      <c r="A238" t="s">
        <v>179</v>
      </c>
      <c r="B238" t="s">
        <v>24</v>
      </c>
      <c r="C238">
        <v>2039</v>
      </c>
      <c r="D23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260.49811286387649</v>
      </c>
      <c r="E238">
        <f t="shared" ca="1" si="5"/>
        <v>13.687968186919534</v>
      </c>
      <c r="F23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823.56879710017904</v>
      </c>
      <c r="G238">
        <f ca="1">IF($C238-G$1&lt;År1,0,F237*(1-VLOOKUP($A238,[1]Hugst!$R$5:$W$9,MATCH(ROUNDUP((G$1)/10,0)*10,[1]Hugst!$R$4:$W$4,0))))</f>
        <v>823.53628571554793</v>
      </c>
      <c r="H238">
        <f ca="1">IF($C238-H$1&lt;År1,0,G237*(1-VLOOKUP($A238,[1]Hugst!$R$5:$W$9,MATCH(ROUNDUP((H$1)/10,0)*10,[1]Hugst!$R$4:$W$4,0))))</f>
        <v>823.50437321625316</v>
      </c>
      <c r="I238">
        <f ca="1">IF($C238-I$1&lt;År1,0,H237*(1-VLOOKUP($A238,[1]Hugst!$R$5:$W$9,MATCH(ROUNDUP((I$1)/10,0)*10,[1]Hugst!$R$4:$W$4,0))))</f>
        <v>823.47306428871082</v>
      </c>
      <c r="J238">
        <f ca="1">IF($C238-J$1&lt;År1,0,I237*(1-VLOOKUP($A238,[1]Hugst!$R$5:$W$9,MATCH(ROUNDUP((J$1)/10,0)*10,[1]Hugst!$R$4:$W$4,0))))</f>
        <v>823.44236364658911</v>
      </c>
      <c r="K238">
        <f ca="1">IF($C238-K$1&lt;År1,0,J237*(1-VLOOKUP($A238,[1]Hugst!$R$5:$W$9,MATCH(ROUNDUP((K$1)/10,0)*10,[1]Hugst!$R$4:$W$4,0))))</f>
        <v>823.41227603087793</v>
      </c>
      <c r="L238">
        <f ca="1">IF($C238-L$1&lt;År1,0,K237*(1-VLOOKUP($A238,[1]Hugst!$R$5:$W$9,MATCH(ROUNDUP((L$1)/10,0)*10,[1]Hugst!$R$4:$W$4,0))))</f>
        <v>823.38280621016531</v>
      </c>
      <c r="M238">
        <f ca="1">IF($C238-M$1&lt;År1,0,L237*(1-VLOOKUP($A238,[1]Hugst!$R$5:$W$9,MATCH(ROUNDUP((M$1)/10,0)*10,[1]Hugst!$R$4:$W$4,0))))</f>
        <v>823.35395898068566</v>
      </c>
      <c r="N238">
        <f ca="1">IF($C238-N$1&lt;År1,0,M237*(1-VLOOKUP($A238,[1]Hugst!$R$5:$W$9,MATCH(ROUNDUP((N$1)/10,0)*10,[1]Hugst!$R$4:$W$4,0))))</f>
        <v>823.32573916647709</v>
      </c>
      <c r="O238">
        <f ca="1">IF($C238-O$1&lt;År1,0,N237*(1-VLOOKUP($A238,[1]Hugst!$R$5:$W$9,MATCH(ROUNDUP((O$1)/10,0)*10,[1]Hugst!$R$4:$W$4,0))))</f>
        <v>623.522618510744</v>
      </c>
      <c r="P238">
        <f ca="1">IF($C238-P$1&lt;År1,0,O237*(1-VLOOKUP($A238,[1]Hugst!$R$5:$W$9,MATCH(ROUNDUP((P$1)/10,0)*10,[1]Hugst!$R$4:$W$4,0))))</f>
        <v>622.12701908376255</v>
      </c>
      <c r="Q238">
        <f ca="1">IF($C238-Q$1&lt;År1,0,P237*(1-VLOOKUP($A238,[1]Hugst!$R$5:$W$9,MATCH(ROUNDUP((Q$1)/10,0)*10,[1]Hugst!$R$4:$W$4,0))))</f>
        <v>622.13166268746068</v>
      </c>
      <c r="R238">
        <f ca="1">IF($C238-R$1&lt;År1,0,Q237*(1-VLOOKUP($A238,[1]Hugst!$R$5:$W$9,MATCH(ROUNDUP((R$1)/10,0)*10,[1]Hugst!$R$4:$W$4,0))))</f>
        <v>622.14015890341852</v>
      </c>
      <c r="S238">
        <f ca="1">IF($C238-S$1&lt;År1,0,R237*(1-VLOOKUP($A238,[1]Hugst!$R$5:$W$9,MATCH(ROUNDUP((S$1)/10,0)*10,[1]Hugst!$R$4:$W$4,0))))</f>
        <v>622.152510163854</v>
      </c>
      <c r="T238">
        <f ca="1">IF($C238-T$1&lt;År1,0,S237*(1-VLOOKUP($A238,[1]Hugst!$R$5:$W$9,MATCH(ROUNDUP((T$1)/10,0)*10,[1]Hugst!$R$4:$W$4,0))))</f>
        <v>622.16871892626966</v>
      </c>
      <c r="U238">
        <f ca="1">IF($C238-U$1&lt;År1,0,T237*(1-VLOOKUP($A238,[1]Hugst!$R$5:$W$9,MATCH(ROUNDUP((U$1)/10,0)*10,[1]Hugst!$R$4:$W$4,0))))</f>
        <v>622.18878767364379</v>
      </c>
      <c r="V238">
        <f ca="1">IF($C238-V$1&lt;År1,0,U237*(1-VLOOKUP($A238,[1]Hugst!$R$5:$W$9,MATCH(ROUNDUP((V$1)/10,0)*10,[1]Hugst!$R$4:$W$4,0))))</f>
        <v>622.21271891430217</v>
      </c>
      <c r="W238">
        <f ca="1">IF($C238-W$1&lt;År1,0,V237*(1-VLOOKUP($A238,[1]Hugst!$R$5:$W$9,MATCH(ROUNDUP((W$1)/10,0)*10,[1]Hugst!$R$4:$W$4,0))))</f>
        <v>622.24051518207693</v>
      </c>
      <c r="X238">
        <f ca="1">IF($C238-X$1&lt;År1,0,W237*(1-VLOOKUP($A238,[1]Hugst!$R$5:$W$9,MATCH(ROUNDUP((X$1)/10,0)*10,[1]Hugst!$R$4:$W$4,0))))</f>
        <v>622.27217903623307</v>
      </c>
      <c r="Y238">
        <f ca="1">IF($C238-Y$1&lt;År1,0,X237*(1-VLOOKUP($A238,[1]Hugst!$R$5:$W$9,MATCH(ROUNDUP((Y$1)/10,0)*10,[1]Hugst!$R$4:$W$4,0))))</f>
        <v>622.30771306157976</v>
      </c>
      <c r="Z238">
        <f>IF($C238-Z$1&lt;År1,0,Y237*(1-VLOOKUP($A238,[1]Hugst!$R$5:$W$9,MATCH(ROUNDUP((Z$1)/10,0)*10,[1]Hugst!$R$4:$W$4,0))))</f>
        <v>0</v>
      </c>
      <c r="AA238">
        <f>IF($C238-AA$1&lt;År1,0,Z237*(1-VLOOKUP($A238,[1]Hugst!$R$5:$W$9,MATCH(ROUNDUP((AA$1)/10,0)*10,[1]Hugst!$R$4:$W$4,0))))</f>
        <v>0</v>
      </c>
      <c r="AB238">
        <f>IF($C238-AB$1&lt;År1,0,AA237*(1-VLOOKUP($A238,[1]Hugst!$R$5:$W$9,MATCH(ROUNDUP((AB$1)/10,0)*10,[1]Hugst!$R$4:$W$4,0))))</f>
        <v>0</v>
      </c>
      <c r="AC238">
        <f>IF($C238-AC$1&lt;År1,0,AB237*(1-VLOOKUP($A238,[1]Hugst!$R$5:$W$9,MATCH(ROUNDUP((AC$1)/10,0)*10,[1]Hugst!$R$4:$W$4,0))))</f>
        <v>0</v>
      </c>
      <c r="AD238">
        <f>IF($C238-AD$1&lt;År1,0,AC237*(1-VLOOKUP($A238,[1]Hugst!$R$5:$W$9,MATCH(ROUNDUP((AD$1)/10,0)*10,[1]Hugst!$R$4:$W$4,0))))</f>
        <v>0</v>
      </c>
      <c r="AE238">
        <f>IF($C238-AE$1&lt;År1,0,AD237*(1-VLOOKUP($A238,[1]Hugst!$R$5:$W$9,MATCH(ROUNDUP((AE$1)/10,0)*10,[1]Hugst!$R$4:$W$4,0))))</f>
        <v>0</v>
      </c>
      <c r="AF238">
        <f>IF($C238-AF$1&lt;År1,0,AE237*(1-VLOOKUP($A238,[1]Hugst!$R$5:$W$9,MATCH(ROUNDUP((AF$1)/10,0)*10,[1]Hugst!$R$4:$W$4,0))))</f>
        <v>0</v>
      </c>
      <c r="AG238">
        <f>IF($C238-AG$1&lt;År1,0,AF237*(1-VLOOKUP($A238,[1]Hugst!$R$5:$W$9,MATCH(ROUNDUP((AG$1)/10,0)*10,[1]Hugst!$R$4:$W$4,0))))</f>
        <v>0</v>
      </c>
      <c r="AH238">
        <f>IF($C238-AH$1&lt;År1,0,AG237*(1-VLOOKUP($A238,[1]Hugst!$R$5:$W$9,MATCH(ROUNDUP((AH$1)/10,0)*10,[1]Hugst!$R$4:$W$4,0))))</f>
        <v>0</v>
      </c>
      <c r="AI238">
        <f>IF($C238-AI$1&lt;År1,0,AH237*(1-VLOOKUP($A238,[1]Hugst!$R$5:$W$9,MATCH(ROUNDUP((AI$1)/10,0)*10,[1]Hugst!$R$4:$W$4,0))))</f>
        <v>0</v>
      </c>
      <c r="AJ238">
        <f>IF($C238-AJ$1&lt;År1,0,AI237*(1-VLOOKUP($A238,[1]Hugst!$R$5:$W$9,MATCH(ROUNDUP((AJ$1)/10,0)*10,[1]Hugst!$R$4:$W$4,0))))</f>
        <v>0</v>
      </c>
    </row>
    <row r="239" spans="1:36" x14ac:dyDescent="0.25">
      <c r="A239" t="s">
        <v>179</v>
      </c>
      <c r="B239" t="s">
        <v>24</v>
      </c>
      <c r="C239">
        <v>2040</v>
      </c>
      <c r="D239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259.19562229955955</v>
      </c>
      <c r="E239">
        <f t="shared" ca="1" si="5"/>
        <v>14.41950013830683</v>
      </c>
      <c r="F23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822.9978384872494</v>
      </c>
      <c r="G239">
        <f ca="1">IF($C239-G$1&lt;År1,0,F238*(1-VLOOKUP($A239,[1]Hugst!$R$5:$W$9,MATCH(ROUNDUP((G$1)/10,0)*10,[1]Hugst!$R$4:$W$4,0))))</f>
        <v>823.56879710017904</v>
      </c>
      <c r="H239">
        <f ca="1">IF($C239-H$1&lt;År1,0,G238*(1-VLOOKUP($A239,[1]Hugst!$R$5:$W$9,MATCH(ROUNDUP((H$1)/10,0)*10,[1]Hugst!$R$4:$W$4,0))))</f>
        <v>823.53628571554793</v>
      </c>
      <c r="I239">
        <f ca="1">IF($C239-I$1&lt;År1,0,H238*(1-VLOOKUP($A239,[1]Hugst!$R$5:$W$9,MATCH(ROUNDUP((I$1)/10,0)*10,[1]Hugst!$R$4:$W$4,0))))</f>
        <v>823.50437321625316</v>
      </c>
      <c r="J239">
        <f ca="1">IF($C239-J$1&lt;År1,0,I238*(1-VLOOKUP($A239,[1]Hugst!$R$5:$W$9,MATCH(ROUNDUP((J$1)/10,0)*10,[1]Hugst!$R$4:$W$4,0))))</f>
        <v>823.47306428871082</v>
      </c>
      <c r="K239">
        <f ca="1">IF($C239-K$1&lt;År1,0,J238*(1-VLOOKUP($A239,[1]Hugst!$R$5:$W$9,MATCH(ROUNDUP((K$1)/10,0)*10,[1]Hugst!$R$4:$W$4,0))))</f>
        <v>823.44236364658911</v>
      </c>
      <c r="L239">
        <f ca="1">IF($C239-L$1&lt;År1,0,K238*(1-VLOOKUP($A239,[1]Hugst!$R$5:$W$9,MATCH(ROUNDUP((L$1)/10,0)*10,[1]Hugst!$R$4:$W$4,0))))</f>
        <v>823.41227603087793</v>
      </c>
      <c r="M239">
        <f ca="1">IF($C239-M$1&lt;År1,0,L238*(1-VLOOKUP($A239,[1]Hugst!$R$5:$W$9,MATCH(ROUNDUP((M$1)/10,0)*10,[1]Hugst!$R$4:$W$4,0))))</f>
        <v>823.38280621016531</v>
      </c>
      <c r="N239">
        <f ca="1">IF($C239-N$1&lt;År1,0,M238*(1-VLOOKUP($A239,[1]Hugst!$R$5:$W$9,MATCH(ROUNDUP((N$1)/10,0)*10,[1]Hugst!$R$4:$W$4,0))))</f>
        <v>823.35395898068566</v>
      </c>
      <c r="O239">
        <f ca="1">IF($C239-O$1&lt;År1,0,N238*(1-VLOOKUP($A239,[1]Hugst!$R$5:$W$9,MATCH(ROUNDUP((O$1)/10,0)*10,[1]Hugst!$R$4:$W$4,0))))</f>
        <v>823.32573916647709</v>
      </c>
      <c r="P239">
        <f ca="1">IF($C239-P$1&lt;År1,0,O238*(1-VLOOKUP($A239,[1]Hugst!$R$5:$W$9,MATCH(ROUNDUP((P$1)/10,0)*10,[1]Hugst!$R$4:$W$4,0))))</f>
        <v>622.1539103237692</v>
      </c>
      <c r="Q239">
        <f ca="1">IF($C239-Q$1&lt;År1,0,P238*(1-VLOOKUP($A239,[1]Hugst!$R$5:$W$9,MATCH(ROUNDUP((Q$1)/10,0)*10,[1]Hugst!$R$4:$W$4,0))))</f>
        <v>620.76137440772504</v>
      </c>
      <c r="R239">
        <f ca="1">IF($C239-R$1&lt;År1,0,Q238*(1-VLOOKUP($A239,[1]Hugst!$R$5:$W$9,MATCH(ROUNDUP((R$1)/10,0)*10,[1]Hugst!$R$4:$W$4,0))))</f>
        <v>620.7660078181467</v>
      </c>
      <c r="S239">
        <f ca="1">IF($C239-S$1&lt;År1,0,R238*(1-VLOOKUP($A239,[1]Hugst!$R$5:$W$9,MATCH(ROUNDUP((S$1)/10,0)*10,[1]Hugst!$R$4:$W$4,0))))</f>
        <v>620.77448538387443</v>
      </c>
      <c r="T239">
        <f ca="1">IF($C239-T$1&lt;År1,0,S238*(1-VLOOKUP($A239,[1]Hugst!$R$5:$W$9,MATCH(ROUNDUP((T$1)/10,0)*10,[1]Hugst!$R$4:$W$4,0))))</f>
        <v>620.78680953178696</v>
      </c>
      <c r="U239">
        <f ca="1">IF($C239-U$1&lt;År1,0,T238*(1-VLOOKUP($A239,[1]Hugst!$R$5:$W$9,MATCH(ROUNDUP((U$1)/10,0)*10,[1]Hugst!$R$4:$W$4,0))))</f>
        <v>620.80298271399249</v>
      </c>
      <c r="V239">
        <f ca="1">IF($C239-V$1&lt;År1,0,U238*(1-VLOOKUP($A239,[1]Hugst!$R$5:$W$9,MATCH(ROUNDUP((V$1)/10,0)*10,[1]Hugst!$R$4:$W$4,0))))</f>
        <v>620.82300740801873</v>
      </c>
      <c r="W239">
        <f ca="1">IF($C239-W$1&lt;År1,0,V238*(1-VLOOKUP($A239,[1]Hugst!$R$5:$W$9,MATCH(ROUNDUP((W$1)/10,0)*10,[1]Hugst!$R$4:$W$4,0))))</f>
        <v>620.84688611668537</v>
      </c>
      <c r="X239">
        <f ca="1">IF($C239-X$1&lt;År1,0,W238*(1-VLOOKUP($A239,[1]Hugst!$R$5:$W$9,MATCH(ROUNDUP((X$1)/10,0)*10,[1]Hugst!$R$4:$W$4,0))))</f>
        <v>620.87462136826264</v>
      </c>
      <c r="Y239">
        <f ca="1">IF($C239-Y$1&lt;År1,0,X238*(1-VLOOKUP($A239,[1]Hugst!$R$5:$W$9,MATCH(ROUNDUP((Y$1)/10,0)*10,[1]Hugst!$R$4:$W$4,0))))</f>
        <v>620.90621571639747</v>
      </c>
      <c r="Z239">
        <f ca="1">IF($C239-Z$1&lt;År1,0,Y238*(1-VLOOKUP($A239,[1]Hugst!$R$5:$W$9,MATCH(ROUNDUP((Z$1)/10,0)*10,[1]Hugst!$R$4:$W$4,0))))</f>
        <v>621.54880121638269</v>
      </c>
      <c r="AA239">
        <f>IF($C239-AA$1&lt;År1,0,Z238*(1-VLOOKUP($A239,[1]Hugst!$R$5:$W$9,MATCH(ROUNDUP((AA$1)/10,0)*10,[1]Hugst!$R$4:$W$4,0))))</f>
        <v>0</v>
      </c>
      <c r="AB239">
        <f>IF($C239-AB$1&lt;År1,0,AA238*(1-VLOOKUP($A239,[1]Hugst!$R$5:$W$9,MATCH(ROUNDUP((AB$1)/10,0)*10,[1]Hugst!$R$4:$W$4,0))))</f>
        <v>0</v>
      </c>
      <c r="AC239">
        <f>IF($C239-AC$1&lt;År1,0,AB238*(1-VLOOKUP($A239,[1]Hugst!$R$5:$W$9,MATCH(ROUNDUP((AC$1)/10,0)*10,[1]Hugst!$R$4:$W$4,0))))</f>
        <v>0</v>
      </c>
      <c r="AD239">
        <f>IF($C239-AD$1&lt;År1,0,AC238*(1-VLOOKUP($A239,[1]Hugst!$R$5:$W$9,MATCH(ROUNDUP((AD$1)/10,0)*10,[1]Hugst!$R$4:$W$4,0))))</f>
        <v>0</v>
      </c>
      <c r="AE239">
        <f>IF($C239-AE$1&lt;År1,0,AD238*(1-VLOOKUP($A239,[1]Hugst!$R$5:$W$9,MATCH(ROUNDUP((AE$1)/10,0)*10,[1]Hugst!$R$4:$W$4,0))))</f>
        <v>0</v>
      </c>
      <c r="AF239">
        <f>IF($C239-AF$1&lt;År1,0,AE238*(1-VLOOKUP($A239,[1]Hugst!$R$5:$W$9,MATCH(ROUNDUP((AF$1)/10,0)*10,[1]Hugst!$R$4:$W$4,0))))</f>
        <v>0</v>
      </c>
      <c r="AG239">
        <f>IF($C239-AG$1&lt;År1,0,AF238*(1-VLOOKUP($A239,[1]Hugst!$R$5:$W$9,MATCH(ROUNDUP((AG$1)/10,0)*10,[1]Hugst!$R$4:$W$4,0))))</f>
        <v>0</v>
      </c>
      <c r="AH239">
        <f>IF($C239-AH$1&lt;År1,0,AG238*(1-VLOOKUP($A239,[1]Hugst!$R$5:$W$9,MATCH(ROUNDUP((AH$1)/10,0)*10,[1]Hugst!$R$4:$W$4,0))))</f>
        <v>0</v>
      </c>
      <c r="AI239">
        <f>IF($C239-AI$1&lt;År1,0,AH238*(1-VLOOKUP($A239,[1]Hugst!$R$5:$W$9,MATCH(ROUNDUP((AI$1)/10,0)*10,[1]Hugst!$R$4:$W$4,0))))</f>
        <v>0</v>
      </c>
      <c r="AJ239">
        <f>IF($C239-AJ$1&lt;År1,0,AI238*(1-VLOOKUP($A239,[1]Hugst!$R$5:$W$9,MATCH(ROUNDUP((AJ$1)/10,0)*10,[1]Hugst!$R$4:$W$4,0))))</f>
        <v>0</v>
      </c>
    </row>
    <row r="240" spans="1:36" x14ac:dyDescent="0.25">
      <c r="A240" t="s">
        <v>179</v>
      </c>
      <c r="B240" t="s">
        <v>24</v>
      </c>
      <c r="C240">
        <v>2041</v>
      </c>
      <c r="D240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257.89964418806539</v>
      </c>
      <c r="E240">
        <f t="shared" ca="1" si="5"/>
        <v>15.590126220196908</v>
      </c>
      <c r="F240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822.87248645764532</v>
      </c>
      <c r="G240">
        <f ca="1">IF($C240-G$1&lt;År1,0,F239*(1-VLOOKUP($A240,[1]Hugst!$R$5:$W$9,MATCH(ROUNDUP((G$1)/10,0)*10,[1]Hugst!$R$4:$W$4,0))))</f>
        <v>822.9978384872494</v>
      </c>
      <c r="H240">
        <f ca="1">IF($C240-H$1&lt;År1,0,G239*(1-VLOOKUP($A240,[1]Hugst!$R$5:$W$9,MATCH(ROUNDUP((H$1)/10,0)*10,[1]Hugst!$R$4:$W$4,0))))</f>
        <v>823.56879710017904</v>
      </c>
      <c r="I240">
        <f ca="1">IF($C240-I$1&lt;År1,0,H239*(1-VLOOKUP($A240,[1]Hugst!$R$5:$W$9,MATCH(ROUNDUP((I$1)/10,0)*10,[1]Hugst!$R$4:$W$4,0))))</f>
        <v>823.53628571554793</v>
      </c>
      <c r="J240">
        <f ca="1">IF($C240-J$1&lt;År1,0,I239*(1-VLOOKUP($A240,[1]Hugst!$R$5:$W$9,MATCH(ROUNDUP((J$1)/10,0)*10,[1]Hugst!$R$4:$W$4,0))))</f>
        <v>823.50437321625316</v>
      </c>
      <c r="K240">
        <f ca="1">IF($C240-K$1&lt;År1,0,J239*(1-VLOOKUP($A240,[1]Hugst!$R$5:$W$9,MATCH(ROUNDUP((K$1)/10,0)*10,[1]Hugst!$R$4:$W$4,0))))</f>
        <v>823.47306428871082</v>
      </c>
      <c r="L240">
        <f ca="1">IF($C240-L$1&lt;År1,0,K239*(1-VLOOKUP($A240,[1]Hugst!$R$5:$W$9,MATCH(ROUNDUP((L$1)/10,0)*10,[1]Hugst!$R$4:$W$4,0))))</f>
        <v>823.44236364658911</v>
      </c>
      <c r="M240">
        <f ca="1">IF($C240-M$1&lt;År1,0,L239*(1-VLOOKUP($A240,[1]Hugst!$R$5:$W$9,MATCH(ROUNDUP((M$1)/10,0)*10,[1]Hugst!$R$4:$W$4,0))))</f>
        <v>823.41227603087793</v>
      </c>
      <c r="N240">
        <f ca="1">IF($C240-N$1&lt;År1,0,M239*(1-VLOOKUP($A240,[1]Hugst!$R$5:$W$9,MATCH(ROUNDUP((N$1)/10,0)*10,[1]Hugst!$R$4:$W$4,0))))</f>
        <v>823.38280621016531</v>
      </c>
      <c r="O240">
        <f ca="1">IF($C240-O$1&lt;År1,0,N239*(1-VLOOKUP($A240,[1]Hugst!$R$5:$W$9,MATCH(ROUNDUP((O$1)/10,0)*10,[1]Hugst!$R$4:$W$4,0))))</f>
        <v>823.35395898068566</v>
      </c>
      <c r="P240">
        <f ca="1">IF($C240-P$1&lt;År1,0,O239*(1-VLOOKUP($A240,[1]Hugst!$R$5:$W$9,MATCH(ROUNDUP((P$1)/10,0)*10,[1]Hugst!$R$4:$W$4,0))))</f>
        <v>821.51843876342878</v>
      </c>
      <c r="Q240">
        <f ca="1">IF($C240-Q$1&lt;År1,0,P239*(1-VLOOKUP($A240,[1]Hugst!$R$5:$W$9,MATCH(ROUNDUP((Q$1)/10,0)*10,[1]Hugst!$R$4:$W$4,0))))</f>
        <v>620.78820661818042</v>
      </c>
      <c r="R240">
        <f ca="1">IF($C240-R$1&lt;År1,0,Q239*(1-VLOOKUP($A240,[1]Hugst!$R$5:$W$9,MATCH(ROUNDUP((R$1)/10,0)*10,[1]Hugst!$R$4:$W$4,0))))</f>
        <v>619.3987274882935</v>
      </c>
      <c r="S240">
        <f ca="1">IF($C240-S$1&lt;År1,0,R239*(1-VLOOKUP($A240,[1]Hugst!$R$5:$W$9,MATCH(ROUNDUP((S$1)/10,0)*10,[1]Hugst!$R$4:$W$4,0))))</f>
        <v>619.4033507278142</v>
      </c>
      <c r="T240">
        <f ca="1">IF($C240-T$1&lt;År1,0,S239*(1-VLOOKUP($A240,[1]Hugst!$R$5:$W$9,MATCH(ROUNDUP((T$1)/10,0)*10,[1]Hugst!$R$4:$W$4,0))))</f>
        <v>619.41180968425124</v>
      </c>
      <c r="U240">
        <f ca="1">IF($C240-U$1&lt;År1,0,T239*(1-VLOOKUP($A240,[1]Hugst!$R$5:$W$9,MATCH(ROUNDUP((U$1)/10,0)*10,[1]Hugst!$R$4:$W$4,0))))</f>
        <v>619.4241067791562</v>
      </c>
      <c r="V240">
        <f ca="1">IF($C240-V$1&lt;År1,0,U239*(1-VLOOKUP($A240,[1]Hugst!$R$5:$W$9,MATCH(ROUNDUP((V$1)/10,0)*10,[1]Hugst!$R$4:$W$4,0))))</f>
        <v>619.44024445925447</v>
      </c>
      <c r="W240">
        <f ca="1">IF($C240-W$1&lt;År1,0,V239*(1-VLOOKUP($A240,[1]Hugst!$R$5:$W$9,MATCH(ROUNDUP((W$1)/10,0)*10,[1]Hugst!$R$4:$W$4,0))))</f>
        <v>619.46022519663529</v>
      </c>
      <c r="X240">
        <f ca="1">IF($C240-X$1&lt;År1,0,W239*(1-VLOOKUP($A240,[1]Hugst!$R$5:$W$9,MATCH(ROUNDUP((X$1)/10,0)*10,[1]Hugst!$R$4:$W$4,0))))</f>
        <v>619.48405148862435</v>
      </c>
      <c r="Y240">
        <f ca="1">IF($C240-Y$1&lt;År1,0,X239*(1-VLOOKUP($A240,[1]Hugst!$R$5:$W$9,MATCH(ROUNDUP((Y$1)/10,0)*10,[1]Hugst!$R$4:$W$4,0))))</f>
        <v>619.51172585794211</v>
      </c>
      <c r="Z240">
        <f ca="1">IF($C240-Z$1&lt;År1,0,Y239*(1-VLOOKUP($A240,[1]Hugst!$R$5:$W$9,MATCH(ROUNDUP((Z$1)/10,0)*10,[1]Hugst!$R$4:$W$4,0))))</f>
        <v>620.14901301430427</v>
      </c>
      <c r="AA240">
        <f ca="1">IF($C240-AA$1&lt;År1,0,Z239*(1-VLOOKUP($A240,[1]Hugst!$R$5:$W$9,MATCH(ROUNDUP((AA$1)/10,0)*10,[1]Hugst!$R$4:$W$4,0))))</f>
        <v>620.79081487343592</v>
      </c>
      <c r="AB240">
        <f>IF($C240-AB$1&lt;År1,0,AA239*(1-VLOOKUP($A240,[1]Hugst!$R$5:$W$9,MATCH(ROUNDUP((AB$1)/10,0)*10,[1]Hugst!$R$4:$W$4,0))))</f>
        <v>0</v>
      </c>
      <c r="AC240">
        <f>IF($C240-AC$1&lt;År1,0,AB239*(1-VLOOKUP($A240,[1]Hugst!$R$5:$W$9,MATCH(ROUNDUP((AC$1)/10,0)*10,[1]Hugst!$R$4:$W$4,0))))</f>
        <v>0</v>
      </c>
      <c r="AD240">
        <f>IF($C240-AD$1&lt;År1,0,AC239*(1-VLOOKUP($A240,[1]Hugst!$R$5:$W$9,MATCH(ROUNDUP((AD$1)/10,0)*10,[1]Hugst!$R$4:$W$4,0))))</f>
        <v>0</v>
      </c>
      <c r="AE240">
        <f>IF($C240-AE$1&lt;År1,0,AD239*(1-VLOOKUP($A240,[1]Hugst!$R$5:$W$9,MATCH(ROUNDUP((AE$1)/10,0)*10,[1]Hugst!$R$4:$W$4,0))))</f>
        <v>0</v>
      </c>
      <c r="AF240">
        <f>IF($C240-AF$1&lt;År1,0,AE239*(1-VLOOKUP($A240,[1]Hugst!$R$5:$W$9,MATCH(ROUNDUP((AF$1)/10,0)*10,[1]Hugst!$R$4:$W$4,0))))</f>
        <v>0</v>
      </c>
      <c r="AG240">
        <f>IF($C240-AG$1&lt;År1,0,AF239*(1-VLOOKUP($A240,[1]Hugst!$R$5:$W$9,MATCH(ROUNDUP((AG$1)/10,0)*10,[1]Hugst!$R$4:$W$4,0))))</f>
        <v>0</v>
      </c>
      <c r="AH240">
        <f>IF($C240-AH$1&lt;År1,0,AG239*(1-VLOOKUP($A240,[1]Hugst!$R$5:$W$9,MATCH(ROUNDUP((AH$1)/10,0)*10,[1]Hugst!$R$4:$W$4,0))))</f>
        <v>0</v>
      </c>
      <c r="AI240">
        <f>IF($C240-AI$1&lt;År1,0,AH239*(1-VLOOKUP($A240,[1]Hugst!$R$5:$W$9,MATCH(ROUNDUP((AI$1)/10,0)*10,[1]Hugst!$R$4:$W$4,0))))</f>
        <v>0</v>
      </c>
      <c r="AJ240">
        <f>IF($C240-AJ$1&lt;År1,0,AI239*(1-VLOOKUP($A240,[1]Hugst!$R$5:$W$9,MATCH(ROUNDUP((AJ$1)/10,0)*10,[1]Hugst!$R$4:$W$4,0))))</f>
        <v>0</v>
      </c>
    </row>
    <row r="241" spans="1:36" x14ac:dyDescent="0.25">
      <c r="A241" t="s">
        <v>179</v>
      </c>
      <c r="B241" t="s">
        <v>24</v>
      </c>
      <c r="C241">
        <v>2042</v>
      </c>
      <c r="D241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256.61014596712266</v>
      </c>
      <c r="E241">
        <f t="shared" ca="1" si="5"/>
        <v>16.760342890345783</v>
      </c>
      <c r="F241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822.75320490685147</v>
      </c>
      <c r="G241">
        <f ca="1">IF($C241-G$1&lt;År1,0,F240*(1-VLOOKUP($A241,[1]Hugst!$R$5:$W$9,MATCH(ROUNDUP((G$1)/10,0)*10,[1]Hugst!$R$4:$W$4,0))))</f>
        <v>822.87248645764532</v>
      </c>
      <c r="H241">
        <f ca="1">IF($C241-H$1&lt;År1,0,G240*(1-VLOOKUP($A241,[1]Hugst!$R$5:$W$9,MATCH(ROUNDUP((H$1)/10,0)*10,[1]Hugst!$R$4:$W$4,0))))</f>
        <v>822.9978384872494</v>
      </c>
      <c r="I241">
        <f ca="1">IF($C241-I$1&lt;År1,0,H240*(1-VLOOKUP($A241,[1]Hugst!$R$5:$W$9,MATCH(ROUNDUP((I$1)/10,0)*10,[1]Hugst!$R$4:$W$4,0))))</f>
        <v>823.56879710017904</v>
      </c>
      <c r="J241">
        <f ca="1">IF($C241-J$1&lt;År1,0,I240*(1-VLOOKUP($A241,[1]Hugst!$R$5:$W$9,MATCH(ROUNDUP((J$1)/10,0)*10,[1]Hugst!$R$4:$W$4,0))))</f>
        <v>823.53628571554793</v>
      </c>
      <c r="K241">
        <f ca="1">IF($C241-K$1&lt;År1,0,J240*(1-VLOOKUP($A241,[1]Hugst!$R$5:$W$9,MATCH(ROUNDUP((K$1)/10,0)*10,[1]Hugst!$R$4:$W$4,0))))</f>
        <v>823.50437321625316</v>
      </c>
      <c r="L241">
        <f ca="1">IF($C241-L$1&lt;År1,0,K240*(1-VLOOKUP($A241,[1]Hugst!$R$5:$W$9,MATCH(ROUNDUP((L$1)/10,0)*10,[1]Hugst!$R$4:$W$4,0))))</f>
        <v>823.47306428871082</v>
      </c>
      <c r="M241">
        <f ca="1">IF($C241-M$1&lt;År1,0,L240*(1-VLOOKUP($A241,[1]Hugst!$R$5:$W$9,MATCH(ROUNDUP((M$1)/10,0)*10,[1]Hugst!$R$4:$W$4,0))))</f>
        <v>823.44236364658911</v>
      </c>
      <c r="N241">
        <f ca="1">IF($C241-N$1&lt;År1,0,M240*(1-VLOOKUP($A241,[1]Hugst!$R$5:$W$9,MATCH(ROUNDUP((N$1)/10,0)*10,[1]Hugst!$R$4:$W$4,0))))</f>
        <v>823.41227603087793</v>
      </c>
      <c r="O241">
        <f ca="1">IF($C241-O$1&lt;År1,0,N240*(1-VLOOKUP($A241,[1]Hugst!$R$5:$W$9,MATCH(ROUNDUP((O$1)/10,0)*10,[1]Hugst!$R$4:$W$4,0))))</f>
        <v>823.38280621016531</v>
      </c>
      <c r="P241">
        <f ca="1">IF($C241-P$1&lt;År1,0,O240*(1-VLOOKUP($A241,[1]Hugst!$R$5:$W$9,MATCH(ROUNDUP((P$1)/10,0)*10,[1]Hugst!$R$4:$W$4,0))))</f>
        <v>821.54659663170366</v>
      </c>
      <c r="Q241">
        <f ca="1">IF($C241-Q$1&lt;År1,0,P240*(1-VLOOKUP($A241,[1]Hugst!$R$5:$W$9,MATCH(ROUNDUP((Q$1)/10,0)*10,[1]Hugst!$R$4:$W$4,0))))</f>
        <v>819.71510560516754</v>
      </c>
      <c r="R241">
        <f ca="1">IF($C241-R$1&lt;År1,0,Q240*(1-VLOOKUP($A241,[1]Hugst!$R$5:$W$9,MATCH(ROUNDUP((R$1)/10,0)*10,[1]Hugst!$R$4:$W$4,0))))</f>
        <v>619.42550079877469</v>
      </c>
      <c r="S241">
        <f ca="1">IF($C241-S$1&lt;År1,0,R240*(1-VLOOKUP($A241,[1]Hugst!$R$5:$W$9,MATCH(ROUNDUP((S$1)/10,0)*10,[1]Hugst!$R$4:$W$4,0))))</f>
        <v>618.03907174502649</v>
      </c>
      <c r="T241">
        <f ca="1">IF($C241-T$1&lt;År1,0,S240*(1-VLOOKUP($A241,[1]Hugst!$R$5:$W$9,MATCH(ROUNDUP((T$1)/10,0)*10,[1]Hugst!$R$4:$W$4,0))))</f>
        <v>618.04368483597261</v>
      </c>
      <c r="U241">
        <f ca="1">IF($C241-U$1&lt;År1,0,T240*(1-VLOOKUP($A241,[1]Hugst!$R$5:$W$9,MATCH(ROUNDUP((U$1)/10,0)*10,[1]Hugst!$R$4:$W$4,0))))</f>
        <v>618.05212522396869</v>
      </c>
      <c r="V241">
        <f ca="1">IF($C241-V$1&lt;År1,0,U240*(1-VLOOKUP($A241,[1]Hugst!$R$5:$W$9,MATCH(ROUNDUP((V$1)/10,0)*10,[1]Hugst!$R$4:$W$4,0))))</f>
        <v>618.06439532525076</v>
      </c>
      <c r="W241">
        <f ca="1">IF($C241-W$1&lt;År1,0,V240*(1-VLOOKUP($A241,[1]Hugst!$R$5:$W$9,MATCH(ROUNDUP((W$1)/10,0)*10,[1]Hugst!$R$4:$W$4,0))))</f>
        <v>618.08049758117318</v>
      </c>
      <c r="X241">
        <f ca="1">IF($C241-X$1&lt;År1,0,W240*(1-VLOOKUP($A241,[1]Hugst!$R$5:$W$9,MATCH(ROUNDUP((X$1)/10,0)*10,[1]Hugst!$R$4:$W$4,0))))</f>
        <v>618.10043445839881</v>
      </c>
      <c r="Y241">
        <f ca="1">IF($C241-Y$1&lt;År1,0,X240*(1-VLOOKUP($A241,[1]Hugst!$R$5:$W$9,MATCH(ROUNDUP((Y$1)/10,0)*10,[1]Hugst!$R$4:$W$4,0))))</f>
        <v>618.12420844877124</v>
      </c>
      <c r="Z241">
        <f ca="1">IF($C241-Z$1&lt;År1,0,Y240*(1-VLOOKUP($A241,[1]Hugst!$R$5:$W$9,MATCH(ROUNDUP((Z$1)/10,0)*10,[1]Hugst!$R$4:$W$4,0))))</f>
        <v>618.75622375323735</v>
      </c>
      <c r="AA241">
        <f ca="1">IF($C241-AA$1&lt;År1,0,Z240*(1-VLOOKUP($A241,[1]Hugst!$R$5:$W$9,MATCH(ROUNDUP((AA$1)/10,0)*10,[1]Hugst!$R$4:$W$4,0))))</f>
        <v>619.39273373014044</v>
      </c>
      <c r="AB241">
        <f ca="1">IF($C241-AB$1&lt;År1,0,AA240*(1-VLOOKUP($A241,[1]Hugst!$R$5:$W$9,MATCH(ROUNDUP((AB$1)/10,0)*10,[1]Hugst!$R$4:$W$4,0))))</f>
        <v>620.03375290407803</v>
      </c>
      <c r="AC241">
        <f>IF($C241-AC$1&lt;År1,0,AB240*(1-VLOOKUP($A241,[1]Hugst!$R$5:$W$9,MATCH(ROUNDUP((AC$1)/10,0)*10,[1]Hugst!$R$4:$W$4,0))))</f>
        <v>0</v>
      </c>
      <c r="AD241">
        <f>IF($C241-AD$1&lt;År1,0,AC240*(1-VLOOKUP($A241,[1]Hugst!$R$5:$W$9,MATCH(ROUNDUP((AD$1)/10,0)*10,[1]Hugst!$R$4:$W$4,0))))</f>
        <v>0</v>
      </c>
      <c r="AE241">
        <f>IF($C241-AE$1&lt;År1,0,AD240*(1-VLOOKUP($A241,[1]Hugst!$R$5:$W$9,MATCH(ROUNDUP((AE$1)/10,0)*10,[1]Hugst!$R$4:$W$4,0))))</f>
        <v>0</v>
      </c>
      <c r="AF241">
        <f>IF($C241-AF$1&lt;År1,0,AE240*(1-VLOOKUP($A241,[1]Hugst!$R$5:$W$9,MATCH(ROUNDUP((AF$1)/10,0)*10,[1]Hugst!$R$4:$W$4,0))))</f>
        <v>0</v>
      </c>
      <c r="AG241">
        <f>IF($C241-AG$1&lt;År1,0,AF240*(1-VLOOKUP($A241,[1]Hugst!$R$5:$W$9,MATCH(ROUNDUP((AG$1)/10,0)*10,[1]Hugst!$R$4:$W$4,0))))</f>
        <v>0</v>
      </c>
      <c r="AH241">
        <f>IF($C241-AH$1&lt;År1,0,AG240*(1-VLOOKUP($A241,[1]Hugst!$R$5:$W$9,MATCH(ROUNDUP((AH$1)/10,0)*10,[1]Hugst!$R$4:$W$4,0))))</f>
        <v>0</v>
      </c>
      <c r="AI241">
        <f>IF($C241-AI$1&lt;År1,0,AH240*(1-VLOOKUP($A241,[1]Hugst!$R$5:$W$9,MATCH(ROUNDUP((AI$1)/10,0)*10,[1]Hugst!$R$4:$W$4,0))))</f>
        <v>0</v>
      </c>
      <c r="AJ241">
        <f>IF($C241-AJ$1&lt;År1,0,AI240*(1-VLOOKUP($A241,[1]Hugst!$R$5:$W$9,MATCH(ROUNDUP((AJ$1)/10,0)*10,[1]Hugst!$R$4:$W$4,0))))</f>
        <v>0</v>
      </c>
    </row>
    <row r="242" spans="1:36" x14ac:dyDescent="0.25">
      <c r="A242" t="s">
        <v>179</v>
      </c>
      <c r="B242" t="s">
        <v>24</v>
      </c>
      <c r="C242">
        <v>2043</v>
      </c>
      <c r="D242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255.32709523728954</v>
      </c>
      <c r="E242">
        <f t="shared" ca="1" si="5"/>
        <v>17.930143063396827</v>
      </c>
      <c r="F242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822.63995435006939</v>
      </c>
      <c r="G242">
        <f ca="1">IF($C242-G$1&lt;År1,0,F241*(1-VLOOKUP($A242,[1]Hugst!$R$5:$W$9,MATCH(ROUNDUP((G$1)/10,0)*10,[1]Hugst!$R$4:$W$4,0))))</f>
        <v>822.75320490685147</v>
      </c>
      <c r="H242">
        <f ca="1">IF($C242-H$1&lt;År1,0,G241*(1-VLOOKUP($A242,[1]Hugst!$R$5:$W$9,MATCH(ROUNDUP((H$1)/10,0)*10,[1]Hugst!$R$4:$W$4,0))))</f>
        <v>822.87248645764532</v>
      </c>
      <c r="I242">
        <f ca="1">IF($C242-I$1&lt;År1,0,H241*(1-VLOOKUP($A242,[1]Hugst!$R$5:$W$9,MATCH(ROUNDUP((I$1)/10,0)*10,[1]Hugst!$R$4:$W$4,0))))</f>
        <v>822.9978384872494</v>
      </c>
      <c r="J242">
        <f ca="1">IF($C242-J$1&lt;År1,0,I241*(1-VLOOKUP($A242,[1]Hugst!$R$5:$W$9,MATCH(ROUNDUP((J$1)/10,0)*10,[1]Hugst!$R$4:$W$4,0))))</f>
        <v>823.56879710017904</v>
      </c>
      <c r="K242">
        <f ca="1">IF($C242-K$1&lt;År1,0,J241*(1-VLOOKUP($A242,[1]Hugst!$R$5:$W$9,MATCH(ROUNDUP((K$1)/10,0)*10,[1]Hugst!$R$4:$W$4,0))))</f>
        <v>823.53628571554793</v>
      </c>
      <c r="L242">
        <f ca="1">IF($C242-L$1&lt;År1,0,K241*(1-VLOOKUP($A242,[1]Hugst!$R$5:$W$9,MATCH(ROUNDUP((L$1)/10,0)*10,[1]Hugst!$R$4:$W$4,0))))</f>
        <v>823.50437321625316</v>
      </c>
      <c r="M242">
        <f ca="1">IF($C242-M$1&lt;År1,0,L241*(1-VLOOKUP($A242,[1]Hugst!$R$5:$W$9,MATCH(ROUNDUP((M$1)/10,0)*10,[1]Hugst!$R$4:$W$4,0))))</f>
        <v>823.47306428871082</v>
      </c>
      <c r="N242">
        <f ca="1">IF($C242-N$1&lt;År1,0,M241*(1-VLOOKUP($A242,[1]Hugst!$R$5:$W$9,MATCH(ROUNDUP((N$1)/10,0)*10,[1]Hugst!$R$4:$W$4,0))))</f>
        <v>823.44236364658911</v>
      </c>
      <c r="O242">
        <f ca="1">IF($C242-O$1&lt;År1,0,N241*(1-VLOOKUP($A242,[1]Hugst!$R$5:$W$9,MATCH(ROUNDUP((O$1)/10,0)*10,[1]Hugst!$R$4:$W$4,0))))</f>
        <v>823.41227603087793</v>
      </c>
      <c r="P242">
        <f ca="1">IF($C242-P$1&lt;År1,0,O241*(1-VLOOKUP($A242,[1]Hugst!$R$5:$W$9,MATCH(ROUNDUP((P$1)/10,0)*10,[1]Hugst!$R$4:$W$4,0))))</f>
        <v>821.57538053799669</v>
      </c>
      <c r="Q242">
        <f ca="1">IF($C242-Q$1&lt;År1,0,P241*(1-VLOOKUP($A242,[1]Hugst!$R$5:$W$9,MATCH(ROUNDUP((Q$1)/10,0)*10,[1]Hugst!$R$4:$W$4,0))))</f>
        <v>819.74320166348775</v>
      </c>
      <c r="R242">
        <f ca="1">IF($C242-R$1&lt;År1,0,Q241*(1-VLOOKUP($A242,[1]Hugst!$R$5:$W$9,MATCH(ROUNDUP((R$1)/10,0)*10,[1]Hugst!$R$4:$W$4,0))))</f>
        <v>817.91573098310744</v>
      </c>
      <c r="S242">
        <f ca="1">IF($C242-S$1&lt;År1,0,R241*(1-VLOOKUP($A242,[1]Hugst!$R$5:$W$9,MATCH(ROUNDUP((S$1)/10,0)*10,[1]Hugst!$R$4:$W$4,0))))</f>
        <v>618.06578628482612</v>
      </c>
      <c r="T242">
        <f ca="1">IF($C242-T$1&lt;År1,0,S241*(1-VLOOKUP($A242,[1]Hugst!$R$5:$W$9,MATCH(ROUNDUP((T$1)/10,0)*10,[1]Hugst!$R$4:$W$4,0))))</f>
        <v>616.68240061192762</v>
      </c>
      <c r="U242">
        <f ca="1">IF($C242-U$1&lt;År1,0,T241*(1-VLOOKUP($A242,[1]Hugst!$R$5:$W$9,MATCH(ROUNDUP((U$1)/10,0)*10,[1]Hugst!$R$4:$W$4,0))))</f>
        <v>616.68700357657656</v>
      </c>
      <c r="V242">
        <f ca="1">IF($C242-V$1&lt;År1,0,U241*(1-VLOOKUP($A242,[1]Hugst!$R$5:$W$9,MATCH(ROUNDUP((V$1)/10,0)*10,[1]Hugst!$R$4:$W$4,0))))</f>
        <v>616.6954254368917</v>
      </c>
      <c r="W242">
        <f ca="1">IF($C242-W$1&lt;År1,0,V241*(1-VLOOKUP($A242,[1]Hugst!$R$5:$W$9,MATCH(ROUNDUP((W$1)/10,0)*10,[1]Hugst!$R$4:$W$4,0))))</f>
        <v>616.70766860380513</v>
      </c>
      <c r="X242">
        <f ca="1">IF($C242-X$1&lt;År1,0,W241*(1-VLOOKUP($A242,[1]Hugst!$R$5:$W$9,MATCH(ROUNDUP((X$1)/10,0)*10,[1]Hugst!$R$4:$W$4,0))))</f>
        <v>616.72373551331202</v>
      </c>
      <c r="Y242">
        <f ca="1">IF($C242-Y$1&lt;År1,0,X241*(1-VLOOKUP($A242,[1]Hugst!$R$5:$W$9,MATCH(ROUNDUP((Y$1)/10,0)*10,[1]Hugst!$R$4:$W$4,0))))</f>
        <v>616.74362862666089</v>
      </c>
      <c r="Z242">
        <f ca="1">IF($C242-Z$1&lt;År1,0,Y241*(1-VLOOKUP($A242,[1]Hugst!$R$5:$W$9,MATCH(ROUNDUP((Z$1)/10,0)*10,[1]Hugst!$R$4:$W$4,0))))</f>
        <v>617.37039843846787</v>
      </c>
      <c r="AA242">
        <f ca="1">IF($C242-AA$1&lt;År1,0,Z241*(1-VLOOKUP($A242,[1]Hugst!$R$5:$W$9,MATCH(ROUNDUP((AA$1)/10,0)*10,[1]Hugst!$R$4:$W$4,0))))</f>
        <v>618.00164299256267</v>
      </c>
      <c r="AB242">
        <f ca="1">IF($C242-AB$1&lt;År1,0,AA241*(1-VLOOKUP($A242,[1]Hugst!$R$5:$W$9,MATCH(ROUNDUP((AB$1)/10,0)*10,[1]Hugst!$R$4:$W$4,0))))</f>
        <v>618.63737673778655</v>
      </c>
      <c r="AC242">
        <f ca="1">IF($C242-AC$1&lt;År1,0,AB241*(1-VLOOKUP($A242,[1]Hugst!$R$5:$W$9,MATCH(ROUNDUP((AC$1)/10,0)*10,[1]Hugst!$R$4:$W$4,0))))</f>
        <v>619.27761418102432</v>
      </c>
      <c r="AD242">
        <f>IF($C242-AD$1&lt;År1,0,AC241*(1-VLOOKUP($A242,[1]Hugst!$R$5:$W$9,MATCH(ROUNDUP((AD$1)/10,0)*10,[1]Hugst!$R$4:$W$4,0))))</f>
        <v>0</v>
      </c>
      <c r="AE242">
        <f>IF($C242-AE$1&lt;År1,0,AD241*(1-VLOOKUP($A242,[1]Hugst!$R$5:$W$9,MATCH(ROUNDUP((AE$1)/10,0)*10,[1]Hugst!$R$4:$W$4,0))))</f>
        <v>0</v>
      </c>
      <c r="AF242">
        <f>IF($C242-AF$1&lt;År1,0,AE241*(1-VLOOKUP($A242,[1]Hugst!$R$5:$W$9,MATCH(ROUNDUP((AF$1)/10,0)*10,[1]Hugst!$R$4:$W$4,0))))</f>
        <v>0</v>
      </c>
      <c r="AG242">
        <f>IF($C242-AG$1&lt;År1,0,AF241*(1-VLOOKUP($A242,[1]Hugst!$R$5:$W$9,MATCH(ROUNDUP((AG$1)/10,0)*10,[1]Hugst!$R$4:$W$4,0))))</f>
        <v>0</v>
      </c>
      <c r="AH242">
        <f>IF($C242-AH$1&lt;År1,0,AG241*(1-VLOOKUP($A242,[1]Hugst!$R$5:$W$9,MATCH(ROUNDUP((AH$1)/10,0)*10,[1]Hugst!$R$4:$W$4,0))))</f>
        <v>0</v>
      </c>
      <c r="AI242">
        <f>IF($C242-AI$1&lt;År1,0,AH241*(1-VLOOKUP($A242,[1]Hugst!$R$5:$W$9,MATCH(ROUNDUP((AI$1)/10,0)*10,[1]Hugst!$R$4:$W$4,0))))</f>
        <v>0</v>
      </c>
      <c r="AJ242">
        <f>IF($C242-AJ$1&lt;År1,0,AI241*(1-VLOOKUP($A242,[1]Hugst!$R$5:$W$9,MATCH(ROUNDUP((AJ$1)/10,0)*10,[1]Hugst!$R$4:$W$4,0))))</f>
        <v>0</v>
      </c>
    </row>
    <row r="243" spans="1:36" x14ac:dyDescent="0.25">
      <c r="A243" t="s">
        <v>179</v>
      </c>
      <c r="B243" t="s">
        <v>24</v>
      </c>
      <c r="C243">
        <v>2044</v>
      </c>
      <c r="D243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254.05045976109704</v>
      </c>
      <c r="E243">
        <f t="shared" ca="1" si="5"/>
        <v>19.099519704410341</v>
      </c>
      <c r="F243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822.53269551489041</v>
      </c>
      <c r="G243">
        <f ca="1">IF($C243-G$1&lt;År1,0,F242*(1-VLOOKUP($A243,[1]Hugst!$R$5:$W$9,MATCH(ROUNDUP((G$1)/10,0)*10,[1]Hugst!$R$4:$W$4,0))))</f>
        <v>822.63995435006939</v>
      </c>
      <c r="H243">
        <f ca="1">IF($C243-H$1&lt;År1,0,G242*(1-VLOOKUP($A243,[1]Hugst!$R$5:$W$9,MATCH(ROUNDUP((H$1)/10,0)*10,[1]Hugst!$R$4:$W$4,0))))</f>
        <v>822.75320490685147</v>
      </c>
      <c r="I243">
        <f ca="1">IF($C243-I$1&lt;År1,0,H242*(1-VLOOKUP($A243,[1]Hugst!$R$5:$W$9,MATCH(ROUNDUP((I$1)/10,0)*10,[1]Hugst!$R$4:$W$4,0))))</f>
        <v>822.87248645764532</v>
      </c>
      <c r="J243">
        <f ca="1">IF($C243-J$1&lt;År1,0,I242*(1-VLOOKUP($A243,[1]Hugst!$R$5:$W$9,MATCH(ROUNDUP((J$1)/10,0)*10,[1]Hugst!$R$4:$W$4,0))))</f>
        <v>822.9978384872494</v>
      </c>
      <c r="K243">
        <f ca="1">IF($C243-K$1&lt;År1,0,J242*(1-VLOOKUP($A243,[1]Hugst!$R$5:$W$9,MATCH(ROUNDUP((K$1)/10,0)*10,[1]Hugst!$R$4:$W$4,0))))</f>
        <v>823.56879710017904</v>
      </c>
      <c r="L243">
        <f ca="1">IF($C243-L$1&lt;År1,0,K242*(1-VLOOKUP($A243,[1]Hugst!$R$5:$W$9,MATCH(ROUNDUP((L$1)/10,0)*10,[1]Hugst!$R$4:$W$4,0))))</f>
        <v>823.53628571554793</v>
      </c>
      <c r="M243">
        <f ca="1">IF($C243-M$1&lt;År1,0,L242*(1-VLOOKUP($A243,[1]Hugst!$R$5:$W$9,MATCH(ROUNDUP((M$1)/10,0)*10,[1]Hugst!$R$4:$W$4,0))))</f>
        <v>823.50437321625316</v>
      </c>
      <c r="N243">
        <f ca="1">IF($C243-N$1&lt;År1,0,M242*(1-VLOOKUP($A243,[1]Hugst!$R$5:$W$9,MATCH(ROUNDUP((N$1)/10,0)*10,[1]Hugst!$R$4:$W$4,0))))</f>
        <v>823.47306428871082</v>
      </c>
      <c r="O243">
        <f ca="1">IF($C243-O$1&lt;År1,0,N242*(1-VLOOKUP($A243,[1]Hugst!$R$5:$W$9,MATCH(ROUNDUP((O$1)/10,0)*10,[1]Hugst!$R$4:$W$4,0))))</f>
        <v>823.44236364658911</v>
      </c>
      <c r="P243">
        <f ca="1">IF($C243-P$1&lt;År1,0,O242*(1-VLOOKUP($A243,[1]Hugst!$R$5:$W$9,MATCH(ROUNDUP((P$1)/10,0)*10,[1]Hugst!$R$4:$W$4,0))))</f>
        <v>821.60478566885888</v>
      </c>
      <c r="Q243">
        <f ca="1">IF($C243-Q$1&lt;År1,0,P242*(1-VLOOKUP($A243,[1]Hugst!$R$5:$W$9,MATCH(ROUNDUP((Q$1)/10,0)*10,[1]Hugst!$R$4:$W$4,0))))</f>
        <v>819.77192238559621</v>
      </c>
      <c r="R243">
        <f ca="1">IF($C243-R$1&lt;År1,0,Q242*(1-VLOOKUP($A243,[1]Hugst!$R$5:$W$9,MATCH(ROUNDUP((R$1)/10,0)*10,[1]Hugst!$R$4:$W$4,0))))</f>
        <v>817.94376536715322</v>
      </c>
      <c r="S243">
        <f ca="1">IF($C243-S$1&lt;År1,0,R242*(1-VLOOKUP($A243,[1]Hugst!$R$5:$W$9,MATCH(ROUNDUP((S$1)/10,0)*10,[1]Hugst!$R$4:$W$4,0))))</f>
        <v>816.12030620777864</v>
      </c>
      <c r="T243">
        <f ca="1">IF($C243-T$1&lt;År1,0,S242*(1-VLOOKUP($A243,[1]Hugst!$R$5:$W$9,MATCH(ROUNDUP((T$1)/10,0)*10,[1]Hugst!$R$4:$W$4,0))))</f>
        <v>616.70905651005455</v>
      </c>
      <c r="U243">
        <f ca="1">IF($C243-U$1&lt;År1,0,T242*(1-VLOOKUP($A243,[1]Hugst!$R$5:$W$9,MATCH(ROUNDUP((U$1)/10,0)*10,[1]Hugst!$R$4:$W$4,0))))</f>
        <v>615.32870753741361</v>
      </c>
      <c r="V243">
        <f ca="1">IF($C243-V$1&lt;År1,0,U242*(1-VLOOKUP($A243,[1]Hugst!$R$5:$W$9,MATCH(ROUNDUP((V$1)/10,0)*10,[1]Hugst!$R$4:$W$4,0))))</f>
        <v>615.33330039799387</v>
      </c>
      <c r="W243">
        <f ca="1">IF($C243-W$1&lt;År1,0,V242*(1-VLOOKUP($A243,[1]Hugst!$R$5:$W$9,MATCH(ROUNDUP((W$1)/10,0)*10,[1]Hugst!$R$4:$W$4,0))))</f>
        <v>615.34170377129851</v>
      </c>
      <c r="X243">
        <f ca="1">IF($C243-X$1&lt;År1,0,W242*(1-VLOOKUP($A243,[1]Hugst!$R$5:$W$9,MATCH(ROUNDUP((X$1)/10,0)*10,[1]Hugst!$R$4:$W$4,0))))</f>
        <v>615.35392006296752</v>
      </c>
      <c r="Y243">
        <f ca="1">IF($C243-Y$1&lt;År1,0,X242*(1-VLOOKUP($A243,[1]Hugst!$R$5:$W$9,MATCH(ROUNDUP((Y$1)/10,0)*10,[1]Hugst!$R$4:$W$4,0))))</f>
        <v>615.36995170364867</v>
      </c>
      <c r="Z243">
        <f ca="1">IF($C243-Z$1&lt;År1,0,Y242*(1-VLOOKUP($A243,[1]Hugst!$R$5:$W$9,MATCH(ROUNDUP((Z$1)/10,0)*10,[1]Hugst!$R$4:$W$4,0))))</f>
        <v>615.99150225028689</v>
      </c>
      <c r="AA243">
        <f ca="1">IF($C243-AA$1&lt;År1,0,Z242*(1-VLOOKUP($A243,[1]Hugst!$R$5:$W$9,MATCH(ROUNDUP((AA$1)/10,0)*10,[1]Hugst!$R$4:$W$4,0))))</f>
        <v>616.6175077086649</v>
      </c>
      <c r="AB243">
        <f ca="1">IF($C243-AB$1&lt;År1,0,AA242*(1-VLOOKUP($A243,[1]Hugst!$R$5:$W$9,MATCH(ROUNDUP((AB$1)/10,0)*10,[1]Hugst!$R$4:$W$4,0))))</f>
        <v>617.24798245232785</v>
      </c>
      <c r="AC243">
        <f ca="1">IF($C243-AC$1&lt;År1,0,AB242*(1-VLOOKUP($A243,[1]Hugst!$R$5:$W$9,MATCH(ROUNDUP((AC$1)/10,0)*10,[1]Hugst!$R$4:$W$4,0))))</f>
        <v>617.88294091249657</v>
      </c>
      <c r="AD243">
        <f ca="1">IF($C243-AD$1&lt;År1,0,AC242*(1-VLOOKUP($A243,[1]Hugst!$R$5:$W$9,MATCH(ROUNDUP((AD$1)/10,0)*10,[1]Hugst!$R$4:$W$4,0))))</f>
        <v>618.52239757836458</v>
      </c>
      <c r="AE243">
        <f>IF($C243-AE$1&lt;År1,0,AD242*(1-VLOOKUP($A243,[1]Hugst!$R$5:$W$9,MATCH(ROUNDUP((AE$1)/10,0)*10,[1]Hugst!$R$4:$W$4,0))))</f>
        <v>0</v>
      </c>
      <c r="AF243">
        <f>IF($C243-AF$1&lt;År1,0,AE242*(1-VLOOKUP($A243,[1]Hugst!$R$5:$W$9,MATCH(ROUNDUP((AF$1)/10,0)*10,[1]Hugst!$R$4:$W$4,0))))</f>
        <v>0</v>
      </c>
      <c r="AG243">
        <f>IF($C243-AG$1&lt;År1,0,AF242*(1-VLOOKUP($A243,[1]Hugst!$R$5:$W$9,MATCH(ROUNDUP((AG$1)/10,0)*10,[1]Hugst!$R$4:$W$4,0))))</f>
        <v>0</v>
      </c>
      <c r="AH243">
        <f>IF($C243-AH$1&lt;År1,0,AG242*(1-VLOOKUP($A243,[1]Hugst!$R$5:$W$9,MATCH(ROUNDUP((AH$1)/10,0)*10,[1]Hugst!$R$4:$W$4,0))))</f>
        <v>0</v>
      </c>
      <c r="AI243">
        <f>IF($C243-AI$1&lt;År1,0,AH242*(1-VLOOKUP($A243,[1]Hugst!$R$5:$W$9,MATCH(ROUNDUP((AI$1)/10,0)*10,[1]Hugst!$R$4:$W$4,0))))</f>
        <v>0</v>
      </c>
      <c r="AJ243">
        <f>IF($C243-AJ$1&lt;År1,0,AI242*(1-VLOOKUP($A243,[1]Hugst!$R$5:$W$9,MATCH(ROUNDUP((AJ$1)/10,0)*10,[1]Hugst!$R$4:$W$4,0))))</f>
        <v>0</v>
      </c>
    </row>
    <row r="244" spans="1:36" x14ac:dyDescent="0.25">
      <c r="A244" t="s">
        <v>179</v>
      </c>
      <c r="B244" t="s">
        <v>24</v>
      </c>
      <c r="C244">
        <v>2045</v>
      </c>
      <c r="D244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252.78020746229504</v>
      </c>
      <c r="E244">
        <f t="shared" ca="1" si="5"/>
        <v>20.268465828543412</v>
      </c>
      <c r="F244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822.43138934022147</v>
      </c>
      <c r="G244">
        <f ca="1">IF($C244-G$1&lt;År1,0,F243*(1-VLOOKUP($A244,[1]Hugst!$R$5:$W$9,MATCH(ROUNDUP((G$1)/10,0)*10,[1]Hugst!$R$4:$W$4,0))))</f>
        <v>822.53269551489041</v>
      </c>
      <c r="H244">
        <f ca="1">IF($C244-H$1&lt;År1,0,G243*(1-VLOOKUP($A244,[1]Hugst!$R$5:$W$9,MATCH(ROUNDUP((H$1)/10,0)*10,[1]Hugst!$R$4:$W$4,0))))</f>
        <v>822.63995435006939</v>
      </c>
      <c r="I244">
        <f ca="1">IF($C244-I$1&lt;År1,0,H243*(1-VLOOKUP($A244,[1]Hugst!$R$5:$W$9,MATCH(ROUNDUP((I$1)/10,0)*10,[1]Hugst!$R$4:$W$4,0))))</f>
        <v>822.75320490685147</v>
      </c>
      <c r="J244">
        <f ca="1">IF($C244-J$1&lt;År1,0,I243*(1-VLOOKUP($A244,[1]Hugst!$R$5:$W$9,MATCH(ROUNDUP((J$1)/10,0)*10,[1]Hugst!$R$4:$W$4,0))))</f>
        <v>822.87248645764532</v>
      </c>
      <c r="K244">
        <f ca="1">IF($C244-K$1&lt;År1,0,J243*(1-VLOOKUP($A244,[1]Hugst!$R$5:$W$9,MATCH(ROUNDUP((K$1)/10,0)*10,[1]Hugst!$R$4:$W$4,0))))</f>
        <v>822.9978384872494</v>
      </c>
      <c r="L244">
        <f ca="1">IF($C244-L$1&lt;År1,0,K243*(1-VLOOKUP($A244,[1]Hugst!$R$5:$W$9,MATCH(ROUNDUP((L$1)/10,0)*10,[1]Hugst!$R$4:$W$4,0))))</f>
        <v>823.56879710017904</v>
      </c>
      <c r="M244">
        <f ca="1">IF($C244-M$1&lt;År1,0,L243*(1-VLOOKUP($A244,[1]Hugst!$R$5:$W$9,MATCH(ROUNDUP((M$1)/10,0)*10,[1]Hugst!$R$4:$W$4,0))))</f>
        <v>823.53628571554793</v>
      </c>
      <c r="N244">
        <f ca="1">IF($C244-N$1&lt;År1,0,M243*(1-VLOOKUP($A244,[1]Hugst!$R$5:$W$9,MATCH(ROUNDUP((N$1)/10,0)*10,[1]Hugst!$R$4:$W$4,0))))</f>
        <v>823.50437321625316</v>
      </c>
      <c r="O244">
        <f ca="1">IF($C244-O$1&lt;År1,0,N243*(1-VLOOKUP($A244,[1]Hugst!$R$5:$W$9,MATCH(ROUNDUP((O$1)/10,0)*10,[1]Hugst!$R$4:$W$4,0))))</f>
        <v>823.47306428871082</v>
      </c>
      <c r="P244">
        <f ca="1">IF($C244-P$1&lt;År1,0,O243*(1-VLOOKUP($A244,[1]Hugst!$R$5:$W$9,MATCH(ROUNDUP((P$1)/10,0)*10,[1]Hugst!$R$4:$W$4,0))))</f>
        <v>821.63480723858436</v>
      </c>
      <c r="Q244">
        <f ca="1">IF($C244-Q$1&lt;År1,0,P243*(1-VLOOKUP($A244,[1]Hugst!$R$5:$W$9,MATCH(ROUNDUP((Q$1)/10,0)*10,[1]Hugst!$R$4:$W$4,0))))</f>
        <v>819.80126296861022</v>
      </c>
      <c r="R244">
        <f ca="1">IF($C244-R$1&lt;År1,0,Q243*(1-VLOOKUP($A244,[1]Hugst!$R$5:$W$9,MATCH(ROUNDUP((R$1)/10,0)*10,[1]Hugst!$R$4:$W$4,0))))</f>
        <v>817.97242304377414</v>
      </c>
      <c r="S244">
        <f ca="1">IF($C244-S$1&lt;År1,0,R243*(1-VLOOKUP($A244,[1]Hugst!$R$5:$W$9,MATCH(ROUNDUP((S$1)/10,0)*10,[1]Hugst!$R$4:$W$4,0))))</f>
        <v>816.14827905293259</v>
      </c>
      <c r="T244">
        <f ca="1">IF($C244-T$1&lt;År1,0,S243*(1-VLOOKUP($A244,[1]Hugst!$R$5:$W$9,MATCH(ROUNDUP((T$1)/10,0)*10,[1]Hugst!$R$4:$W$4,0))))</f>
        <v>814.32882260878591</v>
      </c>
      <c r="U244">
        <f ca="1">IF($C244-U$1&lt;År1,0,T243*(1-VLOOKUP($A244,[1]Hugst!$R$5:$W$9,MATCH(ROUNDUP((U$1)/10,0)*10,[1]Hugst!$R$4:$W$4,0))))</f>
        <v>615.3553049225934</v>
      </c>
      <c r="V244">
        <f ca="1">IF($C244-V$1&lt;År1,0,U243*(1-VLOOKUP($A244,[1]Hugst!$R$5:$W$9,MATCH(ROUNDUP((V$1)/10,0)*10,[1]Hugst!$R$4:$W$4,0))))</f>
        <v>613.97798598428267</v>
      </c>
      <c r="W244">
        <f ca="1">IF($C244-W$1&lt;År1,0,V243*(1-VLOOKUP($A244,[1]Hugst!$R$5:$W$9,MATCH(ROUNDUP((W$1)/10,0)*10,[1]Hugst!$R$4:$W$4,0))))</f>
        <v>613.98256876297387</v>
      </c>
      <c r="X244">
        <f ca="1">IF($C244-X$1&lt;År1,0,W243*(1-VLOOKUP($A244,[1]Hugst!$R$5:$W$9,MATCH(ROUNDUP((X$1)/10,0)*10,[1]Hugst!$R$4:$W$4,0))))</f>
        <v>613.99095368984933</v>
      </c>
      <c r="Y244">
        <f ca="1">IF($C244-Y$1&lt;År1,0,X243*(1-VLOOKUP($A244,[1]Hugst!$R$5:$W$9,MATCH(ROUNDUP((Y$1)/10,0)*10,[1]Hugst!$R$4:$W$4,0))))</f>
        <v>614.00314316526828</v>
      </c>
      <c r="Z244">
        <f ca="1">IF($C244-Z$1&lt;År1,0,Y243*(1-VLOOKUP($A244,[1]Hugst!$R$5:$W$9,MATCH(ROUNDUP((Z$1)/10,0)*10,[1]Hugst!$R$4:$W$4,0))))</f>
        <v>614.61950054303441</v>
      </c>
      <c r="AA244">
        <f ca="1">IF($C244-AA$1&lt;År1,0,Z243*(1-VLOOKUP($A244,[1]Hugst!$R$5:$W$9,MATCH(ROUNDUP((AA$1)/10,0)*10,[1]Hugst!$R$4:$W$4,0))))</f>
        <v>615.24029310120113</v>
      </c>
      <c r="AB244">
        <f ca="1">IF($C244-AB$1&lt;År1,0,AA243*(1-VLOOKUP($A244,[1]Hugst!$R$5:$W$9,MATCH(ROUNDUP((AB$1)/10,0)*10,[1]Hugst!$R$4:$W$4,0))))</f>
        <v>615.86553513828846</v>
      </c>
      <c r="AC244">
        <f ca="1">IF($C244-AC$1&lt;År1,0,AB243*(1-VLOOKUP($A244,[1]Hugst!$R$5:$W$9,MATCH(ROUNDUP((AC$1)/10,0)*10,[1]Hugst!$R$4:$W$4,0))))</f>
        <v>616.49524101031284</v>
      </c>
      <c r="AD244">
        <f ca="1">IF($C244-AD$1&lt;År1,0,AC243*(1-VLOOKUP($A244,[1]Hugst!$R$5:$W$9,MATCH(ROUNDUP((AD$1)/10,0)*10,[1]Hugst!$R$4:$W$4,0))))</f>
        <v>617.12942513089592</v>
      </c>
      <c r="AE244">
        <f ca="1">IF($C244-AE$1&lt;År1,0,AD243*(1-VLOOKUP($A244,[1]Hugst!$R$5:$W$9,MATCH(ROUNDUP((AE$1)/10,0)*10,[1]Hugst!$R$4:$W$4,0))))</f>
        <v>617.76810197156169</v>
      </c>
      <c r="AF244">
        <f>IF($C244-AF$1&lt;År1,0,AE243*(1-VLOOKUP($A244,[1]Hugst!$R$5:$W$9,MATCH(ROUNDUP((AF$1)/10,0)*10,[1]Hugst!$R$4:$W$4,0))))</f>
        <v>0</v>
      </c>
      <c r="AG244">
        <f>IF($C244-AG$1&lt;År1,0,AF243*(1-VLOOKUP($A244,[1]Hugst!$R$5:$W$9,MATCH(ROUNDUP((AG$1)/10,0)*10,[1]Hugst!$R$4:$W$4,0))))</f>
        <v>0</v>
      </c>
      <c r="AH244">
        <f>IF($C244-AH$1&lt;År1,0,AG243*(1-VLOOKUP($A244,[1]Hugst!$R$5:$W$9,MATCH(ROUNDUP((AH$1)/10,0)*10,[1]Hugst!$R$4:$W$4,0))))</f>
        <v>0</v>
      </c>
      <c r="AI244">
        <f>IF($C244-AI$1&lt;År1,0,AH243*(1-VLOOKUP($A244,[1]Hugst!$R$5:$W$9,MATCH(ROUNDUP((AI$1)/10,0)*10,[1]Hugst!$R$4:$W$4,0))))</f>
        <v>0</v>
      </c>
      <c r="AJ244">
        <f>IF($C244-AJ$1&lt;År1,0,AI243*(1-VLOOKUP($A244,[1]Hugst!$R$5:$W$9,MATCH(ROUNDUP((AJ$1)/10,0)*10,[1]Hugst!$R$4:$W$4,0))))</f>
        <v>0</v>
      </c>
    </row>
    <row r="245" spans="1:36" x14ac:dyDescent="0.25">
      <c r="A245" t="s">
        <v>179</v>
      </c>
      <c r="B245" t="s">
        <v>24</v>
      </c>
      <c r="C245">
        <v>2046</v>
      </c>
      <c r="D245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251.51630642498912</v>
      </c>
      <c r="E245">
        <f t="shared" ca="1" si="5"/>
        <v>21.436974500822544</v>
      </c>
      <c r="F245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822.33599697519469</v>
      </c>
      <c r="G245">
        <f ca="1">IF($C245-G$1&lt;År1,0,F244*(1-VLOOKUP($A245,[1]Hugst!$R$5:$W$9,MATCH(ROUNDUP((G$1)/10,0)*10,[1]Hugst!$R$4:$W$4,0))))</f>
        <v>822.43138934022147</v>
      </c>
      <c r="H245">
        <f ca="1">IF($C245-H$1&lt;År1,0,G244*(1-VLOOKUP($A245,[1]Hugst!$R$5:$W$9,MATCH(ROUNDUP((H$1)/10,0)*10,[1]Hugst!$R$4:$W$4,0))))</f>
        <v>822.53269551489041</v>
      </c>
      <c r="I245">
        <f ca="1">IF($C245-I$1&lt;År1,0,H244*(1-VLOOKUP($A245,[1]Hugst!$R$5:$W$9,MATCH(ROUNDUP((I$1)/10,0)*10,[1]Hugst!$R$4:$W$4,0))))</f>
        <v>822.63995435006939</v>
      </c>
      <c r="J245">
        <f ca="1">IF($C245-J$1&lt;År1,0,I244*(1-VLOOKUP($A245,[1]Hugst!$R$5:$W$9,MATCH(ROUNDUP((J$1)/10,0)*10,[1]Hugst!$R$4:$W$4,0))))</f>
        <v>822.75320490685147</v>
      </c>
      <c r="K245">
        <f ca="1">IF($C245-K$1&lt;År1,0,J244*(1-VLOOKUP($A245,[1]Hugst!$R$5:$W$9,MATCH(ROUNDUP((K$1)/10,0)*10,[1]Hugst!$R$4:$W$4,0))))</f>
        <v>822.87248645764532</v>
      </c>
      <c r="L245">
        <f ca="1">IF($C245-L$1&lt;År1,0,K244*(1-VLOOKUP($A245,[1]Hugst!$R$5:$W$9,MATCH(ROUNDUP((L$1)/10,0)*10,[1]Hugst!$R$4:$W$4,0))))</f>
        <v>822.9978384872494</v>
      </c>
      <c r="M245">
        <f ca="1">IF($C245-M$1&lt;År1,0,L244*(1-VLOOKUP($A245,[1]Hugst!$R$5:$W$9,MATCH(ROUNDUP((M$1)/10,0)*10,[1]Hugst!$R$4:$W$4,0))))</f>
        <v>823.56879710017904</v>
      </c>
      <c r="N245">
        <f ca="1">IF($C245-N$1&lt;År1,0,M244*(1-VLOOKUP($A245,[1]Hugst!$R$5:$W$9,MATCH(ROUNDUP((N$1)/10,0)*10,[1]Hugst!$R$4:$W$4,0))))</f>
        <v>823.53628571554793</v>
      </c>
      <c r="O245">
        <f ca="1">IF($C245-O$1&lt;År1,0,N244*(1-VLOOKUP($A245,[1]Hugst!$R$5:$W$9,MATCH(ROUNDUP((O$1)/10,0)*10,[1]Hugst!$R$4:$W$4,0))))</f>
        <v>823.50437321625316</v>
      </c>
      <c r="P245">
        <f ca="1">IF($C245-P$1&lt;År1,0,O244*(1-VLOOKUP($A245,[1]Hugst!$R$5:$W$9,MATCH(ROUNDUP((P$1)/10,0)*10,[1]Hugst!$R$4:$W$4,0))))</f>
        <v>821.66544048905268</v>
      </c>
      <c r="Q245">
        <f ca="1">IF($C245-Q$1&lt;År1,0,P244*(1-VLOOKUP($A245,[1]Hugst!$R$5:$W$9,MATCH(ROUNDUP((Q$1)/10,0)*10,[1]Hugst!$R$4:$W$4,0))))</f>
        <v>819.8312186373289</v>
      </c>
      <c r="R245">
        <f ca="1">IF($C245-R$1&lt;År1,0,Q244*(1-VLOOKUP($A245,[1]Hugst!$R$5:$W$9,MATCH(ROUNDUP((R$1)/10,0)*10,[1]Hugst!$R$4:$W$4,0))))</f>
        <v>818.00169922063037</v>
      </c>
      <c r="S245">
        <f ca="1">IF($C245-S$1&lt;År1,0,R244*(1-VLOOKUP($A245,[1]Hugst!$R$5:$W$9,MATCH(ROUNDUP((S$1)/10,0)*10,[1]Hugst!$R$4:$W$4,0))))</f>
        <v>816.17687382245856</v>
      </c>
      <c r="T245">
        <f ca="1">IF($C245-T$1&lt;År1,0,S244*(1-VLOOKUP($A245,[1]Hugst!$R$5:$W$9,MATCH(ROUNDUP((T$1)/10,0)*10,[1]Hugst!$R$4:$W$4,0))))</f>
        <v>814.35673405013347</v>
      </c>
      <c r="U245">
        <f ca="1">IF($C245-U$1&lt;År1,0,T244*(1-VLOOKUP($A245,[1]Hugst!$R$5:$W$9,MATCH(ROUNDUP((U$1)/10,0)*10,[1]Hugst!$R$4:$W$4,0))))</f>
        <v>812.54127153476668</v>
      </c>
      <c r="V245">
        <f ca="1">IF($C245-V$1&lt;År1,0,U244*(1-VLOOKUP($A245,[1]Hugst!$R$5:$W$9,MATCH(ROUNDUP((V$1)/10,0)*10,[1]Hugst!$R$4:$W$4,0))))</f>
        <v>614.00452498495849</v>
      </c>
      <c r="W245">
        <f ca="1">IF($C245-W$1&lt;År1,0,V244*(1-VLOOKUP($A245,[1]Hugst!$R$5:$W$9,MATCH(ROUNDUP((W$1)/10,0)*10,[1]Hugst!$R$4:$W$4,0))))</f>
        <v>612.63022942968303</v>
      </c>
      <c r="X245">
        <f ca="1">IF($C245-X$1&lt;År1,0,W244*(1-VLOOKUP($A245,[1]Hugst!$R$5:$W$9,MATCH(ROUNDUP((X$1)/10,0)*10,[1]Hugst!$R$4:$W$4,0))))</f>
        <v>612.63480214861613</v>
      </c>
      <c r="Y245">
        <f ca="1">IF($C245-Y$1&lt;År1,0,X244*(1-VLOOKUP($A245,[1]Hugst!$R$5:$W$9,MATCH(ROUNDUP((Y$1)/10,0)*10,[1]Hugst!$R$4:$W$4,0))))</f>
        <v>612.6431686695546</v>
      </c>
      <c r="Z245">
        <f ca="1">IF($C245-Z$1&lt;År1,0,Y244*(1-VLOOKUP($A245,[1]Hugst!$R$5:$W$9,MATCH(ROUNDUP((Z$1)/10,0)*10,[1]Hugst!$R$4:$W$4,0))))</f>
        <v>613.254358844335</v>
      </c>
      <c r="AA245">
        <f ca="1">IF($C245-AA$1&lt;År1,0,Z244*(1-VLOOKUP($A245,[1]Hugst!$R$5:$W$9,MATCH(ROUNDUP((AA$1)/10,0)*10,[1]Hugst!$R$4:$W$4,0))))</f>
        <v>613.86996456676241</v>
      </c>
      <c r="AB245">
        <f ca="1">IF($C245-AB$1&lt;År1,0,AA244*(1-VLOOKUP($A245,[1]Hugst!$R$5:$W$9,MATCH(ROUNDUP((AB$1)/10,0)*10,[1]Hugst!$R$4:$W$4,0))))</f>
        <v>614.49000006083384</v>
      </c>
      <c r="AC245">
        <f ca="1">IF($C245-AC$1&lt;År1,0,AB244*(1-VLOOKUP($A245,[1]Hugst!$R$5:$W$9,MATCH(ROUNDUP((AC$1)/10,0)*10,[1]Hugst!$R$4:$W$4,0))))</f>
        <v>615.11447960763201</v>
      </c>
      <c r="AD245">
        <f ca="1">IF($C245-AD$1&lt;År1,0,AC244*(1-VLOOKUP($A245,[1]Hugst!$R$5:$W$9,MATCH(ROUNDUP((AD$1)/10,0)*10,[1]Hugst!$R$4:$W$4,0))))</f>
        <v>615.74341754566615</v>
      </c>
      <c r="AE245">
        <f ca="1">IF($C245-AE$1&lt;År1,0,AD244*(1-VLOOKUP($A245,[1]Hugst!$R$5:$W$9,MATCH(ROUNDUP((AE$1)/10,0)*10,[1]Hugst!$R$4:$W$4,0))))</f>
        <v>616.37682827098024</v>
      </c>
      <c r="AF245">
        <f ca="1">IF($C245-AF$1&lt;År1,0,AE244*(1-VLOOKUP($A245,[1]Hugst!$R$5:$W$9,MATCH(ROUNDUP((AF$1)/10,0)*10,[1]Hugst!$R$4:$W$4,0))))</f>
        <v>617.01472623745008</v>
      </c>
      <c r="AG245">
        <f>IF($C245-AG$1&lt;År1,0,AF244*(1-VLOOKUP($A245,[1]Hugst!$R$5:$W$9,MATCH(ROUNDUP((AG$1)/10,0)*10,[1]Hugst!$R$4:$W$4,0))))</f>
        <v>0</v>
      </c>
      <c r="AH245">
        <f>IF($C245-AH$1&lt;År1,0,AG244*(1-VLOOKUP($A245,[1]Hugst!$R$5:$W$9,MATCH(ROUNDUP((AH$1)/10,0)*10,[1]Hugst!$R$4:$W$4,0))))</f>
        <v>0</v>
      </c>
      <c r="AI245">
        <f>IF($C245-AI$1&lt;År1,0,AH244*(1-VLOOKUP($A245,[1]Hugst!$R$5:$W$9,MATCH(ROUNDUP((AI$1)/10,0)*10,[1]Hugst!$R$4:$W$4,0))))</f>
        <v>0</v>
      </c>
      <c r="AJ245">
        <f>IF($C245-AJ$1&lt;År1,0,AI244*(1-VLOOKUP($A245,[1]Hugst!$R$5:$W$9,MATCH(ROUNDUP((AJ$1)/10,0)*10,[1]Hugst!$R$4:$W$4,0))))</f>
        <v>0</v>
      </c>
    </row>
    <row r="246" spans="1:36" x14ac:dyDescent="0.25">
      <c r="A246" t="s">
        <v>179</v>
      </c>
      <c r="B246" t="s">
        <v>24</v>
      </c>
      <c r="C246">
        <v>2047</v>
      </c>
      <c r="D246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250.25872489284848</v>
      </c>
      <c r="E246">
        <f t="shared" ca="1" si="5"/>
        <v>22.605038835808955</v>
      </c>
      <c r="F246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822.24647977804045</v>
      </c>
      <c r="G246">
        <f ca="1">IF($C246-G$1&lt;År1,0,F245*(1-VLOOKUP($A246,[1]Hugst!$R$5:$W$9,MATCH(ROUNDUP((G$1)/10,0)*10,[1]Hugst!$R$4:$W$4,0))))</f>
        <v>822.33599697519469</v>
      </c>
      <c r="H246">
        <f ca="1">IF($C246-H$1&lt;År1,0,G245*(1-VLOOKUP($A246,[1]Hugst!$R$5:$W$9,MATCH(ROUNDUP((H$1)/10,0)*10,[1]Hugst!$R$4:$W$4,0))))</f>
        <v>822.43138934022147</v>
      </c>
      <c r="I246">
        <f ca="1">IF($C246-I$1&lt;År1,0,H245*(1-VLOOKUP($A246,[1]Hugst!$R$5:$W$9,MATCH(ROUNDUP((I$1)/10,0)*10,[1]Hugst!$R$4:$W$4,0))))</f>
        <v>822.53269551489041</v>
      </c>
      <c r="J246">
        <f ca="1">IF($C246-J$1&lt;År1,0,I245*(1-VLOOKUP($A246,[1]Hugst!$R$5:$W$9,MATCH(ROUNDUP((J$1)/10,0)*10,[1]Hugst!$R$4:$W$4,0))))</f>
        <v>822.63995435006939</v>
      </c>
      <c r="K246">
        <f ca="1">IF($C246-K$1&lt;År1,0,J245*(1-VLOOKUP($A246,[1]Hugst!$R$5:$W$9,MATCH(ROUNDUP((K$1)/10,0)*10,[1]Hugst!$R$4:$W$4,0))))</f>
        <v>822.75320490685147</v>
      </c>
      <c r="L246">
        <f ca="1">IF($C246-L$1&lt;År1,0,K245*(1-VLOOKUP($A246,[1]Hugst!$R$5:$W$9,MATCH(ROUNDUP((L$1)/10,0)*10,[1]Hugst!$R$4:$W$4,0))))</f>
        <v>822.87248645764532</v>
      </c>
      <c r="M246">
        <f ca="1">IF($C246-M$1&lt;År1,0,L245*(1-VLOOKUP($A246,[1]Hugst!$R$5:$W$9,MATCH(ROUNDUP((M$1)/10,0)*10,[1]Hugst!$R$4:$W$4,0))))</f>
        <v>822.9978384872494</v>
      </c>
      <c r="N246">
        <f ca="1">IF($C246-N$1&lt;År1,0,M245*(1-VLOOKUP($A246,[1]Hugst!$R$5:$W$9,MATCH(ROUNDUP((N$1)/10,0)*10,[1]Hugst!$R$4:$W$4,0))))</f>
        <v>823.56879710017904</v>
      </c>
      <c r="O246">
        <f ca="1">IF($C246-O$1&lt;År1,0,N245*(1-VLOOKUP($A246,[1]Hugst!$R$5:$W$9,MATCH(ROUNDUP((O$1)/10,0)*10,[1]Hugst!$R$4:$W$4,0))))</f>
        <v>823.53628571554793</v>
      </c>
      <c r="P246">
        <f ca="1">IF($C246-P$1&lt;År1,0,O245*(1-VLOOKUP($A246,[1]Hugst!$R$5:$W$9,MATCH(ROUNDUP((P$1)/10,0)*10,[1]Hugst!$R$4:$W$4,0))))</f>
        <v>821.69668068968087</v>
      </c>
      <c r="Q246">
        <f ca="1">IF($C246-Q$1&lt;År1,0,P245*(1-VLOOKUP($A246,[1]Hugst!$R$5:$W$9,MATCH(ROUNDUP((Q$1)/10,0)*10,[1]Hugst!$R$4:$W$4,0))))</f>
        <v>819.86178464407669</v>
      </c>
      <c r="R246">
        <f ca="1">IF($C246-R$1&lt;År1,0,Q245*(1-VLOOKUP($A246,[1]Hugst!$R$5:$W$9,MATCH(ROUNDUP((R$1)/10,0)*10,[1]Hugst!$R$4:$W$4,0))))</f>
        <v>818.03158913300308</v>
      </c>
      <c r="S246">
        <f ca="1">IF($C246-S$1&lt;År1,0,R245*(1-VLOOKUP($A246,[1]Hugst!$R$5:$W$9,MATCH(ROUNDUP((S$1)/10,0)*10,[1]Hugst!$R$4:$W$4,0))))</f>
        <v>816.20608573453626</v>
      </c>
      <c r="T246">
        <f ca="1">IF($C246-T$1&lt;År1,0,S245*(1-VLOOKUP($A246,[1]Hugst!$R$5:$W$9,MATCH(ROUNDUP((T$1)/10,0)*10,[1]Hugst!$R$4:$W$4,0))))</f>
        <v>814.38526605065317</v>
      </c>
      <c r="U246">
        <f ca="1">IF($C246-U$1&lt;År1,0,T245*(1-VLOOKUP($A246,[1]Hugst!$R$5:$W$9,MATCH(ROUNDUP((U$1)/10,0)*10,[1]Hugst!$R$4:$W$4,0))))</f>
        <v>812.56912170709654</v>
      </c>
      <c r="V246">
        <f ca="1">IF($C246-V$1&lt;År1,0,U245*(1-VLOOKUP($A246,[1]Hugst!$R$5:$W$9,MATCH(ROUNDUP((V$1)/10,0)*10,[1]Hugst!$R$4:$W$4,0))))</f>
        <v>810.75764435334895</v>
      </c>
      <c r="W246">
        <f ca="1">IF($C246-W$1&lt;År1,0,V245*(1-VLOOKUP($A246,[1]Hugst!$R$5:$W$9,MATCH(ROUNDUP((W$1)/10,0)*10,[1]Hugst!$R$4:$W$4,0))))</f>
        <v>612.65671017401587</v>
      </c>
      <c r="X246">
        <f ca="1">IF($C246-X$1&lt;År1,0,W245*(1-VLOOKUP($A246,[1]Hugst!$R$5:$W$9,MATCH(ROUNDUP((X$1)/10,0)*10,[1]Hugst!$R$4:$W$4,0))))</f>
        <v>611.28543136508131</v>
      </c>
      <c r="Y246">
        <f ca="1">IF($C246-Y$1&lt;År1,0,X245*(1-VLOOKUP($A246,[1]Hugst!$R$5:$W$9,MATCH(ROUNDUP((Y$1)/10,0)*10,[1]Hugst!$R$4:$W$4,0))))</f>
        <v>611.28999404633873</v>
      </c>
      <c r="Z246">
        <f ca="1">IF($C246-Z$1&lt;År1,0,Y245*(1-VLOOKUP($A246,[1]Hugst!$R$5:$W$9,MATCH(ROUNDUP((Z$1)/10,0)*10,[1]Hugst!$R$4:$W$4,0))))</f>
        <v>611.89604285410394</v>
      </c>
      <c r="AA246">
        <f ca="1">IF($C246-AA$1&lt;År1,0,Z245*(1-VLOOKUP($A246,[1]Hugst!$R$5:$W$9,MATCH(ROUNDUP((AA$1)/10,0)*10,[1]Hugst!$R$4:$W$4,0))))</f>
        <v>612.50648767501264</v>
      </c>
      <c r="AB246">
        <f ca="1">IF($C246-AB$1&lt;År1,0,AA245*(1-VLOOKUP($A246,[1]Hugst!$R$5:$W$9,MATCH(ROUNDUP((AB$1)/10,0)*10,[1]Hugst!$R$4:$W$4,0))))</f>
        <v>613.1213426587542</v>
      </c>
      <c r="AC246">
        <f ca="1">IF($C246-AC$1&lt;År1,0,AB245*(1-VLOOKUP($A246,[1]Hugst!$R$5:$W$9,MATCH(ROUNDUP((AC$1)/10,0)*10,[1]Hugst!$R$4:$W$4,0))))</f>
        <v>613.74062201197921</v>
      </c>
      <c r="AD246">
        <f ca="1">IF($C246-AD$1&lt;År1,0,AC245*(1-VLOOKUP($A246,[1]Hugst!$R$5:$W$9,MATCH(ROUNDUP((AD$1)/10,0)*10,[1]Hugst!$R$4:$W$4,0))))</f>
        <v>614.36433999835435</v>
      </c>
      <c r="AE246">
        <f ca="1">IF($C246-AE$1&lt;År1,0,AD245*(1-VLOOKUP($A246,[1]Hugst!$R$5:$W$9,MATCH(ROUNDUP((AE$1)/10,0)*10,[1]Hugst!$R$4:$W$4,0))))</f>
        <v>614.99251093890314</v>
      </c>
      <c r="AF246">
        <f ca="1">IF($C246-AF$1&lt;År1,0,AE245*(1-VLOOKUP($A246,[1]Hugst!$R$5:$W$9,MATCH(ROUNDUP((AF$1)/10,0)*10,[1]Hugst!$R$4:$W$4,0))))</f>
        <v>615.62514921211323</v>
      </c>
      <c r="AG246">
        <f ca="1">IF($C246-AG$1&lt;År1,0,AF245*(1-VLOOKUP($A246,[1]Hugst!$R$5:$W$9,MATCH(ROUNDUP((AG$1)/10,0)*10,[1]Hugst!$R$4:$W$4,0))))</f>
        <v>616.26226925423373</v>
      </c>
      <c r="AH246">
        <f>IF($C246-AH$1&lt;År1,0,AG245*(1-VLOOKUP($A246,[1]Hugst!$R$5:$W$9,MATCH(ROUNDUP((AH$1)/10,0)*10,[1]Hugst!$R$4:$W$4,0))))</f>
        <v>0</v>
      </c>
      <c r="AI246">
        <f>IF($C246-AI$1&lt;År1,0,AH245*(1-VLOOKUP($A246,[1]Hugst!$R$5:$W$9,MATCH(ROUNDUP((AI$1)/10,0)*10,[1]Hugst!$R$4:$W$4,0))))</f>
        <v>0</v>
      </c>
      <c r="AJ246">
        <f>IF($C246-AJ$1&lt;År1,0,AI245*(1-VLOOKUP($A246,[1]Hugst!$R$5:$W$9,MATCH(ROUNDUP((AJ$1)/10,0)*10,[1]Hugst!$R$4:$W$4,0))))</f>
        <v>0</v>
      </c>
    </row>
    <row r="247" spans="1:36" x14ac:dyDescent="0.25">
      <c r="A247" t="s">
        <v>179</v>
      </c>
      <c r="B247" t="s">
        <v>24</v>
      </c>
      <c r="C247">
        <v>2048</v>
      </c>
      <c r="D247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249.00743126839006</v>
      </c>
      <c r="E247">
        <f t="shared" ca="1" si="5"/>
        <v>23.772651997402136</v>
      </c>
      <c r="F247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822.16279931517522</v>
      </c>
      <c r="G247">
        <f ca="1">IF($C247-G$1&lt;År1,0,F246*(1-VLOOKUP($A247,[1]Hugst!$R$5:$W$9,MATCH(ROUNDUP((G$1)/10,0)*10,[1]Hugst!$R$4:$W$4,0))))</f>
        <v>822.24647977804045</v>
      </c>
      <c r="H247">
        <f ca="1">IF($C247-H$1&lt;År1,0,G246*(1-VLOOKUP($A247,[1]Hugst!$R$5:$W$9,MATCH(ROUNDUP((H$1)/10,0)*10,[1]Hugst!$R$4:$W$4,0))))</f>
        <v>822.33599697519469</v>
      </c>
      <c r="I247">
        <f ca="1">IF($C247-I$1&lt;År1,0,H246*(1-VLOOKUP($A247,[1]Hugst!$R$5:$W$9,MATCH(ROUNDUP((I$1)/10,0)*10,[1]Hugst!$R$4:$W$4,0))))</f>
        <v>822.43138934022147</v>
      </c>
      <c r="J247">
        <f ca="1">IF($C247-J$1&lt;År1,0,I246*(1-VLOOKUP($A247,[1]Hugst!$R$5:$W$9,MATCH(ROUNDUP((J$1)/10,0)*10,[1]Hugst!$R$4:$W$4,0))))</f>
        <v>822.53269551489041</v>
      </c>
      <c r="K247">
        <f ca="1">IF($C247-K$1&lt;År1,0,J246*(1-VLOOKUP($A247,[1]Hugst!$R$5:$W$9,MATCH(ROUNDUP((K$1)/10,0)*10,[1]Hugst!$R$4:$W$4,0))))</f>
        <v>822.63995435006939</v>
      </c>
      <c r="L247">
        <f ca="1">IF($C247-L$1&lt;År1,0,K246*(1-VLOOKUP($A247,[1]Hugst!$R$5:$W$9,MATCH(ROUNDUP((L$1)/10,0)*10,[1]Hugst!$R$4:$W$4,0))))</f>
        <v>822.75320490685147</v>
      </c>
      <c r="M247">
        <f ca="1">IF($C247-M$1&lt;År1,0,L246*(1-VLOOKUP($A247,[1]Hugst!$R$5:$W$9,MATCH(ROUNDUP((M$1)/10,0)*10,[1]Hugst!$R$4:$W$4,0))))</f>
        <v>822.87248645764532</v>
      </c>
      <c r="N247">
        <f ca="1">IF($C247-N$1&lt;År1,0,M246*(1-VLOOKUP($A247,[1]Hugst!$R$5:$W$9,MATCH(ROUNDUP((N$1)/10,0)*10,[1]Hugst!$R$4:$W$4,0))))</f>
        <v>822.9978384872494</v>
      </c>
      <c r="O247">
        <f ca="1">IF($C247-O$1&lt;År1,0,N246*(1-VLOOKUP($A247,[1]Hugst!$R$5:$W$9,MATCH(ROUNDUP((O$1)/10,0)*10,[1]Hugst!$R$4:$W$4,0))))</f>
        <v>823.56879710017904</v>
      </c>
      <c r="P247">
        <f ca="1">IF($C247-P$1&lt;År1,0,O246*(1-VLOOKUP($A247,[1]Hugst!$R$5:$W$9,MATCH(ROUNDUP((P$1)/10,0)*10,[1]Hugst!$R$4:$W$4,0))))</f>
        <v>821.72852313714793</v>
      </c>
      <c r="Q247">
        <f ca="1">IF($C247-Q$1&lt;År1,0,P246*(1-VLOOKUP($A247,[1]Hugst!$R$5:$W$9,MATCH(ROUNDUP((Q$1)/10,0)*10,[1]Hugst!$R$4:$W$4,0))))</f>
        <v>819.89295626865476</v>
      </c>
      <c r="R247">
        <f ca="1">IF($C247-R$1&lt;År1,0,Q246*(1-VLOOKUP($A247,[1]Hugst!$R$5:$W$9,MATCH(ROUNDUP((R$1)/10,0)*10,[1]Hugst!$R$4:$W$4,0))))</f>
        <v>818.06208804363848</v>
      </c>
      <c r="S247">
        <f ca="1">IF($C247-S$1&lt;År1,0,R246*(1-VLOOKUP($A247,[1]Hugst!$R$5:$W$9,MATCH(ROUNDUP((S$1)/10,0)*10,[1]Hugst!$R$4:$W$4,0))))</f>
        <v>816.23591003490628</v>
      </c>
      <c r="T247">
        <f ca="1">IF($C247-T$1&lt;År1,0,S246*(1-VLOOKUP($A247,[1]Hugst!$R$5:$W$9,MATCH(ROUNDUP((T$1)/10,0)*10,[1]Hugst!$R$4:$W$4,0))))</f>
        <v>814.41441383902145</v>
      </c>
      <c r="U247">
        <f ca="1">IF($C247-U$1&lt;År1,0,T246*(1-VLOOKUP($A247,[1]Hugst!$R$5:$W$9,MATCH(ROUNDUP((U$1)/10,0)*10,[1]Hugst!$R$4:$W$4,0))))</f>
        <v>812.59759107639559</v>
      </c>
      <c r="V247">
        <f ca="1">IF($C247-V$1&lt;År1,0,U246*(1-VLOOKUP($A247,[1]Hugst!$R$5:$W$9,MATCH(ROUNDUP((V$1)/10,0)*10,[1]Hugst!$R$4:$W$4,0))))</f>
        <v>810.78543339115413</v>
      </c>
      <c r="W247">
        <f ca="1">IF($C247-W$1&lt;År1,0,V246*(1-VLOOKUP($A247,[1]Hugst!$R$5:$W$9,MATCH(ROUNDUP((W$1)/10,0)*10,[1]Hugst!$R$4:$W$4,0))))</f>
        <v>808.97793245110984</v>
      </c>
      <c r="X247">
        <f ca="1">IF($C247-X$1&lt;År1,0,W246*(1-VLOOKUP($A247,[1]Hugst!$R$5:$W$9,MATCH(ROUNDUP((X$1)/10,0)*10,[1]Hugst!$R$4:$W$4,0))))</f>
        <v>611.3118539809509</v>
      </c>
      <c r="Y247">
        <f ca="1">IF($C247-Y$1&lt;År1,0,X246*(1-VLOOKUP($A247,[1]Hugst!$R$5:$W$9,MATCH(ROUNDUP((Y$1)/10,0)*10,[1]Hugst!$R$4:$W$4,0))))</f>
        <v>609.94358529623116</v>
      </c>
      <c r="Z247">
        <f ca="1">IF($C247-Z$1&lt;År1,0,Y246*(1-VLOOKUP($A247,[1]Hugst!$R$5:$W$9,MATCH(ROUNDUP((Z$1)/10,0)*10,[1]Hugst!$R$4:$W$4,0))))</f>
        <v>610.54451844384323</v>
      </c>
      <c r="AA247">
        <f ca="1">IF($C247-AA$1&lt;År1,0,Z246*(1-VLOOKUP($A247,[1]Hugst!$R$5:$W$9,MATCH(ROUNDUP((AA$1)/10,0)*10,[1]Hugst!$R$4:$W$4,0))))</f>
        <v>611.14982816769646</v>
      </c>
      <c r="AB247">
        <f ca="1">IF($C247-AB$1&lt;År1,0,AA246*(1-VLOOKUP($A247,[1]Hugst!$R$5:$W$9,MATCH(ROUNDUP((AB$1)/10,0)*10,[1]Hugst!$R$4:$W$4,0))))</f>
        <v>611.75952854370166</v>
      </c>
      <c r="AC247">
        <f ca="1">IF($C247-AC$1&lt;År1,0,AB246*(1-VLOOKUP($A247,[1]Hugst!$R$5:$W$9,MATCH(ROUNDUP((AC$1)/10,0)*10,[1]Hugst!$R$4:$W$4,0))))</f>
        <v>612.37363370429227</v>
      </c>
      <c r="AD247">
        <f ca="1">IF($C247-AD$1&lt;År1,0,AC246*(1-VLOOKUP($A247,[1]Hugst!$R$5:$W$9,MATCH(ROUNDUP((AD$1)/10,0)*10,[1]Hugst!$R$4:$W$4,0))))</f>
        <v>612.9921578387939</v>
      </c>
      <c r="AE247">
        <f ca="1">IF($C247-AE$1&lt;År1,0,AD246*(1-VLOOKUP($A247,[1]Hugst!$R$5:$W$9,MATCH(ROUNDUP((AE$1)/10,0)*10,[1]Hugst!$R$4:$W$4,0))))</f>
        <v>613.61511519347835</v>
      </c>
      <c r="AF247">
        <f ca="1">IF($C247-AF$1&lt;År1,0,AE246*(1-VLOOKUP($A247,[1]Hugst!$R$5:$W$9,MATCH(ROUNDUP((AF$1)/10,0)*10,[1]Hugst!$R$4:$W$4,0))))</f>
        <v>614.24252007190444</v>
      </c>
      <c r="AG247">
        <f ca="1">IF($C247-AG$1&lt;År1,0,AF246*(1-VLOOKUP($A247,[1]Hugst!$R$5:$W$9,MATCH(ROUNDUP((AG$1)/10,0)*10,[1]Hugst!$R$4:$W$4,0))))</f>
        <v>614.87438683502523</v>
      </c>
      <c r="AH247">
        <f ca="1">IF($C247-AH$1&lt;År1,0,AG246*(1-VLOOKUP($A247,[1]Hugst!$R$5:$W$9,MATCH(ROUNDUP((AH$1)/10,0)*10,[1]Hugst!$R$4:$W$4,0))))</f>
        <v>615.51072990148464</v>
      </c>
      <c r="AI247">
        <f>IF($C247-AI$1&lt;År1,0,AH246*(1-VLOOKUP($A247,[1]Hugst!$R$5:$W$9,MATCH(ROUNDUP((AI$1)/10,0)*10,[1]Hugst!$R$4:$W$4,0))))</f>
        <v>0</v>
      </c>
      <c r="AJ247">
        <f>IF($C247-AJ$1&lt;År1,0,AI246*(1-VLOOKUP($A247,[1]Hugst!$R$5:$W$9,MATCH(ROUNDUP((AJ$1)/10,0)*10,[1]Hugst!$R$4:$W$4,0))))</f>
        <v>0</v>
      </c>
    </row>
    <row r="248" spans="1:36" x14ac:dyDescent="0.25">
      <c r="A248" t="s">
        <v>179</v>
      </c>
      <c r="B248" t="s">
        <v>24</v>
      </c>
      <c r="C248">
        <v>2049</v>
      </c>
      <c r="D24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247.76239411205734</v>
      </c>
      <c r="E248">
        <f t="shared" ca="1" si="5"/>
        <v>24.939807198512426</v>
      </c>
      <c r="F24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822.08491735995278</v>
      </c>
      <c r="G248">
        <f ca="1">IF($C248-G$1&lt;År1,0,F247*(1-VLOOKUP($A248,[1]Hugst!$R$5:$W$9,MATCH(ROUNDUP((G$1)/10,0)*10,[1]Hugst!$R$4:$W$4,0))))</f>
        <v>822.16279931517522</v>
      </c>
      <c r="H248">
        <f ca="1">IF($C248-H$1&lt;År1,0,G247*(1-VLOOKUP($A248,[1]Hugst!$R$5:$W$9,MATCH(ROUNDUP((H$1)/10,0)*10,[1]Hugst!$R$4:$W$4,0))))</f>
        <v>822.24647977804045</v>
      </c>
      <c r="I248">
        <f ca="1">IF($C248-I$1&lt;År1,0,H247*(1-VLOOKUP($A248,[1]Hugst!$R$5:$W$9,MATCH(ROUNDUP((I$1)/10,0)*10,[1]Hugst!$R$4:$W$4,0))))</f>
        <v>822.33599697519469</v>
      </c>
      <c r="J248">
        <f ca="1">IF($C248-J$1&lt;År1,0,I247*(1-VLOOKUP($A248,[1]Hugst!$R$5:$W$9,MATCH(ROUNDUP((J$1)/10,0)*10,[1]Hugst!$R$4:$W$4,0))))</f>
        <v>822.43138934022147</v>
      </c>
      <c r="K248">
        <f ca="1">IF($C248-K$1&lt;År1,0,J247*(1-VLOOKUP($A248,[1]Hugst!$R$5:$W$9,MATCH(ROUNDUP((K$1)/10,0)*10,[1]Hugst!$R$4:$W$4,0))))</f>
        <v>822.53269551489041</v>
      </c>
      <c r="L248">
        <f ca="1">IF($C248-L$1&lt;År1,0,K247*(1-VLOOKUP($A248,[1]Hugst!$R$5:$W$9,MATCH(ROUNDUP((L$1)/10,0)*10,[1]Hugst!$R$4:$W$4,0))))</f>
        <v>822.63995435006939</v>
      </c>
      <c r="M248">
        <f ca="1">IF($C248-M$1&lt;År1,0,L247*(1-VLOOKUP($A248,[1]Hugst!$R$5:$W$9,MATCH(ROUNDUP((M$1)/10,0)*10,[1]Hugst!$R$4:$W$4,0))))</f>
        <v>822.75320490685147</v>
      </c>
      <c r="N248">
        <f ca="1">IF($C248-N$1&lt;År1,0,M247*(1-VLOOKUP($A248,[1]Hugst!$R$5:$W$9,MATCH(ROUNDUP((N$1)/10,0)*10,[1]Hugst!$R$4:$W$4,0))))</f>
        <v>822.87248645764532</v>
      </c>
      <c r="O248">
        <f ca="1">IF($C248-O$1&lt;År1,0,N247*(1-VLOOKUP($A248,[1]Hugst!$R$5:$W$9,MATCH(ROUNDUP((O$1)/10,0)*10,[1]Hugst!$R$4:$W$4,0))))</f>
        <v>822.9978384872494</v>
      </c>
      <c r="P248">
        <f ca="1">IF($C248-P$1&lt;År1,0,O247*(1-VLOOKUP($A248,[1]Hugst!$R$5:$W$9,MATCH(ROUNDUP((P$1)/10,0)*10,[1]Hugst!$R$4:$W$4,0))))</f>
        <v>821.76096315532504</v>
      </c>
      <c r="Q248">
        <f ca="1">IF($C248-Q$1&lt;År1,0,P247*(1-VLOOKUP($A248,[1]Hugst!$R$5:$W$9,MATCH(ROUNDUP((Q$1)/10,0)*10,[1]Hugst!$R$4:$W$4,0))))</f>
        <v>819.92472881806634</v>
      </c>
      <c r="R248">
        <f ca="1">IF($C248-R$1&lt;År1,0,Q247*(1-VLOOKUP($A248,[1]Hugst!$R$5:$W$9,MATCH(ROUNDUP((R$1)/10,0)*10,[1]Hugst!$R$4:$W$4,0))))</f>
        <v>818.09319124269916</v>
      </c>
      <c r="S248">
        <f ca="1">IF($C248-S$1&lt;År1,0,R247*(1-VLOOKUP($A248,[1]Hugst!$R$5:$W$9,MATCH(ROUNDUP((S$1)/10,0)*10,[1]Hugst!$R$4:$W$4,0))))</f>
        <v>816.26634199671344</v>
      </c>
      <c r="T248">
        <f ca="1">IF($C248-T$1&lt;År1,0,S247*(1-VLOOKUP($A248,[1]Hugst!$R$5:$W$9,MATCH(ROUNDUP((T$1)/10,0)*10,[1]Hugst!$R$4:$W$4,0))))</f>
        <v>814.444172671415</v>
      </c>
      <c r="U248">
        <f ca="1">IF($C248-U$1&lt;År1,0,T247*(1-VLOOKUP($A248,[1]Hugst!$R$5:$W$9,MATCH(ROUNDUP((U$1)/10,0)*10,[1]Hugst!$R$4:$W$4,0))))</f>
        <v>812.62667488181387</v>
      </c>
      <c r="V248">
        <f ca="1">IF($C248-V$1&lt;År1,0,U247*(1-VLOOKUP($A248,[1]Hugst!$R$5:$W$9,MATCH(ROUNDUP((V$1)/10,0)*10,[1]Hugst!$R$4:$W$4,0))))</f>
        <v>810.81384026671572</v>
      </c>
      <c r="W248">
        <f ca="1">IF($C248-W$1&lt;År1,0,V247*(1-VLOOKUP($A248,[1]Hugst!$R$5:$W$9,MATCH(ROUNDUP((W$1)/10,0)*10,[1]Hugst!$R$4:$W$4,0))))</f>
        <v>809.00566048858821</v>
      </c>
      <c r="X248">
        <f ca="1">IF($C248-X$1&lt;År1,0,W247*(1-VLOOKUP($A248,[1]Hugst!$R$5:$W$9,MATCH(ROUNDUP((X$1)/10,0)*10,[1]Hugst!$R$4:$W$4,0))))</f>
        <v>807.20212723353427</v>
      </c>
      <c r="Y248">
        <f ca="1">IF($C248-Y$1&lt;År1,0,X247*(1-VLOOKUP($A248,[1]Hugst!$R$5:$W$9,MATCH(ROUNDUP((Y$1)/10,0)*10,[1]Hugst!$R$4:$W$4,0))))</f>
        <v>609.96994991123665</v>
      </c>
      <c r="Z248">
        <f ca="1">IF($C248-Z$1&lt;År1,0,Y247*(1-VLOOKUP($A248,[1]Hugst!$R$5:$W$9,MATCH(ROUNDUP((Z$1)/10,0)*10,[1]Hugst!$R$4:$W$4,0))))</f>
        <v>609.19975165562596</v>
      </c>
      <c r="AA248">
        <f ca="1">IF($C248-AA$1&lt;År1,0,Z247*(1-VLOOKUP($A248,[1]Hugst!$R$5:$W$9,MATCH(ROUNDUP((AA$1)/10,0)*10,[1]Hugst!$R$4:$W$4,0))))</f>
        <v>609.79995195793606</v>
      </c>
      <c r="AB248">
        <f ca="1">IF($C248-AB$1&lt;År1,0,AA247*(1-VLOOKUP($A248,[1]Hugst!$R$5:$W$9,MATCH(ROUNDUP((AB$1)/10,0)*10,[1]Hugst!$R$4:$W$4,0))))</f>
        <v>610.40452349919929</v>
      </c>
      <c r="AC248">
        <f ca="1">IF($C248-AC$1&lt;År1,0,AB247*(1-VLOOKUP($A248,[1]Hugst!$R$5:$W$9,MATCH(ROUNDUP((AC$1)/10,0)*10,[1]Hugst!$R$4:$W$4,0))))</f>
        <v>611.01348033816055</v>
      </c>
      <c r="AD248">
        <f ca="1">IF($C248-AD$1&lt;År1,0,AC247*(1-VLOOKUP($A248,[1]Hugst!$R$5:$W$9,MATCH(ROUNDUP((AD$1)/10,0)*10,[1]Hugst!$R$4:$W$4,0))))</f>
        <v>611.6268365900188</v>
      </c>
      <c r="AE248">
        <f ca="1">IF($C248-AE$1&lt;År1,0,AD247*(1-VLOOKUP($A248,[1]Hugst!$R$5:$W$9,MATCH(ROUNDUP((AE$1)/10,0)*10,[1]Hugst!$R$4:$W$4,0))))</f>
        <v>612.24460642679537</v>
      </c>
      <c r="AF248">
        <f ca="1">IF($C248-AF$1&lt;År1,0,AE247*(1-VLOOKUP($A248,[1]Hugst!$R$5:$W$9,MATCH(ROUNDUP((AF$1)/10,0)*10,[1]Hugst!$R$4:$W$4,0))))</f>
        <v>612.86680407738879</v>
      </c>
      <c r="AG248">
        <f ca="1">IF($C248-AG$1&lt;År1,0,AF247*(1-VLOOKUP($A248,[1]Hugst!$R$5:$W$9,MATCH(ROUNDUP((AG$1)/10,0)*10,[1]Hugst!$R$4:$W$4,0))))</f>
        <v>613.49344382791435</v>
      </c>
      <c r="AH248">
        <f ca="1">IF($C248-AH$1&lt;År1,0,AG247*(1-VLOOKUP($A248,[1]Hugst!$R$5:$W$9,MATCH(ROUNDUP((AH$1)/10,0)*10,[1]Hugst!$R$4:$W$4,0))))</f>
        <v>614.12454002181175</v>
      </c>
      <c r="AI248">
        <f ca="1">IF($C248-AI$1&lt;År1,0,AH247*(1-VLOOKUP($A248,[1]Hugst!$R$5:$W$9,MATCH(ROUNDUP((AI$1)/10,0)*10,[1]Hugst!$R$4:$W$4,0))))</f>
        <v>614.76010706014131</v>
      </c>
      <c r="AJ248">
        <f>IF($C248-AJ$1&lt;År1,0,AI247*(1-VLOOKUP($A248,[1]Hugst!$R$5:$W$9,MATCH(ROUNDUP((AJ$1)/10,0)*10,[1]Hugst!$R$4:$W$4,0))))</f>
        <v>0</v>
      </c>
    </row>
    <row r="249" spans="1:36" x14ac:dyDescent="0.25">
      <c r="A249" t="s">
        <v>179</v>
      </c>
      <c r="B249" t="s">
        <v>24</v>
      </c>
      <c r="C249">
        <v>2050</v>
      </c>
      <c r="D249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246.52358214149262</v>
      </c>
      <c r="E249">
        <f ca="1">IF(C249=2020,SUM(G249:AJ249),SUM(F248:AJ248)-SUM(G249:AJ249))</f>
        <v>25.766470631497214</v>
      </c>
      <c r="F24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821.67276882237286</v>
      </c>
      <c r="G249">
        <f ca="1">IF($C249-G$1&lt;År1,0,F248*(1-VLOOKUP($A249,[1]Hugst!$R$5:$W$9,MATCH(ROUNDUP((G$1)/10,0)*10,[1]Hugst!$R$4:$W$4,0))))</f>
        <v>822.08491735995278</v>
      </c>
      <c r="H249">
        <f ca="1">IF($C249-H$1&lt;År1,0,G248*(1-VLOOKUP($A249,[1]Hugst!$R$5:$W$9,MATCH(ROUNDUP((H$1)/10,0)*10,[1]Hugst!$R$4:$W$4,0))))</f>
        <v>822.16279931517522</v>
      </c>
      <c r="I249">
        <f ca="1">IF($C249-I$1&lt;År1,0,H248*(1-VLOOKUP($A249,[1]Hugst!$R$5:$W$9,MATCH(ROUNDUP((I$1)/10,0)*10,[1]Hugst!$R$4:$W$4,0))))</f>
        <v>822.24647977804045</v>
      </c>
      <c r="J249">
        <f ca="1">IF($C249-J$1&lt;År1,0,I248*(1-VLOOKUP($A249,[1]Hugst!$R$5:$W$9,MATCH(ROUNDUP((J$1)/10,0)*10,[1]Hugst!$R$4:$W$4,0))))</f>
        <v>822.33599697519469</v>
      </c>
      <c r="K249">
        <f ca="1">IF($C249-K$1&lt;År1,0,J248*(1-VLOOKUP($A249,[1]Hugst!$R$5:$W$9,MATCH(ROUNDUP((K$1)/10,0)*10,[1]Hugst!$R$4:$W$4,0))))</f>
        <v>822.43138934022147</v>
      </c>
      <c r="L249">
        <f ca="1">IF($C249-L$1&lt;År1,0,K248*(1-VLOOKUP($A249,[1]Hugst!$R$5:$W$9,MATCH(ROUNDUP((L$1)/10,0)*10,[1]Hugst!$R$4:$W$4,0))))</f>
        <v>822.53269551489041</v>
      </c>
      <c r="M249">
        <f ca="1">IF($C249-M$1&lt;År1,0,L248*(1-VLOOKUP($A249,[1]Hugst!$R$5:$W$9,MATCH(ROUNDUP((M$1)/10,0)*10,[1]Hugst!$R$4:$W$4,0))))</f>
        <v>822.63995435006939</v>
      </c>
      <c r="N249">
        <f ca="1">IF($C249-N$1&lt;År1,0,M248*(1-VLOOKUP($A249,[1]Hugst!$R$5:$W$9,MATCH(ROUNDUP((N$1)/10,0)*10,[1]Hugst!$R$4:$W$4,0))))</f>
        <v>822.75320490685147</v>
      </c>
      <c r="O249">
        <f ca="1">IF($C249-O$1&lt;År1,0,N248*(1-VLOOKUP($A249,[1]Hugst!$R$5:$W$9,MATCH(ROUNDUP((O$1)/10,0)*10,[1]Hugst!$R$4:$W$4,0))))</f>
        <v>822.87248645764532</v>
      </c>
      <c r="P249">
        <f ca="1">IF($C249-P$1&lt;År1,0,O248*(1-VLOOKUP($A249,[1]Hugst!$R$5:$W$9,MATCH(ROUNDUP((P$1)/10,0)*10,[1]Hugst!$R$4:$W$4,0))))</f>
        <v>821.19125786617985</v>
      </c>
      <c r="Q249">
        <f ca="1">IF($C249-Q$1&lt;År1,0,P248*(1-VLOOKUP($A249,[1]Hugst!$R$5:$W$9,MATCH(ROUNDUP((Q$1)/10,0)*10,[1]Hugst!$R$4:$W$4,0))))</f>
        <v>819.95709762644753</v>
      </c>
      <c r="R249">
        <f ca="1">IF($C249-R$1&lt;År1,0,Q248*(1-VLOOKUP($A249,[1]Hugst!$R$5:$W$9,MATCH(ROUNDUP((R$1)/10,0)*10,[1]Hugst!$R$4:$W$4,0))))</f>
        <v>818.1248940474901</v>
      </c>
      <c r="S249">
        <f ca="1">IF($C249-S$1&lt;År1,0,R248*(1-VLOOKUP($A249,[1]Hugst!$R$5:$W$9,MATCH(ROUNDUP((S$1)/10,0)*10,[1]Hugst!$R$4:$W$4,0))))</f>
        <v>816.2973769204591</v>
      </c>
      <c r="T249">
        <f ca="1">IF($C249-T$1&lt;År1,0,S248*(1-VLOOKUP($A249,[1]Hugst!$R$5:$W$9,MATCH(ROUNDUP((T$1)/10,0)*10,[1]Hugst!$R$4:$W$4,0))))</f>
        <v>814.47453783135484</v>
      </c>
      <c r="U249">
        <f ca="1">IF($C249-U$1&lt;År1,0,T248*(1-VLOOKUP($A249,[1]Hugst!$R$5:$W$9,MATCH(ROUNDUP((U$1)/10,0)*10,[1]Hugst!$R$4:$W$4,0))))</f>
        <v>812.65636838994112</v>
      </c>
      <c r="V249">
        <f ca="1">IF($C249-V$1&lt;År1,0,U248*(1-VLOOKUP($A249,[1]Hugst!$R$5:$W$9,MATCH(ROUNDUP((V$1)/10,0)*10,[1]Hugst!$R$4:$W$4,0))))</f>
        <v>810.84286022963431</v>
      </c>
      <c r="W249">
        <f ca="1">IF($C249-W$1&lt;År1,0,V248*(1-VLOOKUP($A249,[1]Hugst!$R$5:$W$9,MATCH(ROUNDUP((W$1)/10,0)*10,[1]Hugst!$R$4:$W$4,0))))</f>
        <v>809.03400500759369</v>
      </c>
      <c r="X249">
        <f ca="1">IF($C249-X$1&lt;År1,0,W248*(1-VLOOKUP($A249,[1]Hugst!$R$5:$W$9,MATCH(ROUNDUP((X$1)/10,0)*10,[1]Hugst!$R$4:$W$4,0))))</f>
        <v>807.22979440458892</v>
      </c>
      <c r="Y249">
        <f ca="1">IF($C249-Y$1&lt;År1,0,X248*(1-VLOOKUP($A249,[1]Hugst!$R$5:$W$9,MATCH(ROUNDUP((Y$1)/10,0)*10,[1]Hugst!$R$4:$W$4,0))))</f>
        <v>805.43022012497283</v>
      </c>
      <c r="Z249">
        <f ca="1">IF($C249-Z$1&lt;År1,0,Y248*(1-VLOOKUP($A249,[1]Hugst!$R$5:$W$9,MATCH(ROUNDUP((Z$1)/10,0)*10,[1]Hugst!$R$4:$W$4,0))))</f>
        <v>609.22608411866202</v>
      </c>
      <c r="AA249">
        <f ca="1">IF($C249-AA$1&lt;År1,0,Z248*(1-VLOOKUP($A249,[1]Hugst!$R$5:$W$9,MATCH(ROUNDUP((AA$1)/10,0)*10,[1]Hugst!$R$4:$W$4,0))))</f>
        <v>608.45682512921667</v>
      </c>
      <c r="AB249">
        <f ca="1">IF($C249-AB$1&lt;År1,0,AA248*(1-VLOOKUP($A249,[1]Hugst!$R$5:$W$9,MATCH(ROUNDUP((AB$1)/10,0)*10,[1]Hugst!$R$4:$W$4,0))))</f>
        <v>609.05629347993863</v>
      </c>
      <c r="AC249">
        <f ca="1">IF($C249-AC$1&lt;År1,0,AB248*(1-VLOOKUP($A249,[1]Hugst!$R$5:$W$9,MATCH(ROUNDUP((AC$1)/10,0)*10,[1]Hugst!$R$4:$W$4,0))))</f>
        <v>609.66012773883438</v>
      </c>
      <c r="AD249">
        <f ca="1">IF($C249-AD$1&lt;År1,0,AC248*(1-VLOOKUP($A249,[1]Hugst!$R$5:$W$9,MATCH(ROUNDUP((AD$1)/10,0)*10,[1]Hugst!$R$4:$W$4,0))))</f>
        <v>610.26834194750427</v>
      </c>
      <c r="AE249">
        <f ca="1">IF($C249-AE$1&lt;År1,0,AD248*(1-VLOOKUP($A249,[1]Hugst!$R$5:$W$9,MATCH(ROUNDUP((AE$1)/10,0)*10,[1]Hugst!$R$4:$W$4,0))))</f>
        <v>610.88095020393337</v>
      </c>
      <c r="AF249">
        <f ca="1">IF($C249-AF$1&lt;År1,0,AE248*(1-VLOOKUP($A249,[1]Hugst!$R$5:$W$9,MATCH(ROUNDUP((AF$1)/10,0)*10,[1]Hugst!$R$4:$W$4,0))))</f>
        <v>611.49796666286022</v>
      </c>
      <c r="AG249">
        <f ca="1">IF($C249-AG$1&lt;År1,0,AF248*(1-VLOOKUP($A249,[1]Hugst!$R$5:$W$9,MATCH(ROUNDUP((AG$1)/10,0)*10,[1]Hugst!$R$4:$W$4,0))))</f>
        <v>612.11940553583099</v>
      </c>
      <c r="AH249">
        <f ca="1">IF($C249-AH$1&lt;År1,0,AG248*(1-VLOOKUP($A249,[1]Hugst!$R$5:$W$9,MATCH(ROUNDUP((AH$1)/10,0)*10,[1]Hugst!$R$4:$W$4,0))))</f>
        <v>612.7452810915388</v>
      </c>
      <c r="AI249">
        <f ca="1">IF($C249-AI$1&lt;År1,0,AH248*(1-VLOOKUP($A249,[1]Hugst!$R$5:$W$9,MATCH(ROUNDUP((AI$1)/10,0)*10,[1]Hugst!$R$4:$W$4,0))))</f>
        <v>613.3756076559315</v>
      </c>
      <c r="AJ249">
        <f ca="1">IF($C249-AJ$1&lt;År1,0,AI248*(1-VLOOKUP($A249,[1]Hugst!$R$5:$W$9,MATCH(ROUNDUP((AJ$1)/10,0)*10,[1]Hugst!$R$4:$W$4,0))))</f>
        <v>614.34776796394249</v>
      </c>
    </row>
    <row r="250" spans="1:36" x14ac:dyDescent="0.25">
      <c r="A250" t="s">
        <v>180</v>
      </c>
      <c r="B250" t="s">
        <v>23</v>
      </c>
      <c r="C250">
        <v>2020</v>
      </c>
      <c r="D250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0</v>
      </c>
      <c r="E250">
        <f>IF(C250=2020,SUM(G250:AJ250),SUM(F249:AJ249)-SUM(G250:AJ250))</f>
        <v>0</v>
      </c>
      <c r="F250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>
        <f>IF($C250-G$1&lt;År1,0,F249*(1-VLOOKUP($A250,[1]Hugst!$R$5:$W$9,MATCH(ROUNDUP((G$1)/10,0)*10,[1]Hugst!$R$4:$W$4,0))))</f>
        <v>0</v>
      </c>
      <c r="H250">
        <f>IF($C250-H$1&lt;År1,0,G249*(1-VLOOKUP($A250,[1]Hugst!$R$5:$W$9,MATCH(ROUNDUP((H$1)/10,0)*10,[1]Hugst!$R$4:$W$4,0))))</f>
        <v>0</v>
      </c>
      <c r="I250">
        <f>IF($C250-I$1&lt;År1,0,H249*(1-VLOOKUP($A250,[1]Hugst!$R$5:$W$9,MATCH(ROUNDUP((I$1)/10,0)*10,[1]Hugst!$R$4:$W$4,0))))</f>
        <v>0</v>
      </c>
      <c r="J250">
        <f>IF($C250-J$1&lt;År1,0,I249*(1-VLOOKUP($A250,[1]Hugst!$R$5:$W$9,MATCH(ROUNDUP((J$1)/10,0)*10,[1]Hugst!$R$4:$W$4,0))))</f>
        <v>0</v>
      </c>
      <c r="K250">
        <f>IF($C250-K$1&lt;År1,0,J249*(1-VLOOKUP($A250,[1]Hugst!$R$5:$W$9,MATCH(ROUNDUP((K$1)/10,0)*10,[1]Hugst!$R$4:$W$4,0))))</f>
        <v>0</v>
      </c>
      <c r="L250">
        <f>IF($C250-L$1&lt;År1,0,K249*(1-VLOOKUP($A250,[1]Hugst!$R$5:$W$9,MATCH(ROUNDUP((L$1)/10,0)*10,[1]Hugst!$R$4:$W$4,0))))</f>
        <v>0</v>
      </c>
      <c r="M250">
        <f>IF($C250-M$1&lt;År1,0,L249*(1-VLOOKUP($A250,[1]Hugst!$R$5:$W$9,MATCH(ROUNDUP((M$1)/10,0)*10,[1]Hugst!$R$4:$W$4,0))))</f>
        <v>0</v>
      </c>
      <c r="N250">
        <f>IF($C250-N$1&lt;År1,0,M249*(1-VLOOKUP($A250,[1]Hugst!$R$5:$W$9,MATCH(ROUNDUP((N$1)/10,0)*10,[1]Hugst!$R$4:$W$4,0))))</f>
        <v>0</v>
      </c>
      <c r="O250">
        <f>IF($C250-O$1&lt;År1,0,N249*(1-VLOOKUP($A250,[1]Hugst!$R$5:$W$9,MATCH(ROUNDUP((O$1)/10,0)*10,[1]Hugst!$R$4:$W$4,0))))</f>
        <v>0</v>
      </c>
      <c r="P250">
        <f>IF($C250-P$1&lt;År1,0,O249*(1-VLOOKUP($A250,[1]Hugst!$R$5:$W$9,MATCH(ROUNDUP((P$1)/10,0)*10,[1]Hugst!$R$4:$W$4,0))))</f>
        <v>0</v>
      </c>
      <c r="Q250">
        <f>IF($C250-Q$1&lt;År1,0,P249*(1-VLOOKUP($A250,[1]Hugst!$R$5:$W$9,MATCH(ROUNDUP((Q$1)/10,0)*10,[1]Hugst!$R$4:$W$4,0))))</f>
        <v>0</v>
      </c>
      <c r="R250">
        <f>IF($C250-R$1&lt;År1,0,Q249*(1-VLOOKUP($A250,[1]Hugst!$R$5:$W$9,MATCH(ROUNDUP((R$1)/10,0)*10,[1]Hugst!$R$4:$W$4,0))))</f>
        <v>0</v>
      </c>
      <c r="S250">
        <f>IF($C250-S$1&lt;År1,0,R249*(1-VLOOKUP($A250,[1]Hugst!$R$5:$W$9,MATCH(ROUNDUP((S$1)/10,0)*10,[1]Hugst!$R$4:$W$4,0))))</f>
        <v>0</v>
      </c>
      <c r="T250">
        <f>IF($C250-T$1&lt;År1,0,S249*(1-VLOOKUP($A250,[1]Hugst!$R$5:$W$9,MATCH(ROUNDUP((T$1)/10,0)*10,[1]Hugst!$R$4:$W$4,0))))</f>
        <v>0</v>
      </c>
      <c r="U250">
        <f>IF($C250-U$1&lt;År1,0,T249*(1-VLOOKUP($A250,[1]Hugst!$R$5:$W$9,MATCH(ROUNDUP((U$1)/10,0)*10,[1]Hugst!$R$4:$W$4,0))))</f>
        <v>0</v>
      </c>
      <c r="V250">
        <f>IF($C250-V$1&lt;År1,0,U249*(1-VLOOKUP($A250,[1]Hugst!$R$5:$W$9,MATCH(ROUNDUP((V$1)/10,0)*10,[1]Hugst!$R$4:$W$4,0))))</f>
        <v>0</v>
      </c>
      <c r="W250">
        <f>IF($C250-W$1&lt;År1,0,V249*(1-VLOOKUP($A250,[1]Hugst!$R$5:$W$9,MATCH(ROUNDUP((W$1)/10,0)*10,[1]Hugst!$R$4:$W$4,0))))</f>
        <v>0</v>
      </c>
      <c r="X250">
        <f>IF($C250-X$1&lt;År1,0,W249*(1-VLOOKUP($A250,[1]Hugst!$R$5:$W$9,MATCH(ROUNDUP((X$1)/10,0)*10,[1]Hugst!$R$4:$W$4,0))))</f>
        <v>0</v>
      </c>
      <c r="Y250">
        <f>IF($C250-Y$1&lt;År1,0,X249*(1-VLOOKUP($A250,[1]Hugst!$R$5:$W$9,MATCH(ROUNDUP((Y$1)/10,0)*10,[1]Hugst!$R$4:$W$4,0))))</f>
        <v>0</v>
      </c>
      <c r="Z250">
        <f>IF($C250-Z$1&lt;År1,0,Y249*(1-VLOOKUP($A250,[1]Hugst!$R$5:$W$9,MATCH(ROUNDUP((Z$1)/10,0)*10,[1]Hugst!$R$4:$W$4,0))))</f>
        <v>0</v>
      </c>
      <c r="AA250">
        <f>IF($C250-AA$1&lt;År1,0,Z249*(1-VLOOKUP($A250,[1]Hugst!$R$5:$W$9,MATCH(ROUNDUP((AA$1)/10,0)*10,[1]Hugst!$R$4:$W$4,0))))</f>
        <v>0</v>
      </c>
      <c r="AB250">
        <f>IF($C250-AB$1&lt;År1,0,AA249*(1-VLOOKUP($A250,[1]Hugst!$R$5:$W$9,MATCH(ROUNDUP((AB$1)/10,0)*10,[1]Hugst!$R$4:$W$4,0))))</f>
        <v>0</v>
      </c>
      <c r="AC250">
        <f>IF($C250-AC$1&lt;År1,0,AB249*(1-VLOOKUP($A250,[1]Hugst!$R$5:$W$9,MATCH(ROUNDUP((AC$1)/10,0)*10,[1]Hugst!$R$4:$W$4,0))))</f>
        <v>0</v>
      </c>
      <c r="AD250">
        <f>IF($C250-AD$1&lt;År1,0,AC249*(1-VLOOKUP($A250,[1]Hugst!$R$5:$W$9,MATCH(ROUNDUP((AD$1)/10,0)*10,[1]Hugst!$R$4:$W$4,0))))</f>
        <v>0</v>
      </c>
      <c r="AE250">
        <f>IF($C250-AE$1&lt;År1,0,AD249*(1-VLOOKUP($A250,[1]Hugst!$R$5:$W$9,MATCH(ROUNDUP((AE$1)/10,0)*10,[1]Hugst!$R$4:$W$4,0))))</f>
        <v>0</v>
      </c>
      <c r="AF250">
        <f>IF($C250-AF$1&lt;År1,0,AE249*(1-VLOOKUP($A250,[1]Hugst!$R$5:$W$9,MATCH(ROUNDUP((AF$1)/10,0)*10,[1]Hugst!$R$4:$W$4,0))))</f>
        <v>0</v>
      </c>
      <c r="AG250">
        <f>IF($C250-AG$1&lt;År1,0,AF249*(1-VLOOKUP($A250,[1]Hugst!$R$5:$W$9,MATCH(ROUNDUP((AG$1)/10,0)*10,[1]Hugst!$R$4:$W$4,0))))</f>
        <v>0</v>
      </c>
      <c r="AH250">
        <f>IF($C250-AH$1&lt;År1,0,AG249*(1-VLOOKUP($A250,[1]Hugst!$R$5:$W$9,MATCH(ROUNDUP((AH$1)/10,0)*10,[1]Hugst!$R$4:$W$4,0))))</f>
        <v>0</v>
      </c>
      <c r="AI250">
        <f>IF($C250-AI$1&lt;År1,0,AH249*(1-VLOOKUP($A250,[1]Hugst!$R$5:$W$9,MATCH(ROUNDUP((AI$1)/10,0)*10,[1]Hugst!$R$4:$W$4,0))))</f>
        <v>0</v>
      </c>
      <c r="AJ250">
        <f>IF($C250-AJ$1&lt;År1,0,AI249*(1-VLOOKUP($A250,[1]Hugst!$R$5:$W$9,MATCH(ROUNDUP((AJ$1)/10,0)*10,[1]Hugst!$R$4:$W$4,0))))</f>
        <v>0</v>
      </c>
    </row>
    <row r="251" spans="1:36" x14ac:dyDescent="0.25">
      <c r="A251" t="s">
        <v>180</v>
      </c>
      <c r="B251" t="s">
        <v>23</v>
      </c>
      <c r="C251">
        <v>2021</v>
      </c>
      <c r="D251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0</v>
      </c>
      <c r="E251">
        <f t="shared" ref="E251:E280" ca="1" si="6">IF(C251=2020,SUM(G251:AJ251),SUM(F250:AJ250)-SUM(G251:AJ251))</f>
        <v>0</v>
      </c>
      <c r="F251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>
        <f ca="1">IF($C251-G$1&lt;År1,0,F250*(1-VLOOKUP($A251,[1]Hugst!$R$5:$W$9,MATCH(ROUNDUP((G$1)/10,0)*10,[1]Hugst!$R$4:$W$4,0))))</f>
        <v>0</v>
      </c>
      <c r="H251">
        <f>IF($C251-H$1&lt;År1,0,G250*(1-VLOOKUP($A251,[1]Hugst!$R$5:$W$9,MATCH(ROUNDUP((H$1)/10,0)*10,[1]Hugst!$R$4:$W$4,0))))</f>
        <v>0</v>
      </c>
      <c r="I251">
        <f>IF($C251-I$1&lt;År1,0,H250*(1-VLOOKUP($A251,[1]Hugst!$R$5:$W$9,MATCH(ROUNDUP((I$1)/10,0)*10,[1]Hugst!$R$4:$W$4,0))))</f>
        <v>0</v>
      </c>
      <c r="J251">
        <f>IF($C251-J$1&lt;År1,0,I250*(1-VLOOKUP($A251,[1]Hugst!$R$5:$W$9,MATCH(ROUNDUP((J$1)/10,0)*10,[1]Hugst!$R$4:$W$4,0))))</f>
        <v>0</v>
      </c>
      <c r="K251">
        <f>IF($C251-K$1&lt;År1,0,J250*(1-VLOOKUP($A251,[1]Hugst!$R$5:$W$9,MATCH(ROUNDUP((K$1)/10,0)*10,[1]Hugst!$R$4:$W$4,0))))</f>
        <v>0</v>
      </c>
      <c r="L251">
        <f>IF($C251-L$1&lt;År1,0,K250*(1-VLOOKUP($A251,[1]Hugst!$R$5:$W$9,MATCH(ROUNDUP((L$1)/10,0)*10,[1]Hugst!$R$4:$W$4,0))))</f>
        <v>0</v>
      </c>
      <c r="M251">
        <f>IF($C251-M$1&lt;År1,0,L250*(1-VLOOKUP($A251,[1]Hugst!$R$5:$W$9,MATCH(ROUNDUP((M$1)/10,0)*10,[1]Hugst!$R$4:$W$4,0))))</f>
        <v>0</v>
      </c>
      <c r="N251">
        <f>IF($C251-N$1&lt;År1,0,M250*(1-VLOOKUP($A251,[1]Hugst!$R$5:$W$9,MATCH(ROUNDUP((N$1)/10,0)*10,[1]Hugst!$R$4:$W$4,0))))</f>
        <v>0</v>
      </c>
      <c r="O251">
        <f>IF($C251-O$1&lt;År1,0,N250*(1-VLOOKUP($A251,[1]Hugst!$R$5:$W$9,MATCH(ROUNDUP((O$1)/10,0)*10,[1]Hugst!$R$4:$W$4,0))))</f>
        <v>0</v>
      </c>
      <c r="P251">
        <f>IF($C251-P$1&lt;År1,0,O250*(1-VLOOKUP($A251,[1]Hugst!$R$5:$W$9,MATCH(ROUNDUP((P$1)/10,0)*10,[1]Hugst!$R$4:$W$4,0))))</f>
        <v>0</v>
      </c>
      <c r="Q251">
        <f>IF($C251-Q$1&lt;År1,0,P250*(1-VLOOKUP($A251,[1]Hugst!$R$5:$W$9,MATCH(ROUNDUP((Q$1)/10,0)*10,[1]Hugst!$R$4:$W$4,0))))</f>
        <v>0</v>
      </c>
      <c r="R251">
        <f>IF($C251-R$1&lt;År1,0,Q250*(1-VLOOKUP($A251,[1]Hugst!$R$5:$W$9,MATCH(ROUNDUP((R$1)/10,0)*10,[1]Hugst!$R$4:$W$4,0))))</f>
        <v>0</v>
      </c>
      <c r="S251">
        <f>IF($C251-S$1&lt;År1,0,R250*(1-VLOOKUP($A251,[1]Hugst!$R$5:$W$9,MATCH(ROUNDUP((S$1)/10,0)*10,[1]Hugst!$R$4:$W$4,0))))</f>
        <v>0</v>
      </c>
      <c r="T251">
        <f>IF($C251-T$1&lt;År1,0,S250*(1-VLOOKUP($A251,[1]Hugst!$R$5:$W$9,MATCH(ROUNDUP((T$1)/10,0)*10,[1]Hugst!$R$4:$W$4,0))))</f>
        <v>0</v>
      </c>
      <c r="U251">
        <f>IF($C251-U$1&lt;År1,0,T250*(1-VLOOKUP($A251,[1]Hugst!$R$5:$W$9,MATCH(ROUNDUP((U$1)/10,0)*10,[1]Hugst!$R$4:$W$4,0))))</f>
        <v>0</v>
      </c>
      <c r="V251">
        <f>IF($C251-V$1&lt;År1,0,U250*(1-VLOOKUP($A251,[1]Hugst!$R$5:$W$9,MATCH(ROUNDUP((V$1)/10,0)*10,[1]Hugst!$R$4:$W$4,0))))</f>
        <v>0</v>
      </c>
      <c r="W251">
        <f>IF($C251-W$1&lt;År1,0,V250*(1-VLOOKUP($A251,[1]Hugst!$R$5:$W$9,MATCH(ROUNDUP((W$1)/10,0)*10,[1]Hugst!$R$4:$W$4,0))))</f>
        <v>0</v>
      </c>
      <c r="X251">
        <f>IF($C251-X$1&lt;År1,0,W250*(1-VLOOKUP($A251,[1]Hugst!$R$5:$W$9,MATCH(ROUNDUP((X$1)/10,0)*10,[1]Hugst!$R$4:$W$4,0))))</f>
        <v>0</v>
      </c>
      <c r="Y251">
        <f>IF($C251-Y$1&lt;År1,0,X250*(1-VLOOKUP($A251,[1]Hugst!$R$5:$W$9,MATCH(ROUNDUP((Y$1)/10,0)*10,[1]Hugst!$R$4:$W$4,0))))</f>
        <v>0</v>
      </c>
      <c r="Z251">
        <f>IF($C251-Z$1&lt;År1,0,Y250*(1-VLOOKUP($A251,[1]Hugst!$R$5:$W$9,MATCH(ROUNDUP((Z$1)/10,0)*10,[1]Hugst!$R$4:$W$4,0))))</f>
        <v>0</v>
      </c>
      <c r="AA251">
        <f>IF($C251-AA$1&lt;År1,0,Z250*(1-VLOOKUP($A251,[1]Hugst!$R$5:$W$9,MATCH(ROUNDUP((AA$1)/10,0)*10,[1]Hugst!$R$4:$W$4,0))))</f>
        <v>0</v>
      </c>
      <c r="AB251">
        <f>IF($C251-AB$1&lt;År1,0,AA250*(1-VLOOKUP($A251,[1]Hugst!$R$5:$W$9,MATCH(ROUNDUP((AB$1)/10,0)*10,[1]Hugst!$R$4:$W$4,0))))</f>
        <v>0</v>
      </c>
      <c r="AC251">
        <f>IF($C251-AC$1&lt;År1,0,AB250*(1-VLOOKUP($A251,[1]Hugst!$R$5:$W$9,MATCH(ROUNDUP((AC$1)/10,0)*10,[1]Hugst!$R$4:$W$4,0))))</f>
        <v>0</v>
      </c>
      <c r="AD251">
        <f>IF($C251-AD$1&lt;År1,0,AC250*(1-VLOOKUP($A251,[1]Hugst!$R$5:$W$9,MATCH(ROUNDUP((AD$1)/10,0)*10,[1]Hugst!$R$4:$W$4,0))))</f>
        <v>0</v>
      </c>
      <c r="AE251">
        <f>IF($C251-AE$1&lt;År1,0,AD250*(1-VLOOKUP($A251,[1]Hugst!$R$5:$W$9,MATCH(ROUNDUP((AE$1)/10,0)*10,[1]Hugst!$R$4:$W$4,0))))</f>
        <v>0</v>
      </c>
      <c r="AF251">
        <f>IF($C251-AF$1&lt;År1,0,AE250*(1-VLOOKUP($A251,[1]Hugst!$R$5:$W$9,MATCH(ROUNDUP((AF$1)/10,0)*10,[1]Hugst!$R$4:$W$4,0))))</f>
        <v>0</v>
      </c>
      <c r="AG251">
        <f>IF($C251-AG$1&lt;År1,0,AF250*(1-VLOOKUP($A251,[1]Hugst!$R$5:$W$9,MATCH(ROUNDUP((AG$1)/10,0)*10,[1]Hugst!$R$4:$W$4,0))))</f>
        <v>0</v>
      </c>
      <c r="AH251">
        <f>IF($C251-AH$1&lt;År1,0,AG250*(1-VLOOKUP($A251,[1]Hugst!$R$5:$W$9,MATCH(ROUNDUP((AH$1)/10,0)*10,[1]Hugst!$R$4:$W$4,0))))</f>
        <v>0</v>
      </c>
      <c r="AI251">
        <f>IF($C251-AI$1&lt;År1,0,AH250*(1-VLOOKUP($A251,[1]Hugst!$R$5:$W$9,MATCH(ROUNDUP((AI$1)/10,0)*10,[1]Hugst!$R$4:$W$4,0))))</f>
        <v>0</v>
      </c>
      <c r="AJ251">
        <f>IF($C251-AJ$1&lt;År1,0,AI250*(1-VLOOKUP($A251,[1]Hugst!$R$5:$W$9,MATCH(ROUNDUP((AJ$1)/10,0)*10,[1]Hugst!$R$4:$W$4,0))))</f>
        <v>0</v>
      </c>
    </row>
    <row r="252" spans="1:36" x14ac:dyDescent="0.25">
      <c r="A252" t="s">
        <v>180</v>
      </c>
      <c r="B252" t="s">
        <v>23</v>
      </c>
      <c r="C252">
        <v>2022</v>
      </c>
      <c r="D252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0</v>
      </c>
      <c r="E252">
        <f t="shared" ca="1" si="6"/>
        <v>0</v>
      </c>
      <c r="F252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>
        <f ca="1">IF($C252-G$1&lt;År1,0,F251*(1-VLOOKUP($A252,[1]Hugst!$R$5:$W$9,MATCH(ROUNDUP((G$1)/10,0)*10,[1]Hugst!$R$4:$W$4,0))))</f>
        <v>0</v>
      </c>
      <c r="H252">
        <f ca="1">IF($C252-H$1&lt;År1,0,G251*(1-VLOOKUP($A252,[1]Hugst!$R$5:$W$9,MATCH(ROUNDUP((H$1)/10,0)*10,[1]Hugst!$R$4:$W$4,0))))</f>
        <v>0</v>
      </c>
      <c r="I252">
        <f>IF($C252-I$1&lt;År1,0,H251*(1-VLOOKUP($A252,[1]Hugst!$R$5:$W$9,MATCH(ROUNDUP((I$1)/10,0)*10,[1]Hugst!$R$4:$W$4,0))))</f>
        <v>0</v>
      </c>
      <c r="J252">
        <f>IF($C252-J$1&lt;År1,0,I251*(1-VLOOKUP($A252,[1]Hugst!$R$5:$W$9,MATCH(ROUNDUP((J$1)/10,0)*10,[1]Hugst!$R$4:$W$4,0))))</f>
        <v>0</v>
      </c>
      <c r="K252">
        <f>IF($C252-K$1&lt;År1,0,J251*(1-VLOOKUP($A252,[1]Hugst!$R$5:$W$9,MATCH(ROUNDUP((K$1)/10,0)*10,[1]Hugst!$R$4:$W$4,0))))</f>
        <v>0</v>
      </c>
      <c r="L252">
        <f>IF($C252-L$1&lt;År1,0,K251*(1-VLOOKUP($A252,[1]Hugst!$R$5:$W$9,MATCH(ROUNDUP((L$1)/10,0)*10,[1]Hugst!$R$4:$W$4,0))))</f>
        <v>0</v>
      </c>
      <c r="M252">
        <f>IF($C252-M$1&lt;År1,0,L251*(1-VLOOKUP($A252,[1]Hugst!$R$5:$W$9,MATCH(ROUNDUP((M$1)/10,0)*10,[1]Hugst!$R$4:$W$4,0))))</f>
        <v>0</v>
      </c>
      <c r="N252">
        <f>IF($C252-N$1&lt;År1,0,M251*(1-VLOOKUP($A252,[1]Hugst!$R$5:$W$9,MATCH(ROUNDUP((N$1)/10,0)*10,[1]Hugst!$R$4:$W$4,0))))</f>
        <v>0</v>
      </c>
      <c r="O252">
        <f>IF($C252-O$1&lt;År1,0,N251*(1-VLOOKUP($A252,[1]Hugst!$R$5:$W$9,MATCH(ROUNDUP((O$1)/10,0)*10,[1]Hugst!$R$4:$W$4,0))))</f>
        <v>0</v>
      </c>
      <c r="P252">
        <f>IF($C252-P$1&lt;År1,0,O251*(1-VLOOKUP($A252,[1]Hugst!$R$5:$W$9,MATCH(ROUNDUP((P$1)/10,0)*10,[1]Hugst!$R$4:$W$4,0))))</f>
        <v>0</v>
      </c>
      <c r="Q252">
        <f>IF($C252-Q$1&lt;År1,0,P251*(1-VLOOKUP($A252,[1]Hugst!$R$5:$W$9,MATCH(ROUNDUP((Q$1)/10,0)*10,[1]Hugst!$R$4:$W$4,0))))</f>
        <v>0</v>
      </c>
      <c r="R252">
        <f>IF($C252-R$1&lt;År1,0,Q251*(1-VLOOKUP($A252,[1]Hugst!$R$5:$W$9,MATCH(ROUNDUP((R$1)/10,0)*10,[1]Hugst!$R$4:$W$4,0))))</f>
        <v>0</v>
      </c>
      <c r="S252">
        <f>IF($C252-S$1&lt;År1,0,R251*(1-VLOOKUP($A252,[1]Hugst!$R$5:$W$9,MATCH(ROUNDUP((S$1)/10,0)*10,[1]Hugst!$R$4:$W$4,0))))</f>
        <v>0</v>
      </c>
      <c r="T252">
        <f>IF($C252-T$1&lt;År1,0,S251*(1-VLOOKUP($A252,[1]Hugst!$R$5:$W$9,MATCH(ROUNDUP((T$1)/10,0)*10,[1]Hugst!$R$4:$W$4,0))))</f>
        <v>0</v>
      </c>
      <c r="U252">
        <f>IF($C252-U$1&lt;År1,0,T251*(1-VLOOKUP($A252,[1]Hugst!$R$5:$W$9,MATCH(ROUNDUP((U$1)/10,0)*10,[1]Hugst!$R$4:$W$4,0))))</f>
        <v>0</v>
      </c>
      <c r="V252">
        <f>IF($C252-V$1&lt;År1,0,U251*(1-VLOOKUP($A252,[1]Hugst!$R$5:$W$9,MATCH(ROUNDUP((V$1)/10,0)*10,[1]Hugst!$R$4:$W$4,0))))</f>
        <v>0</v>
      </c>
      <c r="W252">
        <f>IF($C252-W$1&lt;År1,0,V251*(1-VLOOKUP($A252,[1]Hugst!$R$5:$W$9,MATCH(ROUNDUP((W$1)/10,0)*10,[1]Hugst!$R$4:$W$4,0))))</f>
        <v>0</v>
      </c>
      <c r="X252">
        <f>IF($C252-X$1&lt;År1,0,W251*(1-VLOOKUP($A252,[1]Hugst!$R$5:$W$9,MATCH(ROUNDUP((X$1)/10,0)*10,[1]Hugst!$R$4:$W$4,0))))</f>
        <v>0</v>
      </c>
      <c r="Y252">
        <f>IF($C252-Y$1&lt;År1,0,X251*(1-VLOOKUP($A252,[1]Hugst!$R$5:$W$9,MATCH(ROUNDUP((Y$1)/10,0)*10,[1]Hugst!$R$4:$W$4,0))))</f>
        <v>0</v>
      </c>
      <c r="Z252">
        <f>IF($C252-Z$1&lt;År1,0,Y251*(1-VLOOKUP($A252,[1]Hugst!$R$5:$W$9,MATCH(ROUNDUP((Z$1)/10,0)*10,[1]Hugst!$R$4:$W$4,0))))</f>
        <v>0</v>
      </c>
      <c r="AA252">
        <f>IF($C252-AA$1&lt;År1,0,Z251*(1-VLOOKUP($A252,[1]Hugst!$R$5:$W$9,MATCH(ROUNDUP((AA$1)/10,0)*10,[1]Hugst!$R$4:$W$4,0))))</f>
        <v>0</v>
      </c>
      <c r="AB252">
        <f>IF($C252-AB$1&lt;År1,0,AA251*(1-VLOOKUP($A252,[1]Hugst!$R$5:$W$9,MATCH(ROUNDUP((AB$1)/10,0)*10,[1]Hugst!$R$4:$W$4,0))))</f>
        <v>0</v>
      </c>
      <c r="AC252">
        <f>IF($C252-AC$1&lt;År1,0,AB251*(1-VLOOKUP($A252,[1]Hugst!$R$5:$W$9,MATCH(ROUNDUP((AC$1)/10,0)*10,[1]Hugst!$R$4:$W$4,0))))</f>
        <v>0</v>
      </c>
      <c r="AD252">
        <f>IF($C252-AD$1&lt;År1,0,AC251*(1-VLOOKUP($A252,[1]Hugst!$R$5:$W$9,MATCH(ROUNDUP((AD$1)/10,0)*10,[1]Hugst!$R$4:$W$4,0))))</f>
        <v>0</v>
      </c>
      <c r="AE252">
        <f>IF($C252-AE$1&lt;År1,0,AD251*(1-VLOOKUP($A252,[1]Hugst!$R$5:$W$9,MATCH(ROUNDUP((AE$1)/10,0)*10,[1]Hugst!$R$4:$W$4,0))))</f>
        <v>0</v>
      </c>
      <c r="AF252">
        <f>IF($C252-AF$1&lt;År1,0,AE251*(1-VLOOKUP($A252,[1]Hugst!$R$5:$W$9,MATCH(ROUNDUP((AF$1)/10,0)*10,[1]Hugst!$R$4:$W$4,0))))</f>
        <v>0</v>
      </c>
      <c r="AG252">
        <f>IF($C252-AG$1&lt;År1,0,AF251*(1-VLOOKUP($A252,[1]Hugst!$R$5:$W$9,MATCH(ROUNDUP((AG$1)/10,0)*10,[1]Hugst!$R$4:$W$4,0))))</f>
        <v>0</v>
      </c>
      <c r="AH252">
        <f>IF($C252-AH$1&lt;År1,0,AG251*(1-VLOOKUP($A252,[1]Hugst!$R$5:$W$9,MATCH(ROUNDUP((AH$1)/10,0)*10,[1]Hugst!$R$4:$W$4,0))))</f>
        <v>0</v>
      </c>
      <c r="AI252">
        <f>IF($C252-AI$1&lt;År1,0,AH251*(1-VLOOKUP($A252,[1]Hugst!$R$5:$W$9,MATCH(ROUNDUP((AI$1)/10,0)*10,[1]Hugst!$R$4:$W$4,0))))</f>
        <v>0</v>
      </c>
      <c r="AJ252">
        <f>IF($C252-AJ$1&lt;År1,0,AI251*(1-VLOOKUP($A252,[1]Hugst!$R$5:$W$9,MATCH(ROUNDUP((AJ$1)/10,0)*10,[1]Hugst!$R$4:$W$4,0))))</f>
        <v>0</v>
      </c>
    </row>
    <row r="253" spans="1:36" x14ac:dyDescent="0.25">
      <c r="A253" t="s">
        <v>180</v>
      </c>
      <c r="B253" t="s">
        <v>23</v>
      </c>
      <c r="C253">
        <v>2023</v>
      </c>
      <c r="D253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0</v>
      </c>
      <c r="E253">
        <f t="shared" ca="1" si="6"/>
        <v>0</v>
      </c>
      <c r="F253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>
        <f ca="1">IF($C253-G$1&lt;År1,0,F252*(1-VLOOKUP($A253,[1]Hugst!$R$5:$W$9,MATCH(ROUNDUP((G$1)/10,0)*10,[1]Hugst!$R$4:$W$4,0))))</f>
        <v>0</v>
      </c>
      <c r="H253">
        <f ca="1">IF($C253-H$1&lt;År1,0,G252*(1-VLOOKUP($A253,[1]Hugst!$R$5:$W$9,MATCH(ROUNDUP((H$1)/10,0)*10,[1]Hugst!$R$4:$W$4,0))))</f>
        <v>0</v>
      </c>
      <c r="I253">
        <f ca="1">IF($C253-I$1&lt;År1,0,H252*(1-VLOOKUP($A253,[1]Hugst!$R$5:$W$9,MATCH(ROUNDUP((I$1)/10,0)*10,[1]Hugst!$R$4:$W$4,0))))</f>
        <v>0</v>
      </c>
      <c r="J253">
        <f>IF($C253-J$1&lt;År1,0,I252*(1-VLOOKUP($A253,[1]Hugst!$R$5:$W$9,MATCH(ROUNDUP((J$1)/10,0)*10,[1]Hugst!$R$4:$W$4,0))))</f>
        <v>0</v>
      </c>
      <c r="K253">
        <f>IF($C253-K$1&lt;År1,0,J252*(1-VLOOKUP($A253,[1]Hugst!$R$5:$W$9,MATCH(ROUNDUP((K$1)/10,0)*10,[1]Hugst!$R$4:$W$4,0))))</f>
        <v>0</v>
      </c>
      <c r="L253">
        <f>IF($C253-L$1&lt;År1,0,K252*(1-VLOOKUP($A253,[1]Hugst!$R$5:$W$9,MATCH(ROUNDUP((L$1)/10,0)*10,[1]Hugst!$R$4:$W$4,0))))</f>
        <v>0</v>
      </c>
      <c r="M253">
        <f>IF($C253-M$1&lt;År1,0,L252*(1-VLOOKUP($A253,[1]Hugst!$R$5:$W$9,MATCH(ROUNDUP((M$1)/10,0)*10,[1]Hugst!$R$4:$W$4,0))))</f>
        <v>0</v>
      </c>
      <c r="N253">
        <f>IF($C253-N$1&lt;År1,0,M252*(1-VLOOKUP($A253,[1]Hugst!$R$5:$W$9,MATCH(ROUNDUP((N$1)/10,0)*10,[1]Hugst!$R$4:$W$4,0))))</f>
        <v>0</v>
      </c>
      <c r="O253">
        <f>IF($C253-O$1&lt;År1,0,N252*(1-VLOOKUP($A253,[1]Hugst!$R$5:$W$9,MATCH(ROUNDUP((O$1)/10,0)*10,[1]Hugst!$R$4:$W$4,0))))</f>
        <v>0</v>
      </c>
      <c r="P253">
        <f>IF($C253-P$1&lt;År1,0,O252*(1-VLOOKUP($A253,[1]Hugst!$R$5:$W$9,MATCH(ROUNDUP((P$1)/10,0)*10,[1]Hugst!$R$4:$W$4,0))))</f>
        <v>0</v>
      </c>
      <c r="Q253">
        <f>IF($C253-Q$1&lt;År1,0,P252*(1-VLOOKUP($A253,[1]Hugst!$R$5:$W$9,MATCH(ROUNDUP((Q$1)/10,0)*10,[1]Hugst!$R$4:$W$4,0))))</f>
        <v>0</v>
      </c>
      <c r="R253">
        <f>IF($C253-R$1&lt;År1,0,Q252*(1-VLOOKUP($A253,[1]Hugst!$R$5:$W$9,MATCH(ROUNDUP((R$1)/10,0)*10,[1]Hugst!$R$4:$W$4,0))))</f>
        <v>0</v>
      </c>
      <c r="S253">
        <f>IF($C253-S$1&lt;År1,0,R252*(1-VLOOKUP($A253,[1]Hugst!$R$5:$W$9,MATCH(ROUNDUP((S$1)/10,0)*10,[1]Hugst!$R$4:$W$4,0))))</f>
        <v>0</v>
      </c>
      <c r="T253">
        <f>IF($C253-T$1&lt;År1,0,S252*(1-VLOOKUP($A253,[1]Hugst!$R$5:$W$9,MATCH(ROUNDUP((T$1)/10,0)*10,[1]Hugst!$R$4:$W$4,0))))</f>
        <v>0</v>
      </c>
      <c r="U253">
        <f>IF($C253-U$1&lt;År1,0,T252*(1-VLOOKUP($A253,[1]Hugst!$R$5:$W$9,MATCH(ROUNDUP((U$1)/10,0)*10,[1]Hugst!$R$4:$W$4,0))))</f>
        <v>0</v>
      </c>
      <c r="V253">
        <f>IF($C253-V$1&lt;År1,0,U252*(1-VLOOKUP($A253,[1]Hugst!$R$5:$W$9,MATCH(ROUNDUP((V$1)/10,0)*10,[1]Hugst!$R$4:$W$4,0))))</f>
        <v>0</v>
      </c>
      <c r="W253">
        <f>IF($C253-W$1&lt;År1,0,V252*(1-VLOOKUP($A253,[1]Hugst!$R$5:$W$9,MATCH(ROUNDUP((W$1)/10,0)*10,[1]Hugst!$R$4:$W$4,0))))</f>
        <v>0</v>
      </c>
      <c r="X253">
        <f>IF($C253-X$1&lt;År1,0,W252*(1-VLOOKUP($A253,[1]Hugst!$R$5:$W$9,MATCH(ROUNDUP((X$1)/10,0)*10,[1]Hugst!$R$4:$W$4,0))))</f>
        <v>0</v>
      </c>
      <c r="Y253">
        <f>IF($C253-Y$1&lt;År1,0,X252*(1-VLOOKUP($A253,[1]Hugst!$R$5:$W$9,MATCH(ROUNDUP((Y$1)/10,0)*10,[1]Hugst!$R$4:$W$4,0))))</f>
        <v>0</v>
      </c>
      <c r="Z253">
        <f>IF($C253-Z$1&lt;År1,0,Y252*(1-VLOOKUP($A253,[1]Hugst!$R$5:$W$9,MATCH(ROUNDUP((Z$1)/10,0)*10,[1]Hugst!$R$4:$W$4,0))))</f>
        <v>0</v>
      </c>
      <c r="AA253">
        <f>IF($C253-AA$1&lt;År1,0,Z252*(1-VLOOKUP($A253,[1]Hugst!$R$5:$W$9,MATCH(ROUNDUP((AA$1)/10,0)*10,[1]Hugst!$R$4:$W$4,0))))</f>
        <v>0</v>
      </c>
      <c r="AB253">
        <f>IF($C253-AB$1&lt;År1,0,AA252*(1-VLOOKUP($A253,[1]Hugst!$R$5:$W$9,MATCH(ROUNDUP((AB$1)/10,0)*10,[1]Hugst!$R$4:$W$4,0))))</f>
        <v>0</v>
      </c>
      <c r="AC253">
        <f>IF($C253-AC$1&lt;År1,0,AB252*(1-VLOOKUP($A253,[1]Hugst!$R$5:$W$9,MATCH(ROUNDUP((AC$1)/10,0)*10,[1]Hugst!$R$4:$W$4,0))))</f>
        <v>0</v>
      </c>
      <c r="AD253">
        <f>IF($C253-AD$1&lt;År1,0,AC252*(1-VLOOKUP($A253,[1]Hugst!$R$5:$W$9,MATCH(ROUNDUP((AD$1)/10,0)*10,[1]Hugst!$R$4:$W$4,0))))</f>
        <v>0</v>
      </c>
      <c r="AE253">
        <f>IF($C253-AE$1&lt;År1,0,AD252*(1-VLOOKUP($A253,[1]Hugst!$R$5:$W$9,MATCH(ROUNDUP((AE$1)/10,0)*10,[1]Hugst!$R$4:$W$4,0))))</f>
        <v>0</v>
      </c>
      <c r="AF253">
        <f>IF($C253-AF$1&lt;År1,0,AE252*(1-VLOOKUP($A253,[1]Hugst!$R$5:$W$9,MATCH(ROUNDUP((AF$1)/10,0)*10,[1]Hugst!$R$4:$W$4,0))))</f>
        <v>0</v>
      </c>
      <c r="AG253">
        <f>IF($C253-AG$1&lt;År1,0,AF252*(1-VLOOKUP($A253,[1]Hugst!$R$5:$W$9,MATCH(ROUNDUP((AG$1)/10,0)*10,[1]Hugst!$R$4:$W$4,0))))</f>
        <v>0</v>
      </c>
      <c r="AH253">
        <f>IF($C253-AH$1&lt;År1,0,AG252*(1-VLOOKUP($A253,[1]Hugst!$R$5:$W$9,MATCH(ROUNDUP((AH$1)/10,0)*10,[1]Hugst!$R$4:$W$4,0))))</f>
        <v>0</v>
      </c>
      <c r="AI253">
        <f>IF($C253-AI$1&lt;År1,0,AH252*(1-VLOOKUP($A253,[1]Hugst!$R$5:$W$9,MATCH(ROUNDUP((AI$1)/10,0)*10,[1]Hugst!$R$4:$W$4,0))))</f>
        <v>0</v>
      </c>
      <c r="AJ253">
        <f>IF($C253-AJ$1&lt;År1,0,AI252*(1-VLOOKUP($A253,[1]Hugst!$R$5:$W$9,MATCH(ROUNDUP((AJ$1)/10,0)*10,[1]Hugst!$R$4:$W$4,0))))</f>
        <v>0</v>
      </c>
    </row>
    <row r="254" spans="1:36" x14ac:dyDescent="0.25">
      <c r="A254" t="s">
        <v>180</v>
      </c>
      <c r="B254" t="s">
        <v>23</v>
      </c>
      <c r="C254">
        <v>2024</v>
      </c>
      <c r="D254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0</v>
      </c>
      <c r="E254">
        <f t="shared" ca="1" si="6"/>
        <v>0</v>
      </c>
      <c r="F254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>
        <f ca="1">IF($C254-G$1&lt;År1,0,F253*(1-VLOOKUP($A254,[1]Hugst!$R$5:$W$9,MATCH(ROUNDUP((G$1)/10,0)*10,[1]Hugst!$R$4:$W$4,0))))</f>
        <v>0</v>
      </c>
      <c r="H254">
        <f ca="1">IF($C254-H$1&lt;År1,0,G253*(1-VLOOKUP($A254,[1]Hugst!$R$5:$W$9,MATCH(ROUNDUP((H$1)/10,0)*10,[1]Hugst!$R$4:$W$4,0))))</f>
        <v>0</v>
      </c>
      <c r="I254">
        <f ca="1">IF($C254-I$1&lt;År1,0,H253*(1-VLOOKUP($A254,[1]Hugst!$R$5:$W$9,MATCH(ROUNDUP((I$1)/10,0)*10,[1]Hugst!$R$4:$W$4,0))))</f>
        <v>0</v>
      </c>
      <c r="J254">
        <f ca="1">IF($C254-J$1&lt;År1,0,I253*(1-VLOOKUP($A254,[1]Hugst!$R$5:$W$9,MATCH(ROUNDUP((J$1)/10,0)*10,[1]Hugst!$R$4:$W$4,0))))</f>
        <v>0</v>
      </c>
      <c r="K254">
        <f>IF($C254-K$1&lt;År1,0,J253*(1-VLOOKUP($A254,[1]Hugst!$R$5:$W$9,MATCH(ROUNDUP((K$1)/10,0)*10,[1]Hugst!$R$4:$W$4,0))))</f>
        <v>0</v>
      </c>
      <c r="L254">
        <f>IF($C254-L$1&lt;År1,0,K253*(1-VLOOKUP($A254,[1]Hugst!$R$5:$W$9,MATCH(ROUNDUP((L$1)/10,0)*10,[1]Hugst!$R$4:$W$4,0))))</f>
        <v>0</v>
      </c>
      <c r="M254">
        <f>IF($C254-M$1&lt;År1,0,L253*(1-VLOOKUP($A254,[1]Hugst!$R$5:$W$9,MATCH(ROUNDUP((M$1)/10,0)*10,[1]Hugst!$R$4:$W$4,0))))</f>
        <v>0</v>
      </c>
      <c r="N254">
        <f>IF($C254-N$1&lt;År1,0,M253*(1-VLOOKUP($A254,[1]Hugst!$R$5:$W$9,MATCH(ROUNDUP((N$1)/10,0)*10,[1]Hugst!$R$4:$W$4,0))))</f>
        <v>0</v>
      </c>
      <c r="O254">
        <f>IF($C254-O$1&lt;År1,0,N253*(1-VLOOKUP($A254,[1]Hugst!$R$5:$W$9,MATCH(ROUNDUP((O$1)/10,0)*10,[1]Hugst!$R$4:$W$4,0))))</f>
        <v>0</v>
      </c>
      <c r="P254">
        <f>IF($C254-P$1&lt;År1,0,O253*(1-VLOOKUP($A254,[1]Hugst!$R$5:$W$9,MATCH(ROUNDUP((P$1)/10,0)*10,[1]Hugst!$R$4:$W$4,0))))</f>
        <v>0</v>
      </c>
      <c r="Q254">
        <f>IF($C254-Q$1&lt;År1,0,P253*(1-VLOOKUP($A254,[1]Hugst!$R$5:$W$9,MATCH(ROUNDUP((Q$1)/10,0)*10,[1]Hugst!$R$4:$W$4,0))))</f>
        <v>0</v>
      </c>
      <c r="R254">
        <f>IF($C254-R$1&lt;År1,0,Q253*(1-VLOOKUP($A254,[1]Hugst!$R$5:$W$9,MATCH(ROUNDUP((R$1)/10,0)*10,[1]Hugst!$R$4:$W$4,0))))</f>
        <v>0</v>
      </c>
      <c r="S254">
        <f>IF($C254-S$1&lt;År1,0,R253*(1-VLOOKUP($A254,[1]Hugst!$R$5:$W$9,MATCH(ROUNDUP((S$1)/10,0)*10,[1]Hugst!$R$4:$W$4,0))))</f>
        <v>0</v>
      </c>
      <c r="T254">
        <f>IF($C254-T$1&lt;År1,0,S253*(1-VLOOKUP($A254,[1]Hugst!$R$5:$W$9,MATCH(ROUNDUP((T$1)/10,0)*10,[1]Hugst!$R$4:$W$4,0))))</f>
        <v>0</v>
      </c>
      <c r="U254">
        <f>IF($C254-U$1&lt;År1,0,T253*(1-VLOOKUP($A254,[1]Hugst!$R$5:$W$9,MATCH(ROUNDUP((U$1)/10,0)*10,[1]Hugst!$R$4:$W$4,0))))</f>
        <v>0</v>
      </c>
      <c r="V254">
        <f>IF($C254-V$1&lt;År1,0,U253*(1-VLOOKUP($A254,[1]Hugst!$R$5:$W$9,MATCH(ROUNDUP((V$1)/10,0)*10,[1]Hugst!$R$4:$W$4,0))))</f>
        <v>0</v>
      </c>
      <c r="W254">
        <f>IF($C254-W$1&lt;År1,0,V253*(1-VLOOKUP($A254,[1]Hugst!$R$5:$W$9,MATCH(ROUNDUP((W$1)/10,0)*10,[1]Hugst!$R$4:$W$4,0))))</f>
        <v>0</v>
      </c>
      <c r="X254">
        <f>IF($C254-X$1&lt;År1,0,W253*(1-VLOOKUP($A254,[1]Hugst!$R$5:$W$9,MATCH(ROUNDUP((X$1)/10,0)*10,[1]Hugst!$R$4:$W$4,0))))</f>
        <v>0</v>
      </c>
      <c r="Y254">
        <f>IF($C254-Y$1&lt;År1,0,X253*(1-VLOOKUP($A254,[1]Hugst!$R$5:$W$9,MATCH(ROUNDUP((Y$1)/10,0)*10,[1]Hugst!$R$4:$W$4,0))))</f>
        <v>0</v>
      </c>
      <c r="Z254">
        <f>IF($C254-Z$1&lt;År1,0,Y253*(1-VLOOKUP($A254,[1]Hugst!$R$5:$W$9,MATCH(ROUNDUP((Z$1)/10,0)*10,[1]Hugst!$R$4:$W$4,0))))</f>
        <v>0</v>
      </c>
      <c r="AA254">
        <f>IF($C254-AA$1&lt;År1,0,Z253*(1-VLOOKUP($A254,[1]Hugst!$R$5:$W$9,MATCH(ROUNDUP((AA$1)/10,0)*10,[1]Hugst!$R$4:$W$4,0))))</f>
        <v>0</v>
      </c>
      <c r="AB254">
        <f>IF($C254-AB$1&lt;År1,0,AA253*(1-VLOOKUP($A254,[1]Hugst!$R$5:$W$9,MATCH(ROUNDUP((AB$1)/10,0)*10,[1]Hugst!$R$4:$W$4,0))))</f>
        <v>0</v>
      </c>
      <c r="AC254">
        <f>IF($C254-AC$1&lt;År1,0,AB253*(1-VLOOKUP($A254,[1]Hugst!$R$5:$W$9,MATCH(ROUNDUP((AC$1)/10,0)*10,[1]Hugst!$R$4:$W$4,0))))</f>
        <v>0</v>
      </c>
      <c r="AD254">
        <f>IF($C254-AD$1&lt;År1,0,AC253*(1-VLOOKUP($A254,[1]Hugst!$R$5:$W$9,MATCH(ROUNDUP((AD$1)/10,0)*10,[1]Hugst!$R$4:$W$4,0))))</f>
        <v>0</v>
      </c>
      <c r="AE254">
        <f>IF($C254-AE$1&lt;År1,0,AD253*(1-VLOOKUP($A254,[1]Hugst!$R$5:$W$9,MATCH(ROUNDUP((AE$1)/10,0)*10,[1]Hugst!$R$4:$W$4,0))))</f>
        <v>0</v>
      </c>
      <c r="AF254">
        <f>IF($C254-AF$1&lt;År1,0,AE253*(1-VLOOKUP($A254,[1]Hugst!$R$5:$W$9,MATCH(ROUNDUP((AF$1)/10,0)*10,[1]Hugst!$R$4:$W$4,0))))</f>
        <v>0</v>
      </c>
      <c r="AG254">
        <f>IF($C254-AG$1&lt;År1,0,AF253*(1-VLOOKUP($A254,[1]Hugst!$R$5:$W$9,MATCH(ROUNDUP((AG$1)/10,0)*10,[1]Hugst!$R$4:$W$4,0))))</f>
        <v>0</v>
      </c>
      <c r="AH254">
        <f>IF($C254-AH$1&lt;År1,0,AG253*(1-VLOOKUP($A254,[1]Hugst!$R$5:$W$9,MATCH(ROUNDUP((AH$1)/10,0)*10,[1]Hugst!$R$4:$W$4,0))))</f>
        <v>0</v>
      </c>
      <c r="AI254">
        <f>IF($C254-AI$1&lt;År1,0,AH253*(1-VLOOKUP($A254,[1]Hugst!$R$5:$W$9,MATCH(ROUNDUP((AI$1)/10,0)*10,[1]Hugst!$R$4:$W$4,0))))</f>
        <v>0</v>
      </c>
      <c r="AJ254">
        <f>IF($C254-AJ$1&lt;År1,0,AI253*(1-VLOOKUP($A254,[1]Hugst!$R$5:$W$9,MATCH(ROUNDUP((AJ$1)/10,0)*10,[1]Hugst!$R$4:$W$4,0))))</f>
        <v>0</v>
      </c>
    </row>
    <row r="255" spans="1:36" x14ac:dyDescent="0.25">
      <c r="A255" t="s">
        <v>180</v>
      </c>
      <c r="B255" t="s">
        <v>23</v>
      </c>
      <c r="C255">
        <v>2025</v>
      </c>
      <c r="D255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0</v>
      </c>
      <c r="E255">
        <f t="shared" ca="1" si="6"/>
        <v>0</v>
      </c>
      <c r="F255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>
        <f ca="1">IF($C255-G$1&lt;År1,0,F254*(1-VLOOKUP($A255,[1]Hugst!$R$5:$W$9,MATCH(ROUNDUP((G$1)/10,0)*10,[1]Hugst!$R$4:$W$4,0))))</f>
        <v>0</v>
      </c>
      <c r="H255">
        <f ca="1">IF($C255-H$1&lt;År1,0,G254*(1-VLOOKUP($A255,[1]Hugst!$R$5:$W$9,MATCH(ROUNDUP((H$1)/10,0)*10,[1]Hugst!$R$4:$W$4,0))))</f>
        <v>0</v>
      </c>
      <c r="I255">
        <f ca="1">IF($C255-I$1&lt;År1,0,H254*(1-VLOOKUP($A255,[1]Hugst!$R$5:$W$9,MATCH(ROUNDUP((I$1)/10,0)*10,[1]Hugst!$R$4:$W$4,0))))</f>
        <v>0</v>
      </c>
      <c r="J255">
        <f ca="1">IF($C255-J$1&lt;År1,0,I254*(1-VLOOKUP($A255,[1]Hugst!$R$5:$W$9,MATCH(ROUNDUP((J$1)/10,0)*10,[1]Hugst!$R$4:$W$4,0))))</f>
        <v>0</v>
      </c>
      <c r="K255">
        <f ca="1">IF($C255-K$1&lt;År1,0,J254*(1-VLOOKUP($A255,[1]Hugst!$R$5:$W$9,MATCH(ROUNDUP((K$1)/10,0)*10,[1]Hugst!$R$4:$W$4,0))))</f>
        <v>0</v>
      </c>
      <c r="L255">
        <f>IF($C255-L$1&lt;År1,0,K254*(1-VLOOKUP($A255,[1]Hugst!$R$5:$W$9,MATCH(ROUNDUP((L$1)/10,0)*10,[1]Hugst!$R$4:$W$4,0))))</f>
        <v>0</v>
      </c>
      <c r="M255">
        <f>IF($C255-M$1&lt;År1,0,L254*(1-VLOOKUP($A255,[1]Hugst!$R$5:$W$9,MATCH(ROUNDUP((M$1)/10,0)*10,[1]Hugst!$R$4:$W$4,0))))</f>
        <v>0</v>
      </c>
      <c r="N255">
        <f>IF($C255-N$1&lt;År1,0,M254*(1-VLOOKUP($A255,[1]Hugst!$R$5:$W$9,MATCH(ROUNDUP((N$1)/10,0)*10,[1]Hugst!$R$4:$W$4,0))))</f>
        <v>0</v>
      </c>
      <c r="O255">
        <f>IF($C255-O$1&lt;År1,0,N254*(1-VLOOKUP($A255,[1]Hugst!$R$5:$W$9,MATCH(ROUNDUP((O$1)/10,0)*10,[1]Hugst!$R$4:$W$4,0))))</f>
        <v>0</v>
      </c>
      <c r="P255">
        <f>IF($C255-P$1&lt;År1,0,O254*(1-VLOOKUP($A255,[1]Hugst!$R$5:$W$9,MATCH(ROUNDUP((P$1)/10,0)*10,[1]Hugst!$R$4:$W$4,0))))</f>
        <v>0</v>
      </c>
      <c r="Q255">
        <f>IF($C255-Q$1&lt;År1,0,P254*(1-VLOOKUP($A255,[1]Hugst!$R$5:$W$9,MATCH(ROUNDUP((Q$1)/10,0)*10,[1]Hugst!$R$4:$W$4,0))))</f>
        <v>0</v>
      </c>
      <c r="R255">
        <f>IF($C255-R$1&lt;År1,0,Q254*(1-VLOOKUP($A255,[1]Hugst!$R$5:$W$9,MATCH(ROUNDUP((R$1)/10,0)*10,[1]Hugst!$R$4:$W$4,0))))</f>
        <v>0</v>
      </c>
      <c r="S255">
        <f>IF($C255-S$1&lt;År1,0,R254*(1-VLOOKUP($A255,[1]Hugst!$R$5:$W$9,MATCH(ROUNDUP((S$1)/10,0)*10,[1]Hugst!$R$4:$W$4,0))))</f>
        <v>0</v>
      </c>
      <c r="T255">
        <f>IF($C255-T$1&lt;År1,0,S254*(1-VLOOKUP($A255,[1]Hugst!$R$5:$W$9,MATCH(ROUNDUP((T$1)/10,0)*10,[1]Hugst!$R$4:$W$4,0))))</f>
        <v>0</v>
      </c>
      <c r="U255">
        <f>IF($C255-U$1&lt;År1,0,T254*(1-VLOOKUP($A255,[1]Hugst!$R$5:$W$9,MATCH(ROUNDUP((U$1)/10,0)*10,[1]Hugst!$R$4:$W$4,0))))</f>
        <v>0</v>
      </c>
      <c r="V255">
        <f>IF($C255-V$1&lt;År1,0,U254*(1-VLOOKUP($A255,[1]Hugst!$R$5:$W$9,MATCH(ROUNDUP((V$1)/10,0)*10,[1]Hugst!$R$4:$W$4,0))))</f>
        <v>0</v>
      </c>
      <c r="W255">
        <f>IF($C255-W$1&lt;År1,0,V254*(1-VLOOKUP($A255,[1]Hugst!$R$5:$W$9,MATCH(ROUNDUP((W$1)/10,0)*10,[1]Hugst!$R$4:$W$4,0))))</f>
        <v>0</v>
      </c>
      <c r="X255">
        <f>IF($C255-X$1&lt;År1,0,W254*(1-VLOOKUP($A255,[1]Hugst!$R$5:$W$9,MATCH(ROUNDUP((X$1)/10,0)*10,[1]Hugst!$R$4:$W$4,0))))</f>
        <v>0</v>
      </c>
      <c r="Y255">
        <f>IF($C255-Y$1&lt;År1,0,X254*(1-VLOOKUP($A255,[1]Hugst!$R$5:$W$9,MATCH(ROUNDUP((Y$1)/10,0)*10,[1]Hugst!$R$4:$W$4,0))))</f>
        <v>0</v>
      </c>
      <c r="Z255">
        <f>IF($C255-Z$1&lt;År1,0,Y254*(1-VLOOKUP($A255,[1]Hugst!$R$5:$W$9,MATCH(ROUNDUP((Z$1)/10,0)*10,[1]Hugst!$R$4:$W$4,0))))</f>
        <v>0</v>
      </c>
      <c r="AA255">
        <f>IF($C255-AA$1&lt;År1,0,Z254*(1-VLOOKUP($A255,[1]Hugst!$R$5:$W$9,MATCH(ROUNDUP((AA$1)/10,0)*10,[1]Hugst!$R$4:$W$4,0))))</f>
        <v>0</v>
      </c>
      <c r="AB255">
        <f>IF($C255-AB$1&lt;År1,0,AA254*(1-VLOOKUP($A255,[1]Hugst!$R$5:$W$9,MATCH(ROUNDUP((AB$1)/10,0)*10,[1]Hugst!$R$4:$W$4,0))))</f>
        <v>0</v>
      </c>
      <c r="AC255">
        <f>IF($C255-AC$1&lt;År1,0,AB254*(1-VLOOKUP($A255,[1]Hugst!$R$5:$W$9,MATCH(ROUNDUP((AC$1)/10,0)*10,[1]Hugst!$R$4:$W$4,0))))</f>
        <v>0</v>
      </c>
      <c r="AD255">
        <f>IF($C255-AD$1&lt;År1,0,AC254*(1-VLOOKUP($A255,[1]Hugst!$R$5:$W$9,MATCH(ROUNDUP((AD$1)/10,0)*10,[1]Hugst!$R$4:$W$4,0))))</f>
        <v>0</v>
      </c>
      <c r="AE255">
        <f>IF($C255-AE$1&lt;År1,0,AD254*(1-VLOOKUP($A255,[1]Hugst!$R$5:$W$9,MATCH(ROUNDUP((AE$1)/10,0)*10,[1]Hugst!$R$4:$W$4,0))))</f>
        <v>0</v>
      </c>
      <c r="AF255">
        <f>IF($C255-AF$1&lt;År1,0,AE254*(1-VLOOKUP($A255,[1]Hugst!$R$5:$W$9,MATCH(ROUNDUP((AF$1)/10,0)*10,[1]Hugst!$R$4:$W$4,0))))</f>
        <v>0</v>
      </c>
      <c r="AG255">
        <f>IF($C255-AG$1&lt;År1,0,AF254*(1-VLOOKUP($A255,[1]Hugst!$R$5:$W$9,MATCH(ROUNDUP((AG$1)/10,0)*10,[1]Hugst!$R$4:$W$4,0))))</f>
        <v>0</v>
      </c>
      <c r="AH255">
        <f>IF($C255-AH$1&lt;År1,0,AG254*(1-VLOOKUP($A255,[1]Hugst!$R$5:$W$9,MATCH(ROUNDUP((AH$1)/10,0)*10,[1]Hugst!$R$4:$W$4,0))))</f>
        <v>0</v>
      </c>
      <c r="AI255">
        <f>IF($C255-AI$1&lt;År1,0,AH254*(1-VLOOKUP($A255,[1]Hugst!$R$5:$W$9,MATCH(ROUNDUP((AI$1)/10,0)*10,[1]Hugst!$R$4:$W$4,0))))</f>
        <v>0</v>
      </c>
      <c r="AJ255">
        <f>IF($C255-AJ$1&lt;År1,0,AI254*(1-VLOOKUP($A255,[1]Hugst!$R$5:$W$9,MATCH(ROUNDUP((AJ$1)/10,0)*10,[1]Hugst!$R$4:$W$4,0))))</f>
        <v>0</v>
      </c>
    </row>
    <row r="256" spans="1:36" x14ac:dyDescent="0.25">
      <c r="A256" t="s">
        <v>180</v>
      </c>
      <c r="B256" t="s">
        <v>23</v>
      </c>
      <c r="C256">
        <v>2026</v>
      </c>
      <c r="D256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0</v>
      </c>
      <c r="E256">
        <f t="shared" ca="1" si="6"/>
        <v>0</v>
      </c>
      <c r="F256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>
        <f ca="1">IF($C256-G$1&lt;År1,0,F255*(1-VLOOKUP($A256,[1]Hugst!$R$5:$W$9,MATCH(ROUNDUP((G$1)/10,0)*10,[1]Hugst!$R$4:$W$4,0))))</f>
        <v>0</v>
      </c>
      <c r="H256">
        <f ca="1">IF($C256-H$1&lt;År1,0,G255*(1-VLOOKUP($A256,[1]Hugst!$R$5:$W$9,MATCH(ROUNDUP((H$1)/10,0)*10,[1]Hugst!$R$4:$W$4,0))))</f>
        <v>0</v>
      </c>
      <c r="I256">
        <f ca="1">IF($C256-I$1&lt;År1,0,H255*(1-VLOOKUP($A256,[1]Hugst!$R$5:$W$9,MATCH(ROUNDUP((I$1)/10,0)*10,[1]Hugst!$R$4:$W$4,0))))</f>
        <v>0</v>
      </c>
      <c r="J256">
        <f ca="1">IF($C256-J$1&lt;År1,0,I255*(1-VLOOKUP($A256,[1]Hugst!$R$5:$W$9,MATCH(ROUNDUP((J$1)/10,0)*10,[1]Hugst!$R$4:$W$4,0))))</f>
        <v>0</v>
      </c>
      <c r="K256">
        <f ca="1">IF($C256-K$1&lt;År1,0,J255*(1-VLOOKUP($A256,[1]Hugst!$R$5:$W$9,MATCH(ROUNDUP((K$1)/10,0)*10,[1]Hugst!$R$4:$W$4,0))))</f>
        <v>0</v>
      </c>
      <c r="L256">
        <f ca="1">IF($C256-L$1&lt;År1,0,K255*(1-VLOOKUP($A256,[1]Hugst!$R$5:$W$9,MATCH(ROUNDUP((L$1)/10,0)*10,[1]Hugst!$R$4:$W$4,0))))</f>
        <v>0</v>
      </c>
      <c r="M256">
        <f>IF($C256-M$1&lt;År1,0,L255*(1-VLOOKUP($A256,[1]Hugst!$R$5:$W$9,MATCH(ROUNDUP((M$1)/10,0)*10,[1]Hugst!$R$4:$W$4,0))))</f>
        <v>0</v>
      </c>
      <c r="N256">
        <f>IF($C256-N$1&lt;År1,0,M255*(1-VLOOKUP($A256,[1]Hugst!$R$5:$W$9,MATCH(ROUNDUP((N$1)/10,0)*10,[1]Hugst!$R$4:$W$4,0))))</f>
        <v>0</v>
      </c>
      <c r="O256">
        <f>IF($C256-O$1&lt;År1,0,N255*(1-VLOOKUP($A256,[1]Hugst!$R$5:$W$9,MATCH(ROUNDUP((O$1)/10,0)*10,[1]Hugst!$R$4:$W$4,0))))</f>
        <v>0</v>
      </c>
      <c r="P256">
        <f>IF($C256-P$1&lt;År1,0,O255*(1-VLOOKUP($A256,[1]Hugst!$R$5:$W$9,MATCH(ROUNDUP((P$1)/10,0)*10,[1]Hugst!$R$4:$W$4,0))))</f>
        <v>0</v>
      </c>
      <c r="Q256">
        <f>IF($C256-Q$1&lt;År1,0,P255*(1-VLOOKUP($A256,[1]Hugst!$R$5:$W$9,MATCH(ROUNDUP((Q$1)/10,0)*10,[1]Hugst!$R$4:$W$4,0))))</f>
        <v>0</v>
      </c>
      <c r="R256">
        <f>IF($C256-R$1&lt;År1,0,Q255*(1-VLOOKUP($A256,[1]Hugst!$R$5:$W$9,MATCH(ROUNDUP((R$1)/10,0)*10,[1]Hugst!$R$4:$W$4,0))))</f>
        <v>0</v>
      </c>
      <c r="S256">
        <f>IF($C256-S$1&lt;År1,0,R255*(1-VLOOKUP($A256,[1]Hugst!$R$5:$W$9,MATCH(ROUNDUP((S$1)/10,0)*10,[1]Hugst!$R$4:$W$4,0))))</f>
        <v>0</v>
      </c>
      <c r="T256">
        <f>IF($C256-T$1&lt;År1,0,S255*(1-VLOOKUP($A256,[1]Hugst!$R$5:$W$9,MATCH(ROUNDUP((T$1)/10,0)*10,[1]Hugst!$R$4:$W$4,0))))</f>
        <v>0</v>
      </c>
      <c r="U256">
        <f>IF($C256-U$1&lt;År1,0,T255*(1-VLOOKUP($A256,[1]Hugst!$R$5:$W$9,MATCH(ROUNDUP((U$1)/10,0)*10,[1]Hugst!$R$4:$W$4,0))))</f>
        <v>0</v>
      </c>
      <c r="V256">
        <f>IF($C256-V$1&lt;År1,0,U255*(1-VLOOKUP($A256,[1]Hugst!$R$5:$W$9,MATCH(ROUNDUP((V$1)/10,0)*10,[1]Hugst!$R$4:$W$4,0))))</f>
        <v>0</v>
      </c>
      <c r="W256">
        <f>IF($C256-W$1&lt;År1,0,V255*(1-VLOOKUP($A256,[1]Hugst!$R$5:$W$9,MATCH(ROUNDUP((W$1)/10,0)*10,[1]Hugst!$R$4:$W$4,0))))</f>
        <v>0</v>
      </c>
      <c r="X256">
        <f>IF($C256-X$1&lt;År1,0,W255*(1-VLOOKUP($A256,[1]Hugst!$R$5:$W$9,MATCH(ROUNDUP((X$1)/10,0)*10,[1]Hugst!$R$4:$W$4,0))))</f>
        <v>0</v>
      </c>
      <c r="Y256">
        <f>IF($C256-Y$1&lt;År1,0,X255*(1-VLOOKUP($A256,[1]Hugst!$R$5:$W$9,MATCH(ROUNDUP((Y$1)/10,0)*10,[1]Hugst!$R$4:$W$4,0))))</f>
        <v>0</v>
      </c>
      <c r="Z256">
        <f>IF($C256-Z$1&lt;År1,0,Y255*(1-VLOOKUP($A256,[1]Hugst!$R$5:$W$9,MATCH(ROUNDUP((Z$1)/10,0)*10,[1]Hugst!$R$4:$W$4,0))))</f>
        <v>0</v>
      </c>
      <c r="AA256">
        <f>IF($C256-AA$1&lt;År1,0,Z255*(1-VLOOKUP($A256,[1]Hugst!$R$5:$W$9,MATCH(ROUNDUP((AA$1)/10,0)*10,[1]Hugst!$R$4:$W$4,0))))</f>
        <v>0</v>
      </c>
      <c r="AB256">
        <f>IF($C256-AB$1&lt;År1,0,AA255*(1-VLOOKUP($A256,[1]Hugst!$R$5:$W$9,MATCH(ROUNDUP((AB$1)/10,0)*10,[1]Hugst!$R$4:$W$4,0))))</f>
        <v>0</v>
      </c>
      <c r="AC256">
        <f>IF($C256-AC$1&lt;År1,0,AB255*(1-VLOOKUP($A256,[1]Hugst!$R$5:$W$9,MATCH(ROUNDUP((AC$1)/10,0)*10,[1]Hugst!$R$4:$W$4,0))))</f>
        <v>0</v>
      </c>
      <c r="AD256">
        <f>IF($C256-AD$1&lt;År1,0,AC255*(1-VLOOKUP($A256,[1]Hugst!$R$5:$W$9,MATCH(ROUNDUP((AD$1)/10,0)*10,[1]Hugst!$R$4:$W$4,0))))</f>
        <v>0</v>
      </c>
      <c r="AE256">
        <f>IF($C256-AE$1&lt;År1,0,AD255*(1-VLOOKUP($A256,[1]Hugst!$R$5:$W$9,MATCH(ROUNDUP((AE$1)/10,0)*10,[1]Hugst!$R$4:$W$4,0))))</f>
        <v>0</v>
      </c>
      <c r="AF256">
        <f>IF($C256-AF$1&lt;År1,0,AE255*(1-VLOOKUP($A256,[1]Hugst!$R$5:$W$9,MATCH(ROUNDUP((AF$1)/10,0)*10,[1]Hugst!$R$4:$W$4,0))))</f>
        <v>0</v>
      </c>
      <c r="AG256">
        <f>IF($C256-AG$1&lt;År1,0,AF255*(1-VLOOKUP($A256,[1]Hugst!$R$5:$W$9,MATCH(ROUNDUP((AG$1)/10,0)*10,[1]Hugst!$R$4:$W$4,0))))</f>
        <v>0</v>
      </c>
      <c r="AH256">
        <f>IF($C256-AH$1&lt;År1,0,AG255*(1-VLOOKUP($A256,[1]Hugst!$R$5:$W$9,MATCH(ROUNDUP((AH$1)/10,0)*10,[1]Hugst!$R$4:$W$4,0))))</f>
        <v>0</v>
      </c>
      <c r="AI256">
        <f>IF($C256-AI$1&lt;År1,0,AH255*(1-VLOOKUP($A256,[1]Hugst!$R$5:$W$9,MATCH(ROUNDUP((AI$1)/10,0)*10,[1]Hugst!$R$4:$W$4,0))))</f>
        <v>0</v>
      </c>
      <c r="AJ256">
        <f>IF($C256-AJ$1&lt;År1,0,AI255*(1-VLOOKUP($A256,[1]Hugst!$R$5:$W$9,MATCH(ROUNDUP((AJ$1)/10,0)*10,[1]Hugst!$R$4:$W$4,0))))</f>
        <v>0</v>
      </c>
    </row>
    <row r="257" spans="1:36" x14ac:dyDescent="0.25">
      <c r="A257" t="s">
        <v>180</v>
      </c>
      <c r="B257" t="s">
        <v>23</v>
      </c>
      <c r="C257">
        <v>2027</v>
      </c>
      <c r="D257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0</v>
      </c>
      <c r="E257">
        <f t="shared" ca="1" si="6"/>
        <v>0</v>
      </c>
      <c r="F257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>
        <f ca="1">IF($C257-G$1&lt;År1,0,F256*(1-VLOOKUP($A257,[1]Hugst!$R$5:$W$9,MATCH(ROUNDUP((G$1)/10,0)*10,[1]Hugst!$R$4:$W$4,0))))</f>
        <v>0</v>
      </c>
      <c r="H257">
        <f ca="1">IF($C257-H$1&lt;År1,0,G256*(1-VLOOKUP($A257,[1]Hugst!$R$5:$W$9,MATCH(ROUNDUP((H$1)/10,0)*10,[1]Hugst!$R$4:$W$4,0))))</f>
        <v>0</v>
      </c>
      <c r="I257">
        <f ca="1">IF($C257-I$1&lt;År1,0,H256*(1-VLOOKUP($A257,[1]Hugst!$R$5:$W$9,MATCH(ROUNDUP((I$1)/10,0)*10,[1]Hugst!$R$4:$W$4,0))))</f>
        <v>0</v>
      </c>
      <c r="J257">
        <f ca="1">IF($C257-J$1&lt;År1,0,I256*(1-VLOOKUP($A257,[1]Hugst!$R$5:$W$9,MATCH(ROUNDUP((J$1)/10,0)*10,[1]Hugst!$R$4:$W$4,0))))</f>
        <v>0</v>
      </c>
      <c r="K257">
        <f ca="1">IF($C257-K$1&lt;År1,0,J256*(1-VLOOKUP($A257,[1]Hugst!$R$5:$W$9,MATCH(ROUNDUP((K$1)/10,0)*10,[1]Hugst!$R$4:$W$4,0))))</f>
        <v>0</v>
      </c>
      <c r="L257">
        <f ca="1">IF($C257-L$1&lt;År1,0,K256*(1-VLOOKUP($A257,[1]Hugst!$R$5:$W$9,MATCH(ROUNDUP((L$1)/10,0)*10,[1]Hugst!$R$4:$W$4,0))))</f>
        <v>0</v>
      </c>
      <c r="M257">
        <f ca="1">IF($C257-M$1&lt;År1,0,L256*(1-VLOOKUP($A257,[1]Hugst!$R$5:$W$9,MATCH(ROUNDUP((M$1)/10,0)*10,[1]Hugst!$R$4:$W$4,0))))</f>
        <v>0</v>
      </c>
      <c r="N257">
        <f>IF($C257-N$1&lt;År1,0,M256*(1-VLOOKUP($A257,[1]Hugst!$R$5:$W$9,MATCH(ROUNDUP((N$1)/10,0)*10,[1]Hugst!$R$4:$W$4,0))))</f>
        <v>0</v>
      </c>
      <c r="O257">
        <f>IF($C257-O$1&lt;År1,0,N256*(1-VLOOKUP($A257,[1]Hugst!$R$5:$W$9,MATCH(ROUNDUP((O$1)/10,0)*10,[1]Hugst!$R$4:$W$4,0))))</f>
        <v>0</v>
      </c>
      <c r="P257">
        <f>IF($C257-P$1&lt;År1,0,O256*(1-VLOOKUP($A257,[1]Hugst!$R$5:$W$9,MATCH(ROUNDUP((P$1)/10,0)*10,[1]Hugst!$R$4:$W$4,0))))</f>
        <v>0</v>
      </c>
      <c r="Q257">
        <f>IF($C257-Q$1&lt;År1,0,P256*(1-VLOOKUP($A257,[1]Hugst!$R$5:$W$9,MATCH(ROUNDUP((Q$1)/10,0)*10,[1]Hugst!$R$4:$W$4,0))))</f>
        <v>0</v>
      </c>
      <c r="R257">
        <f>IF($C257-R$1&lt;År1,0,Q256*(1-VLOOKUP($A257,[1]Hugst!$R$5:$W$9,MATCH(ROUNDUP((R$1)/10,0)*10,[1]Hugst!$R$4:$W$4,0))))</f>
        <v>0</v>
      </c>
      <c r="S257">
        <f>IF($C257-S$1&lt;År1,0,R256*(1-VLOOKUP($A257,[1]Hugst!$R$5:$W$9,MATCH(ROUNDUP((S$1)/10,0)*10,[1]Hugst!$R$4:$W$4,0))))</f>
        <v>0</v>
      </c>
      <c r="T257">
        <f>IF($C257-T$1&lt;År1,0,S256*(1-VLOOKUP($A257,[1]Hugst!$R$5:$W$9,MATCH(ROUNDUP((T$1)/10,0)*10,[1]Hugst!$R$4:$W$4,0))))</f>
        <v>0</v>
      </c>
      <c r="U257">
        <f>IF($C257-U$1&lt;År1,0,T256*(1-VLOOKUP($A257,[1]Hugst!$R$5:$W$9,MATCH(ROUNDUP((U$1)/10,0)*10,[1]Hugst!$R$4:$W$4,0))))</f>
        <v>0</v>
      </c>
      <c r="V257">
        <f>IF($C257-V$1&lt;År1,0,U256*(1-VLOOKUP($A257,[1]Hugst!$R$5:$W$9,MATCH(ROUNDUP((V$1)/10,0)*10,[1]Hugst!$R$4:$W$4,0))))</f>
        <v>0</v>
      </c>
      <c r="W257">
        <f>IF($C257-W$1&lt;År1,0,V256*(1-VLOOKUP($A257,[1]Hugst!$R$5:$W$9,MATCH(ROUNDUP((W$1)/10,0)*10,[1]Hugst!$R$4:$W$4,0))))</f>
        <v>0</v>
      </c>
      <c r="X257">
        <f>IF($C257-X$1&lt;År1,0,W256*(1-VLOOKUP($A257,[1]Hugst!$R$5:$W$9,MATCH(ROUNDUP((X$1)/10,0)*10,[1]Hugst!$R$4:$W$4,0))))</f>
        <v>0</v>
      </c>
      <c r="Y257">
        <f>IF($C257-Y$1&lt;År1,0,X256*(1-VLOOKUP($A257,[1]Hugst!$R$5:$W$9,MATCH(ROUNDUP((Y$1)/10,0)*10,[1]Hugst!$R$4:$W$4,0))))</f>
        <v>0</v>
      </c>
      <c r="Z257">
        <f>IF($C257-Z$1&lt;År1,0,Y256*(1-VLOOKUP($A257,[1]Hugst!$R$5:$W$9,MATCH(ROUNDUP((Z$1)/10,0)*10,[1]Hugst!$R$4:$W$4,0))))</f>
        <v>0</v>
      </c>
      <c r="AA257">
        <f>IF($C257-AA$1&lt;År1,0,Z256*(1-VLOOKUP($A257,[1]Hugst!$R$5:$W$9,MATCH(ROUNDUP((AA$1)/10,0)*10,[1]Hugst!$R$4:$W$4,0))))</f>
        <v>0</v>
      </c>
      <c r="AB257">
        <f>IF($C257-AB$1&lt;År1,0,AA256*(1-VLOOKUP($A257,[1]Hugst!$R$5:$W$9,MATCH(ROUNDUP((AB$1)/10,0)*10,[1]Hugst!$R$4:$W$4,0))))</f>
        <v>0</v>
      </c>
      <c r="AC257">
        <f>IF($C257-AC$1&lt;År1,0,AB256*(1-VLOOKUP($A257,[1]Hugst!$R$5:$W$9,MATCH(ROUNDUP((AC$1)/10,0)*10,[1]Hugst!$R$4:$W$4,0))))</f>
        <v>0</v>
      </c>
      <c r="AD257">
        <f>IF($C257-AD$1&lt;År1,0,AC256*(1-VLOOKUP($A257,[1]Hugst!$R$5:$W$9,MATCH(ROUNDUP((AD$1)/10,0)*10,[1]Hugst!$R$4:$W$4,0))))</f>
        <v>0</v>
      </c>
      <c r="AE257">
        <f>IF($C257-AE$1&lt;År1,0,AD256*(1-VLOOKUP($A257,[1]Hugst!$R$5:$W$9,MATCH(ROUNDUP((AE$1)/10,0)*10,[1]Hugst!$R$4:$W$4,0))))</f>
        <v>0</v>
      </c>
      <c r="AF257">
        <f>IF($C257-AF$1&lt;År1,0,AE256*(1-VLOOKUP($A257,[1]Hugst!$R$5:$W$9,MATCH(ROUNDUP((AF$1)/10,0)*10,[1]Hugst!$R$4:$W$4,0))))</f>
        <v>0</v>
      </c>
      <c r="AG257">
        <f>IF($C257-AG$1&lt;År1,0,AF256*(1-VLOOKUP($A257,[1]Hugst!$R$5:$W$9,MATCH(ROUNDUP((AG$1)/10,0)*10,[1]Hugst!$R$4:$W$4,0))))</f>
        <v>0</v>
      </c>
      <c r="AH257">
        <f>IF($C257-AH$1&lt;År1,0,AG256*(1-VLOOKUP($A257,[1]Hugst!$R$5:$W$9,MATCH(ROUNDUP((AH$1)/10,0)*10,[1]Hugst!$R$4:$W$4,0))))</f>
        <v>0</v>
      </c>
      <c r="AI257">
        <f>IF($C257-AI$1&lt;År1,0,AH256*(1-VLOOKUP($A257,[1]Hugst!$R$5:$W$9,MATCH(ROUNDUP((AI$1)/10,0)*10,[1]Hugst!$R$4:$W$4,0))))</f>
        <v>0</v>
      </c>
      <c r="AJ257">
        <f>IF($C257-AJ$1&lt;År1,0,AI256*(1-VLOOKUP($A257,[1]Hugst!$R$5:$W$9,MATCH(ROUNDUP((AJ$1)/10,0)*10,[1]Hugst!$R$4:$W$4,0))))</f>
        <v>0</v>
      </c>
    </row>
    <row r="258" spans="1:36" x14ac:dyDescent="0.25">
      <c r="A258" t="s">
        <v>180</v>
      </c>
      <c r="B258" t="s">
        <v>23</v>
      </c>
      <c r="C258">
        <v>2028</v>
      </c>
      <c r="D25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0</v>
      </c>
      <c r="E258">
        <f t="shared" ca="1" si="6"/>
        <v>0</v>
      </c>
      <c r="F25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>
        <f ca="1">IF($C258-G$1&lt;År1,0,F257*(1-VLOOKUP($A258,[1]Hugst!$R$5:$W$9,MATCH(ROUNDUP((G$1)/10,0)*10,[1]Hugst!$R$4:$W$4,0))))</f>
        <v>0</v>
      </c>
      <c r="H258">
        <f ca="1">IF($C258-H$1&lt;År1,0,G257*(1-VLOOKUP($A258,[1]Hugst!$R$5:$W$9,MATCH(ROUNDUP((H$1)/10,0)*10,[1]Hugst!$R$4:$W$4,0))))</f>
        <v>0</v>
      </c>
      <c r="I258">
        <f ca="1">IF($C258-I$1&lt;År1,0,H257*(1-VLOOKUP($A258,[1]Hugst!$R$5:$W$9,MATCH(ROUNDUP((I$1)/10,0)*10,[1]Hugst!$R$4:$W$4,0))))</f>
        <v>0</v>
      </c>
      <c r="J258">
        <f ca="1">IF($C258-J$1&lt;År1,0,I257*(1-VLOOKUP($A258,[1]Hugst!$R$5:$W$9,MATCH(ROUNDUP((J$1)/10,0)*10,[1]Hugst!$R$4:$W$4,0))))</f>
        <v>0</v>
      </c>
      <c r="K258">
        <f ca="1">IF($C258-K$1&lt;År1,0,J257*(1-VLOOKUP($A258,[1]Hugst!$R$5:$W$9,MATCH(ROUNDUP((K$1)/10,0)*10,[1]Hugst!$R$4:$W$4,0))))</f>
        <v>0</v>
      </c>
      <c r="L258">
        <f ca="1">IF($C258-L$1&lt;År1,0,K257*(1-VLOOKUP($A258,[1]Hugst!$R$5:$W$9,MATCH(ROUNDUP((L$1)/10,0)*10,[1]Hugst!$R$4:$W$4,0))))</f>
        <v>0</v>
      </c>
      <c r="M258">
        <f ca="1">IF($C258-M$1&lt;År1,0,L257*(1-VLOOKUP($A258,[1]Hugst!$R$5:$W$9,MATCH(ROUNDUP((M$1)/10,0)*10,[1]Hugst!$R$4:$W$4,0))))</f>
        <v>0</v>
      </c>
      <c r="N258">
        <f ca="1">IF($C258-N$1&lt;År1,0,M257*(1-VLOOKUP($A258,[1]Hugst!$R$5:$W$9,MATCH(ROUNDUP((N$1)/10,0)*10,[1]Hugst!$R$4:$W$4,0))))</f>
        <v>0</v>
      </c>
      <c r="O258">
        <f>IF($C258-O$1&lt;År1,0,N257*(1-VLOOKUP($A258,[1]Hugst!$R$5:$W$9,MATCH(ROUNDUP((O$1)/10,0)*10,[1]Hugst!$R$4:$W$4,0))))</f>
        <v>0</v>
      </c>
      <c r="P258">
        <f>IF($C258-P$1&lt;År1,0,O257*(1-VLOOKUP($A258,[1]Hugst!$R$5:$W$9,MATCH(ROUNDUP((P$1)/10,0)*10,[1]Hugst!$R$4:$W$4,0))))</f>
        <v>0</v>
      </c>
      <c r="Q258">
        <f>IF($C258-Q$1&lt;År1,0,P257*(1-VLOOKUP($A258,[1]Hugst!$R$5:$W$9,MATCH(ROUNDUP((Q$1)/10,0)*10,[1]Hugst!$R$4:$W$4,0))))</f>
        <v>0</v>
      </c>
      <c r="R258">
        <f>IF($C258-R$1&lt;År1,0,Q257*(1-VLOOKUP($A258,[1]Hugst!$R$5:$W$9,MATCH(ROUNDUP((R$1)/10,0)*10,[1]Hugst!$R$4:$W$4,0))))</f>
        <v>0</v>
      </c>
      <c r="S258">
        <f>IF($C258-S$1&lt;År1,0,R257*(1-VLOOKUP($A258,[1]Hugst!$R$5:$W$9,MATCH(ROUNDUP((S$1)/10,0)*10,[1]Hugst!$R$4:$W$4,0))))</f>
        <v>0</v>
      </c>
      <c r="T258">
        <f>IF($C258-T$1&lt;År1,0,S257*(1-VLOOKUP($A258,[1]Hugst!$R$5:$W$9,MATCH(ROUNDUP((T$1)/10,0)*10,[1]Hugst!$R$4:$W$4,0))))</f>
        <v>0</v>
      </c>
      <c r="U258">
        <f>IF($C258-U$1&lt;År1,0,T257*(1-VLOOKUP($A258,[1]Hugst!$R$5:$W$9,MATCH(ROUNDUP((U$1)/10,0)*10,[1]Hugst!$R$4:$W$4,0))))</f>
        <v>0</v>
      </c>
      <c r="V258">
        <f>IF($C258-V$1&lt;År1,0,U257*(1-VLOOKUP($A258,[1]Hugst!$R$5:$W$9,MATCH(ROUNDUP((V$1)/10,0)*10,[1]Hugst!$R$4:$W$4,0))))</f>
        <v>0</v>
      </c>
      <c r="W258">
        <f>IF($C258-W$1&lt;År1,0,V257*(1-VLOOKUP($A258,[1]Hugst!$R$5:$W$9,MATCH(ROUNDUP((W$1)/10,0)*10,[1]Hugst!$R$4:$W$4,0))))</f>
        <v>0</v>
      </c>
      <c r="X258">
        <f>IF($C258-X$1&lt;År1,0,W257*(1-VLOOKUP($A258,[1]Hugst!$R$5:$W$9,MATCH(ROUNDUP((X$1)/10,0)*10,[1]Hugst!$R$4:$W$4,0))))</f>
        <v>0</v>
      </c>
      <c r="Y258">
        <f>IF($C258-Y$1&lt;År1,0,X257*(1-VLOOKUP($A258,[1]Hugst!$R$5:$W$9,MATCH(ROUNDUP((Y$1)/10,0)*10,[1]Hugst!$R$4:$W$4,0))))</f>
        <v>0</v>
      </c>
      <c r="Z258">
        <f>IF($C258-Z$1&lt;År1,0,Y257*(1-VLOOKUP($A258,[1]Hugst!$R$5:$W$9,MATCH(ROUNDUP((Z$1)/10,0)*10,[1]Hugst!$R$4:$W$4,0))))</f>
        <v>0</v>
      </c>
      <c r="AA258">
        <f>IF($C258-AA$1&lt;År1,0,Z257*(1-VLOOKUP($A258,[1]Hugst!$R$5:$W$9,MATCH(ROUNDUP((AA$1)/10,0)*10,[1]Hugst!$R$4:$W$4,0))))</f>
        <v>0</v>
      </c>
      <c r="AB258">
        <f>IF($C258-AB$1&lt;År1,0,AA257*(1-VLOOKUP($A258,[1]Hugst!$R$5:$W$9,MATCH(ROUNDUP((AB$1)/10,0)*10,[1]Hugst!$R$4:$W$4,0))))</f>
        <v>0</v>
      </c>
      <c r="AC258">
        <f>IF($C258-AC$1&lt;År1,0,AB257*(1-VLOOKUP($A258,[1]Hugst!$R$5:$W$9,MATCH(ROUNDUP((AC$1)/10,0)*10,[1]Hugst!$R$4:$W$4,0))))</f>
        <v>0</v>
      </c>
      <c r="AD258">
        <f>IF($C258-AD$1&lt;År1,0,AC257*(1-VLOOKUP($A258,[1]Hugst!$R$5:$W$9,MATCH(ROUNDUP((AD$1)/10,0)*10,[1]Hugst!$R$4:$W$4,0))))</f>
        <v>0</v>
      </c>
      <c r="AE258">
        <f>IF($C258-AE$1&lt;År1,0,AD257*(1-VLOOKUP($A258,[1]Hugst!$R$5:$W$9,MATCH(ROUNDUP((AE$1)/10,0)*10,[1]Hugst!$R$4:$W$4,0))))</f>
        <v>0</v>
      </c>
      <c r="AF258">
        <f>IF($C258-AF$1&lt;År1,0,AE257*(1-VLOOKUP($A258,[1]Hugst!$R$5:$W$9,MATCH(ROUNDUP((AF$1)/10,0)*10,[1]Hugst!$R$4:$W$4,0))))</f>
        <v>0</v>
      </c>
      <c r="AG258">
        <f>IF($C258-AG$1&lt;År1,0,AF257*(1-VLOOKUP($A258,[1]Hugst!$R$5:$W$9,MATCH(ROUNDUP((AG$1)/10,0)*10,[1]Hugst!$R$4:$W$4,0))))</f>
        <v>0</v>
      </c>
      <c r="AH258">
        <f>IF($C258-AH$1&lt;År1,0,AG257*(1-VLOOKUP($A258,[1]Hugst!$R$5:$W$9,MATCH(ROUNDUP((AH$1)/10,0)*10,[1]Hugst!$R$4:$W$4,0))))</f>
        <v>0</v>
      </c>
      <c r="AI258">
        <f>IF($C258-AI$1&lt;År1,0,AH257*(1-VLOOKUP($A258,[1]Hugst!$R$5:$W$9,MATCH(ROUNDUP((AI$1)/10,0)*10,[1]Hugst!$R$4:$W$4,0))))</f>
        <v>0</v>
      </c>
      <c r="AJ258">
        <f>IF($C258-AJ$1&lt;År1,0,AI257*(1-VLOOKUP($A258,[1]Hugst!$R$5:$W$9,MATCH(ROUNDUP((AJ$1)/10,0)*10,[1]Hugst!$R$4:$W$4,0))))</f>
        <v>0</v>
      </c>
    </row>
    <row r="259" spans="1:36" x14ac:dyDescent="0.25">
      <c r="A259" t="s">
        <v>180</v>
      </c>
      <c r="B259" t="s">
        <v>23</v>
      </c>
      <c r="C259">
        <v>2029</v>
      </c>
      <c r="D259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0</v>
      </c>
      <c r="E259">
        <f t="shared" ca="1" si="6"/>
        <v>0</v>
      </c>
      <c r="F25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>
        <f ca="1">IF($C259-G$1&lt;År1,0,F258*(1-VLOOKUP($A259,[1]Hugst!$R$5:$W$9,MATCH(ROUNDUP((G$1)/10,0)*10,[1]Hugst!$R$4:$W$4,0))))</f>
        <v>0</v>
      </c>
      <c r="H259">
        <f ca="1">IF($C259-H$1&lt;År1,0,G258*(1-VLOOKUP($A259,[1]Hugst!$R$5:$W$9,MATCH(ROUNDUP((H$1)/10,0)*10,[1]Hugst!$R$4:$W$4,0))))</f>
        <v>0</v>
      </c>
      <c r="I259">
        <f ca="1">IF($C259-I$1&lt;År1,0,H258*(1-VLOOKUP($A259,[1]Hugst!$R$5:$W$9,MATCH(ROUNDUP((I$1)/10,0)*10,[1]Hugst!$R$4:$W$4,0))))</f>
        <v>0</v>
      </c>
      <c r="J259">
        <f ca="1">IF($C259-J$1&lt;År1,0,I258*(1-VLOOKUP($A259,[1]Hugst!$R$5:$W$9,MATCH(ROUNDUP((J$1)/10,0)*10,[1]Hugst!$R$4:$W$4,0))))</f>
        <v>0</v>
      </c>
      <c r="K259">
        <f ca="1">IF($C259-K$1&lt;År1,0,J258*(1-VLOOKUP($A259,[1]Hugst!$R$5:$W$9,MATCH(ROUNDUP((K$1)/10,0)*10,[1]Hugst!$R$4:$W$4,0))))</f>
        <v>0</v>
      </c>
      <c r="L259">
        <f ca="1">IF($C259-L$1&lt;År1,0,K258*(1-VLOOKUP($A259,[1]Hugst!$R$5:$W$9,MATCH(ROUNDUP((L$1)/10,0)*10,[1]Hugst!$R$4:$W$4,0))))</f>
        <v>0</v>
      </c>
      <c r="M259">
        <f ca="1">IF($C259-M$1&lt;År1,0,L258*(1-VLOOKUP($A259,[1]Hugst!$R$5:$W$9,MATCH(ROUNDUP((M$1)/10,0)*10,[1]Hugst!$R$4:$W$4,0))))</f>
        <v>0</v>
      </c>
      <c r="N259">
        <f ca="1">IF($C259-N$1&lt;År1,0,M258*(1-VLOOKUP($A259,[1]Hugst!$R$5:$W$9,MATCH(ROUNDUP((N$1)/10,0)*10,[1]Hugst!$R$4:$W$4,0))))</f>
        <v>0</v>
      </c>
      <c r="O259">
        <f ca="1">IF($C259-O$1&lt;År1,0,N258*(1-VLOOKUP($A259,[1]Hugst!$R$5:$W$9,MATCH(ROUNDUP((O$1)/10,0)*10,[1]Hugst!$R$4:$W$4,0))))</f>
        <v>0</v>
      </c>
      <c r="P259">
        <f>IF($C259-P$1&lt;År1,0,O258*(1-VLOOKUP($A259,[1]Hugst!$R$5:$W$9,MATCH(ROUNDUP((P$1)/10,0)*10,[1]Hugst!$R$4:$W$4,0))))</f>
        <v>0</v>
      </c>
      <c r="Q259">
        <f>IF($C259-Q$1&lt;År1,0,P258*(1-VLOOKUP($A259,[1]Hugst!$R$5:$W$9,MATCH(ROUNDUP((Q$1)/10,0)*10,[1]Hugst!$R$4:$W$4,0))))</f>
        <v>0</v>
      </c>
      <c r="R259">
        <f>IF($C259-R$1&lt;År1,0,Q258*(1-VLOOKUP($A259,[1]Hugst!$R$5:$W$9,MATCH(ROUNDUP((R$1)/10,0)*10,[1]Hugst!$R$4:$W$4,0))))</f>
        <v>0</v>
      </c>
      <c r="S259">
        <f>IF($C259-S$1&lt;År1,0,R258*(1-VLOOKUP($A259,[1]Hugst!$R$5:$W$9,MATCH(ROUNDUP((S$1)/10,0)*10,[1]Hugst!$R$4:$W$4,0))))</f>
        <v>0</v>
      </c>
      <c r="T259">
        <f>IF($C259-T$1&lt;År1,0,S258*(1-VLOOKUP($A259,[1]Hugst!$R$5:$W$9,MATCH(ROUNDUP((T$1)/10,0)*10,[1]Hugst!$R$4:$W$4,0))))</f>
        <v>0</v>
      </c>
      <c r="U259">
        <f>IF($C259-U$1&lt;År1,0,T258*(1-VLOOKUP($A259,[1]Hugst!$R$5:$W$9,MATCH(ROUNDUP((U$1)/10,0)*10,[1]Hugst!$R$4:$W$4,0))))</f>
        <v>0</v>
      </c>
      <c r="V259">
        <f>IF($C259-V$1&lt;År1,0,U258*(1-VLOOKUP($A259,[1]Hugst!$R$5:$W$9,MATCH(ROUNDUP((V$1)/10,0)*10,[1]Hugst!$R$4:$W$4,0))))</f>
        <v>0</v>
      </c>
      <c r="W259">
        <f>IF($C259-W$1&lt;År1,0,V258*(1-VLOOKUP($A259,[1]Hugst!$R$5:$W$9,MATCH(ROUNDUP((W$1)/10,0)*10,[1]Hugst!$R$4:$W$4,0))))</f>
        <v>0</v>
      </c>
      <c r="X259">
        <f>IF($C259-X$1&lt;År1,0,W258*(1-VLOOKUP($A259,[1]Hugst!$R$5:$W$9,MATCH(ROUNDUP((X$1)/10,0)*10,[1]Hugst!$R$4:$W$4,0))))</f>
        <v>0</v>
      </c>
      <c r="Y259">
        <f>IF($C259-Y$1&lt;År1,0,X258*(1-VLOOKUP($A259,[1]Hugst!$R$5:$W$9,MATCH(ROUNDUP((Y$1)/10,0)*10,[1]Hugst!$R$4:$W$4,0))))</f>
        <v>0</v>
      </c>
      <c r="Z259">
        <f>IF($C259-Z$1&lt;År1,0,Y258*(1-VLOOKUP($A259,[1]Hugst!$R$5:$W$9,MATCH(ROUNDUP((Z$1)/10,0)*10,[1]Hugst!$R$4:$W$4,0))))</f>
        <v>0</v>
      </c>
      <c r="AA259">
        <f>IF($C259-AA$1&lt;År1,0,Z258*(1-VLOOKUP($A259,[1]Hugst!$R$5:$W$9,MATCH(ROUNDUP((AA$1)/10,0)*10,[1]Hugst!$R$4:$W$4,0))))</f>
        <v>0</v>
      </c>
      <c r="AB259">
        <f>IF($C259-AB$1&lt;År1,0,AA258*(1-VLOOKUP($A259,[1]Hugst!$R$5:$W$9,MATCH(ROUNDUP((AB$1)/10,0)*10,[1]Hugst!$R$4:$W$4,0))))</f>
        <v>0</v>
      </c>
      <c r="AC259">
        <f>IF($C259-AC$1&lt;År1,0,AB258*(1-VLOOKUP($A259,[1]Hugst!$R$5:$W$9,MATCH(ROUNDUP((AC$1)/10,0)*10,[1]Hugst!$R$4:$W$4,0))))</f>
        <v>0</v>
      </c>
      <c r="AD259">
        <f>IF($C259-AD$1&lt;År1,0,AC258*(1-VLOOKUP($A259,[1]Hugst!$R$5:$W$9,MATCH(ROUNDUP((AD$1)/10,0)*10,[1]Hugst!$R$4:$W$4,0))))</f>
        <v>0</v>
      </c>
      <c r="AE259">
        <f>IF($C259-AE$1&lt;År1,0,AD258*(1-VLOOKUP($A259,[1]Hugst!$R$5:$W$9,MATCH(ROUNDUP((AE$1)/10,0)*10,[1]Hugst!$R$4:$W$4,0))))</f>
        <v>0</v>
      </c>
      <c r="AF259">
        <f>IF($C259-AF$1&lt;År1,0,AE258*(1-VLOOKUP($A259,[1]Hugst!$R$5:$W$9,MATCH(ROUNDUP((AF$1)/10,0)*10,[1]Hugst!$R$4:$W$4,0))))</f>
        <v>0</v>
      </c>
      <c r="AG259">
        <f>IF($C259-AG$1&lt;År1,0,AF258*(1-VLOOKUP($A259,[1]Hugst!$R$5:$W$9,MATCH(ROUNDUP((AG$1)/10,0)*10,[1]Hugst!$R$4:$W$4,0))))</f>
        <v>0</v>
      </c>
      <c r="AH259">
        <f>IF($C259-AH$1&lt;År1,0,AG258*(1-VLOOKUP($A259,[1]Hugst!$R$5:$W$9,MATCH(ROUNDUP((AH$1)/10,0)*10,[1]Hugst!$R$4:$W$4,0))))</f>
        <v>0</v>
      </c>
      <c r="AI259">
        <f>IF($C259-AI$1&lt;År1,0,AH258*(1-VLOOKUP($A259,[1]Hugst!$R$5:$W$9,MATCH(ROUNDUP((AI$1)/10,0)*10,[1]Hugst!$R$4:$W$4,0))))</f>
        <v>0</v>
      </c>
      <c r="AJ259">
        <f>IF($C259-AJ$1&lt;År1,0,AI258*(1-VLOOKUP($A259,[1]Hugst!$R$5:$W$9,MATCH(ROUNDUP((AJ$1)/10,0)*10,[1]Hugst!$R$4:$W$4,0))))</f>
        <v>0</v>
      </c>
    </row>
    <row r="260" spans="1:36" x14ac:dyDescent="0.25">
      <c r="A260" t="s">
        <v>180</v>
      </c>
      <c r="B260" t="s">
        <v>23</v>
      </c>
      <c r="C260">
        <v>2030</v>
      </c>
      <c r="D260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0</v>
      </c>
      <c r="E260">
        <f t="shared" ca="1" si="6"/>
        <v>0</v>
      </c>
      <c r="F260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>
        <f ca="1">IF($C260-G$1&lt;År1,0,F259*(1-VLOOKUP($A260,[1]Hugst!$R$5:$W$9,MATCH(ROUNDUP((G$1)/10,0)*10,[1]Hugst!$R$4:$W$4,0))))</f>
        <v>0</v>
      </c>
      <c r="H260">
        <f ca="1">IF($C260-H$1&lt;År1,0,G259*(1-VLOOKUP($A260,[1]Hugst!$R$5:$W$9,MATCH(ROUNDUP((H$1)/10,0)*10,[1]Hugst!$R$4:$W$4,0))))</f>
        <v>0</v>
      </c>
      <c r="I260">
        <f ca="1">IF($C260-I$1&lt;År1,0,H259*(1-VLOOKUP($A260,[1]Hugst!$R$5:$W$9,MATCH(ROUNDUP((I$1)/10,0)*10,[1]Hugst!$R$4:$W$4,0))))</f>
        <v>0</v>
      </c>
      <c r="J260">
        <f ca="1">IF($C260-J$1&lt;År1,0,I259*(1-VLOOKUP($A260,[1]Hugst!$R$5:$W$9,MATCH(ROUNDUP((J$1)/10,0)*10,[1]Hugst!$R$4:$W$4,0))))</f>
        <v>0</v>
      </c>
      <c r="K260">
        <f ca="1">IF($C260-K$1&lt;År1,0,J259*(1-VLOOKUP($A260,[1]Hugst!$R$5:$W$9,MATCH(ROUNDUP((K$1)/10,0)*10,[1]Hugst!$R$4:$W$4,0))))</f>
        <v>0</v>
      </c>
      <c r="L260">
        <f ca="1">IF($C260-L$1&lt;År1,0,K259*(1-VLOOKUP($A260,[1]Hugst!$R$5:$W$9,MATCH(ROUNDUP((L$1)/10,0)*10,[1]Hugst!$R$4:$W$4,0))))</f>
        <v>0</v>
      </c>
      <c r="M260">
        <f ca="1">IF($C260-M$1&lt;År1,0,L259*(1-VLOOKUP($A260,[1]Hugst!$R$5:$W$9,MATCH(ROUNDUP((M$1)/10,0)*10,[1]Hugst!$R$4:$W$4,0))))</f>
        <v>0</v>
      </c>
      <c r="N260">
        <f ca="1">IF($C260-N$1&lt;År1,0,M259*(1-VLOOKUP($A260,[1]Hugst!$R$5:$W$9,MATCH(ROUNDUP((N$1)/10,0)*10,[1]Hugst!$R$4:$W$4,0))))</f>
        <v>0</v>
      </c>
      <c r="O260">
        <f ca="1">IF($C260-O$1&lt;År1,0,N259*(1-VLOOKUP($A260,[1]Hugst!$R$5:$W$9,MATCH(ROUNDUP((O$1)/10,0)*10,[1]Hugst!$R$4:$W$4,0))))</f>
        <v>0</v>
      </c>
      <c r="P260">
        <f ca="1">IF($C260-P$1&lt;År1,0,O259*(1-VLOOKUP($A260,[1]Hugst!$R$5:$W$9,MATCH(ROUNDUP((P$1)/10,0)*10,[1]Hugst!$R$4:$W$4,0))))</f>
        <v>0</v>
      </c>
      <c r="Q260">
        <f>IF($C260-Q$1&lt;År1,0,P259*(1-VLOOKUP($A260,[1]Hugst!$R$5:$W$9,MATCH(ROUNDUP((Q$1)/10,0)*10,[1]Hugst!$R$4:$W$4,0))))</f>
        <v>0</v>
      </c>
      <c r="R260">
        <f>IF($C260-R$1&lt;År1,0,Q259*(1-VLOOKUP($A260,[1]Hugst!$R$5:$W$9,MATCH(ROUNDUP((R$1)/10,0)*10,[1]Hugst!$R$4:$W$4,0))))</f>
        <v>0</v>
      </c>
      <c r="S260">
        <f>IF($C260-S$1&lt;År1,0,R259*(1-VLOOKUP($A260,[1]Hugst!$R$5:$W$9,MATCH(ROUNDUP((S$1)/10,0)*10,[1]Hugst!$R$4:$W$4,0))))</f>
        <v>0</v>
      </c>
      <c r="T260">
        <f>IF($C260-T$1&lt;År1,0,S259*(1-VLOOKUP($A260,[1]Hugst!$R$5:$W$9,MATCH(ROUNDUP((T$1)/10,0)*10,[1]Hugst!$R$4:$W$4,0))))</f>
        <v>0</v>
      </c>
      <c r="U260">
        <f>IF($C260-U$1&lt;År1,0,T259*(1-VLOOKUP($A260,[1]Hugst!$R$5:$W$9,MATCH(ROUNDUP((U$1)/10,0)*10,[1]Hugst!$R$4:$W$4,0))))</f>
        <v>0</v>
      </c>
      <c r="V260">
        <f>IF($C260-V$1&lt;År1,0,U259*(1-VLOOKUP($A260,[1]Hugst!$R$5:$W$9,MATCH(ROUNDUP((V$1)/10,0)*10,[1]Hugst!$R$4:$W$4,0))))</f>
        <v>0</v>
      </c>
      <c r="W260">
        <f>IF($C260-W$1&lt;År1,0,V259*(1-VLOOKUP($A260,[1]Hugst!$R$5:$W$9,MATCH(ROUNDUP((W$1)/10,0)*10,[1]Hugst!$R$4:$W$4,0))))</f>
        <v>0</v>
      </c>
      <c r="X260">
        <f>IF($C260-X$1&lt;År1,0,W259*(1-VLOOKUP($A260,[1]Hugst!$R$5:$W$9,MATCH(ROUNDUP((X$1)/10,0)*10,[1]Hugst!$R$4:$W$4,0))))</f>
        <v>0</v>
      </c>
      <c r="Y260">
        <f>IF($C260-Y$1&lt;År1,0,X259*(1-VLOOKUP($A260,[1]Hugst!$R$5:$W$9,MATCH(ROUNDUP((Y$1)/10,0)*10,[1]Hugst!$R$4:$W$4,0))))</f>
        <v>0</v>
      </c>
      <c r="Z260">
        <f>IF($C260-Z$1&lt;År1,0,Y259*(1-VLOOKUP($A260,[1]Hugst!$R$5:$W$9,MATCH(ROUNDUP((Z$1)/10,0)*10,[1]Hugst!$R$4:$W$4,0))))</f>
        <v>0</v>
      </c>
      <c r="AA260">
        <f>IF($C260-AA$1&lt;År1,0,Z259*(1-VLOOKUP($A260,[1]Hugst!$R$5:$W$9,MATCH(ROUNDUP((AA$1)/10,0)*10,[1]Hugst!$R$4:$W$4,0))))</f>
        <v>0</v>
      </c>
      <c r="AB260">
        <f>IF($C260-AB$1&lt;År1,0,AA259*(1-VLOOKUP($A260,[1]Hugst!$R$5:$W$9,MATCH(ROUNDUP((AB$1)/10,0)*10,[1]Hugst!$R$4:$W$4,0))))</f>
        <v>0</v>
      </c>
      <c r="AC260">
        <f>IF($C260-AC$1&lt;År1,0,AB259*(1-VLOOKUP($A260,[1]Hugst!$R$5:$W$9,MATCH(ROUNDUP((AC$1)/10,0)*10,[1]Hugst!$R$4:$W$4,0))))</f>
        <v>0</v>
      </c>
      <c r="AD260">
        <f>IF($C260-AD$1&lt;År1,0,AC259*(1-VLOOKUP($A260,[1]Hugst!$R$5:$W$9,MATCH(ROUNDUP((AD$1)/10,0)*10,[1]Hugst!$R$4:$W$4,0))))</f>
        <v>0</v>
      </c>
      <c r="AE260">
        <f>IF($C260-AE$1&lt;År1,0,AD259*(1-VLOOKUP($A260,[1]Hugst!$R$5:$W$9,MATCH(ROUNDUP((AE$1)/10,0)*10,[1]Hugst!$R$4:$W$4,0))))</f>
        <v>0</v>
      </c>
      <c r="AF260">
        <f>IF($C260-AF$1&lt;År1,0,AE259*(1-VLOOKUP($A260,[1]Hugst!$R$5:$W$9,MATCH(ROUNDUP((AF$1)/10,0)*10,[1]Hugst!$R$4:$W$4,0))))</f>
        <v>0</v>
      </c>
      <c r="AG260">
        <f>IF($C260-AG$1&lt;År1,0,AF259*(1-VLOOKUP($A260,[1]Hugst!$R$5:$W$9,MATCH(ROUNDUP((AG$1)/10,0)*10,[1]Hugst!$R$4:$W$4,0))))</f>
        <v>0</v>
      </c>
      <c r="AH260">
        <f>IF($C260-AH$1&lt;År1,0,AG259*(1-VLOOKUP($A260,[1]Hugst!$R$5:$W$9,MATCH(ROUNDUP((AH$1)/10,0)*10,[1]Hugst!$R$4:$W$4,0))))</f>
        <v>0</v>
      </c>
      <c r="AI260">
        <f>IF($C260-AI$1&lt;År1,0,AH259*(1-VLOOKUP($A260,[1]Hugst!$R$5:$W$9,MATCH(ROUNDUP((AI$1)/10,0)*10,[1]Hugst!$R$4:$W$4,0))))</f>
        <v>0</v>
      </c>
      <c r="AJ260">
        <f>IF($C260-AJ$1&lt;År1,0,AI259*(1-VLOOKUP($A260,[1]Hugst!$R$5:$W$9,MATCH(ROUNDUP((AJ$1)/10,0)*10,[1]Hugst!$R$4:$W$4,0))))</f>
        <v>0</v>
      </c>
    </row>
    <row r="261" spans="1:36" x14ac:dyDescent="0.25">
      <c r="A261" t="s">
        <v>180</v>
      </c>
      <c r="B261" t="s">
        <v>23</v>
      </c>
      <c r="C261">
        <v>2031</v>
      </c>
      <c r="D261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0</v>
      </c>
      <c r="E261">
        <f t="shared" ca="1" si="6"/>
        <v>0</v>
      </c>
      <c r="F261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>
        <f ca="1">IF($C261-G$1&lt;År1,0,F260*(1-VLOOKUP($A261,[1]Hugst!$R$5:$W$9,MATCH(ROUNDUP((G$1)/10,0)*10,[1]Hugst!$R$4:$W$4,0))))</f>
        <v>0</v>
      </c>
      <c r="H261">
        <f ca="1">IF($C261-H$1&lt;År1,0,G260*(1-VLOOKUP($A261,[1]Hugst!$R$5:$W$9,MATCH(ROUNDUP((H$1)/10,0)*10,[1]Hugst!$R$4:$W$4,0))))</f>
        <v>0</v>
      </c>
      <c r="I261">
        <f ca="1">IF($C261-I$1&lt;År1,0,H260*(1-VLOOKUP($A261,[1]Hugst!$R$5:$W$9,MATCH(ROUNDUP((I$1)/10,0)*10,[1]Hugst!$R$4:$W$4,0))))</f>
        <v>0</v>
      </c>
      <c r="J261">
        <f ca="1">IF($C261-J$1&lt;År1,0,I260*(1-VLOOKUP($A261,[1]Hugst!$R$5:$W$9,MATCH(ROUNDUP((J$1)/10,0)*10,[1]Hugst!$R$4:$W$4,0))))</f>
        <v>0</v>
      </c>
      <c r="K261">
        <f ca="1">IF($C261-K$1&lt;År1,0,J260*(1-VLOOKUP($A261,[1]Hugst!$R$5:$W$9,MATCH(ROUNDUP((K$1)/10,0)*10,[1]Hugst!$R$4:$W$4,0))))</f>
        <v>0</v>
      </c>
      <c r="L261">
        <f ca="1">IF($C261-L$1&lt;År1,0,K260*(1-VLOOKUP($A261,[1]Hugst!$R$5:$W$9,MATCH(ROUNDUP((L$1)/10,0)*10,[1]Hugst!$R$4:$W$4,0))))</f>
        <v>0</v>
      </c>
      <c r="M261">
        <f ca="1">IF($C261-M$1&lt;År1,0,L260*(1-VLOOKUP($A261,[1]Hugst!$R$5:$W$9,MATCH(ROUNDUP((M$1)/10,0)*10,[1]Hugst!$R$4:$W$4,0))))</f>
        <v>0</v>
      </c>
      <c r="N261">
        <f ca="1">IF($C261-N$1&lt;År1,0,M260*(1-VLOOKUP($A261,[1]Hugst!$R$5:$W$9,MATCH(ROUNDUP((N$1)/10,0)*10,[1]Hugst!$R$4:$W$4,0))))</f>
        <v>0</v>
      </c>
      <c r="O261">
        <f ca="1">IF($C261-O$1&lt;År1,0,N260*(1-VLOOKUP($A261,[1]Hugst!$R$5:$W$9,MATCH(ROUNDUP((O$1)/10,0)*10,[1]Hugst!$R$4:$W$4,0))))</f>
        <v>0</v>
      </c>
      <c r="P261">
        <f ca="1">IF($C261-P$1&lt;År1,0,O260*(1-VLOOKUP($A261,[1]Hugst!$R$5:$W$9,MATCH(ROUNDUP((P$1)/10,0)*10,[1]Hugst!$R$4:$W$4,0))))</f>
        <v>0</v>
      </c>
      <c r="Q261">
        <f ca="1">IF($C261-Q$1&lt;År1,0,P260*(1-VLOOKUP($A261,[1]Hugst!$R$5:$W$9,MATCH(ROUNDUP((Q$1)/10,0)*10,[1]Hugst!$R$4:$W$4,0))))</f>
        <v>0</v>
      </c>
      <c r="R261">
        <f>IF($C261-R$1&lt;År1,0,Q260*(1-VLOOKUP($A261,[1]Hugst!$R$5:$W$9,MATCH(ROUNDUP((R$1)/10,0)*10,[1]Hugst!$R$4:$W$4,0))))</f>
        <v>0</v>
      </c>
      <c r="S261">
        <f>IF($C261-S$1&lt;År1,0,R260*(1-VLOOKUP($A261,[1]Hugst!$R$5:$W$9,MATCH(ROUNDUP((S$1)/10,0)*10,[1]Hugst!$R$4:$W$4,0))))</f>
        <v>0</v>
      </c>
      <c r="T261">
        <f>IF($C261-T$1&lt;År1,0,S260*(1-VLOOKUP($A261,[1]Hugst!$R$5:$W$9,MATCH(ROUNDUP((T$1)/10,0)*10,[1]Hugst!$R$4:$W$4,0))))</f>
        <v>0</v>
      </c>
      <c r="U261">
        <f>IF($C261-U$1&lt;År1,0,T260*(1-VLOOKUP($A261,[1]Hugst!$R$5:$W$9,MATCH(ROUNDUP((U$1)/10,0)*10,[1]Hugst!$R$4:$W$4,0))))</f>
        <v>0</v>
      </c>
      <c r="V261">
        <f>IF($C261-V$1&lt;År1,0,U260*(1-VLOOKUP($A261,[1]Hugst!$R$5:$W$9,MATCH(ROUNDUP((V$1)/10,0)*10,[1]Hugst!$R$4:$W$4,0))))</f>
        <v>0</v>
      </c>
      <c r="W261">
        <f>IF($C261-W$1&lt;År1,0,V260*(1-VLOOKUP($A261,[1]Hugst!$R$5:$W$9,MATCH(ROUNDUP((W$1)/10,0)*10,[1]Hugst!$R$4:$W$4,0))))</f>
        <v>0</v>
      </c>
      <c r="X261">
        <f>IF($C261-X$1&lt;År1,0,W260*(1-VLOOKUP($A261,[1]Hugst!$R$5:$W$9,MATCH(ROUNDUP((X$1)/10,0)*10,[1]Hugst!$R$4:$W$4,0))))</f>
        <v>0</v>
      </c>
      <c r="Y261">
        <f>IF($C261-Y$1&lt;År1,0,X260*(1-VLOOKUP($A261,[1]Hugst!$R$5:$W$9,MATCH(ROUNDUP((Y$1)/10,0)*10,[1]Hugst!$R$4:$W$4,0))))</f>
        <v>0</v>
      </c>
      <c r="Z261">
        <f>IF($C261-Z$1&lt;År1,0,Y260*(1-VLOOKUP($A261,[1]Hugst!$R$5:$W$9,MATCH(ROUNDUP((Z$1)/10,0)*10,[1]Hugst!$R$4:$W$4,0))))</f>
        <v>0</v>
      </c>
      <c r="AA261">
        <f>IF($C261-AA$1&lt;År1,0,Z260*(1-VLOOKUP($A261,[1]Hugst!$R$5:$W$9,MATCH(ROUNDUP((AA$1)/10,0)*10,[1]Hugst!$R$4:$W$4,0))))</f>
        <v>0</v>
      </c>
      <c r="AB261">
        <f>IF($C261-AB$1&lt;År1,0,AA260*(1-VLOOKUP($A261,[1]Hugst!$R$5:$W$9,MATCH(ROUNDUP((AB$1)/10,0)*10,[1]Hugst!$R$4:$W$4,0))))</f>
        <v>0</v>
      </c>
      <c r="AC261">
        <f>IF($C261-AC$1&lt;År1,0,AB260*(1-VLOOKUP($A261,[1]Hugst!$R$5:$W$9,MATCH(ROUNDUP((AC$1)/10,0)*10,[1]Hugst!$R$4:$W$4,0))))</f>
        <v>0</v>
      </c>
      <c r="AD261">
        <f>IF($C261-AD$1&lt;År1,0,AC260*(1-VLOOKUP($A261,[1]Hugst!$R$5:$W$9,MATCH(ROUNDUP((AD$1)/10,0)*10,[1]Hugst!$R$4:$W$4,0))))</f>
        <v>0</v>
      </c>
      <c r="AE261">
        <f>IF($C261-AE$1&lt;År1,0,AD260*(1-VLOOKUP($A261,[1]Hugst!$R$5:$W$9,MATCH(ROUNDUP((AE$1)/10,0)*10,[1]Hugst!$R$4:$W$4,0))))</f>
        <v>0</v>
      </c>
      <c r="AF261">
        <f>IF($C261-AF$1&lt;År1,0,AE260*(1-VLOOKUP($A261,[1]Hugst!$R$5:$W$9,MATCH(ROUNDUP((AF$1)/10,0)*10,[1]Hugst!$R$4:$W$4,0))))</f>
        <v>0</v>
      </c>
      <c r="AG261">
        <f>IF($C261-AG$1&lt;År1,0,AF260*(1-VLOOKUP($A261,[1]Hugst!$R$5:$W$9,MATCH(ROUNDUP((AG$1)/10,0)*10,[1]Hugst!$R$4:$W$4,0))))</f>
        <v>0</v>
      </c>
      <c r="AH261">
        <f>IF($C261-AH$1&lt;År1,0,AG260*(1-VLOOKUP($A261,[1]Hugst!$R$5:$W$9,MATCH(ROUNDUP((AH$1)/10,0)*10,[1]Hugst!$R$4:$W$4,0))))</f>
        <v>0</v>
      </c>
      <c r="AI261">
        <f>IF($C261-AI$1&lt;År1,0,AH260*(1-VLOOKUP($A261,[1]Hugst!$R$5:$W$9,MATCH(ROUNDUP((AI$1)/10,0)*10,[1]Hugst!$R$4:$W$4,0))))</f>
        <v>0</v>
      </c>
      <c r="AJ261">
        <f>IF($C261-AJ$1&lt;År1,0,AI260*(1-VLOOKUP($A261,[1]Hugst!$R$5:$W$9,MATCH(ROUNDUP((AJ$1)/10,0)*10,[1]Hugst!$R$4:$W$4,0))))</f>
        <v>0</v>
      </c>
    </row>
    <row r="262" spans="1:36" x14ac:dyDescent="0.25">
      <c r="A262" t="s">
        <v>180</v>
      </c>
      <c r="B262" t="s">
        <v>23</v>
      </c>
      <c r="C262">
        <v>2032</v>
      </c>
      <c r="D262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0</v>
      </c>
      <c r="E262">
        <f t="shared" ca="1" si="6"/>
        <v>0</v>
      </c>
      <c r="F262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>
        <f ca="1">IF($C262-G$1&lt;År1,0,F261*(1-VLOOKUP($A262,[1]Hugst!$R$5:$W$9,MATCH(ROUNDUP((G$1)/10,0)*10,[1]Hugst!$R$4:$W$4,0))))</f>
        <v>0</v>
      </c>
      <c r="H262">
        <f ca="1">IF($C262-H$1&lt;År1,0,G261*(1-VLOOKUP($A262,[1]Hugst!$R$5:$W$9,MATCH(ROUNDUP((H$1)/10,0)*10,[1]Hugst!$R$4:$W$4,0))))</f>
        <v>0</v>
      </c>
      <c r="I262">
        <f ca="1">IF($C262-I$1&lt;År1,0,H261*(1-VLOOKUP($A262,[1]Hugst!$R$5:$W$9,MATCH(ROUNDUP((I$1)/10,0)*10,[1]Hugst!$R$4:$W$4,0))))</f>
        <v>0</v>
      </c>
      <c r="J262">
        <f ca="1">IF($C262-J$1&lt;År1,0,I261*(1-VLOOKUP($A262,[1]Hugst!$R$5:$W$9,MATCH(ROUNDUP((J$1)/10,0)*10,[1]Hugst!$R$4:$W$4,0))))</f>
        <v>0</v>
      </c>
      <c r="K262">
        <f ca="1">IF($C262-K$1&lt;År1,0,J261*(1-VLOOKUP($A262,[1]Hugst!$R$5:$W$9,MATCH(ROUNDUP((K$1)/10,0)*10,[1]Hugst!$R$4:$W$4,0))))</f>
        <v>0</v>
      </c>
      <c r="L262">
        <f ca="1">IF($C262-L$1&lt;År1,0,K261*(1-VLOOKUP($A262,[1]Hugst!$R$5:$W$9,MATCH(ROUNDUP((L$1)/10,0)*10,[1]Hugst!$R$4:$W$4,0))))</f>
        <v>0</v>
      </c>
      <c r="M262">
        <f ca="1">IF($C262-M$1&lt;År1,0,L261*(1-VLOOKUP($A262,[1]Hugst!$R$5:$W$9,MATCH(ROUNDUP((M$1)/10,0)*10,[1]Hugst!$R$4:$W$4,0))))</f>
        <v>0</v>
      </c>
      <c r="N262">
        <f ca="1">IF($C262-N$1&lt;År1,0,M261*(1-VLOOKUP($A262,[1]Hugst!$R$5:$W$9,MATCH(ROUNDUP((N$1)/10,0)*10,[1]Hugst!$R$4:$W$4,0))))</f>
        <v>0</v>
      </c>
      <c r="O262">
        <f ca="1">IF($C262-O$1&lt;År1,0,N261*(1-VLOOKUP($A262,[1]Hugst!$R$5:$W$9,MATCH(ROUNDUP((O$1)/10,0)*10,[1]Hugst!$R$4:$W$4,0))))</f>
        <v>0</v>
      </c>
      <c r="P262">
        <f ca="1">IF($C262-P$1&lt;År1,0,O261*(1-VLOOKUP($A262,[1]Hugst!$R$5:$W$9,MATCH(ROUNDUP((P$1)/10,0)*10,[1]Hugst!$R$4:$W$4,0))))</f>
        <v>0</v>
      </c>
      <c r="Q262">
        <f ca="1">IF($C262-Q$1&lt;År1,0,P261*(1-VLOOKUP($A262,[1]Hugst!$R$5:$W$9,MATCH(ROUNDUP((Q$1)/10,0)*10,[1]Hugst!$R$4:$W$4,0))))</f>
        <v>0</v>
      </c>
      <c r="R262">
        <f ca="1">IF($C262-R$1&lt;År1,0,Q261*(1-VLOOKUP($A262,[1]Hugst!$R$5:$W$9,MATCH(ROUNDUP((R$1)/10,0)*10,[1]Hugst!$R$4:$W$4,0))))</f>
        <v>0</v>
      </c>
      <c r="S262">
        <f>IF($C262-S$1&lt;År1,0,R261*(1-VLOOKUP($A262,[1]Hugst!$R$5:$W$9,MATCH(ROUNDUP((S$1)/10,0)*10,[1]Hugst!$R$4:$W$4,0))))</f>
        <v>0</v>
      </c>
      <c r="T262">
        <f>IF($C262-T$1&lt;År1,0,S261*(1-VLOOKUP($A262,[1]Hugst!$R$5:$W$9,MATCH(ROUNDUP((T$1)/10,0)*10,[1]Hugst!$R$4:$W$4,0))))</f>
        <v>0</v>
      </c>
      <c r="U262">
        <f>IF($C262-U$1&lt;År1,0,T261*(1-VLOOKUP($A262,[1]Hugst!$R$5:$W$9,MATCH(ROUNDUP((U$1)/10,0)*10,[1]Hugst!$R$4:$W$4,0))))</f>
        <v>0</v>
      </c>
      <c r="V262">
        <f>IF($C262-V$1&lt;År1,0,U261*(1-VLOOKUP($A262,[1]Hugst!$R$5:$W$9,MATCH(ROUNDUP((V$1)/10,0)*10,[1]Hugst!$R$4:$W$4,0))))</f>
        <v>0</v>
      </c>
      <c r="W262">
        <f>IF($C262-W$1&lt;År1,0,V261*(1-VLOOKUP($A262,[1]Hugst!$R$5:$W$9,MATCH(ROUNDUP((W$1)/10,0)*10,[1]Hugst!$R$4:$W$4,0))))</f>
        <v>0</v>
      </c>
      <c r="X262">
        <f>IF($C262-X$1&lt;År1,0,W261*(1-VLOOKUP($A262,[1]Hugst!$R$5:$W$9,MATCH(ROUNDUP((X$1)/10,0)*10,[1]Hugst!$R$4:$W$4,0))))</f>
        <v>0</v>
      </c>
      <c r="Y262">
        <f>IF($C262-Y$1&lt;År1,0,X261*(1-VLOOKUP($A262,[1]Hugst!$R$5:$W$9,MATCH(ROUNDUP((Y$1)/10,0)*10,[1]Hugst!$R$4:$W$4,0))))</f>
        <v>0</v>
      </c>
      <c r="Z262">
        <f>IF($C262-Z$1&lt;År1,0,Y261*(1-VLOOKUP($A262,[1]Hugst!$R$5:$W$9,MATCH(ROUNDUP((Z$1)/10,0)*10,[1]Hugst!$R$4:$W$4,0))))</f>
        <v>0</v>
      </c>
      <c r="AA262">
        <f>IF($C262-AA$1&lt;År1,0,Z261*(1-VLOOKUP($A262,[1]Hugst!$R$5:$W$9,MATCH(ROUNDUP((AA$1)/10,0)*10,[1]Hugst!$R$4:$W$4,0))))</f>
        <v>0</v>
      </c>
      <c r="AB262">
        <f>IF($C262-AB$1&lt;År1,0,AA261*(1-VLOOKUP($A262,[1]Hugst!$R$5:$W$9,MATCH(ROUNDUP((AB$1)/10,0)*10,[1]Hugst!$R$4:$W$4,0))))</f>
        <v>0</v>
      </c>
      <c r="AC262">
        <f>IF($C262-AC$1&lt;År1,0,AB261*(1-VLOOKUP($A262,[1]Hugst!$R$5:$W$9,MATCH(ROUNDUP((AC$1)/10,0)*10,[1]Hugst!$R$4:$W$4,0))))</f>
        <v>0</v>
      </c>
      <c r="AD262">
        <f>IF($C262-AD$1&lt;År1,0,AC261*(1-VLOOKUP($A262,[1]Hugst!$R$5:$W$9,MATCH(ROUNDUP((AD$1)/10,0)*10,[1]Hugst!$R$4:$W$4,0))))</f>
        <v>0</v>
      </c>
      <c r="AE262">
        <f>IF($C262-AE$1&lt;År1,0,AD261*(1-VLOOKUP($A262,[1]Hugst!$R$5:$W$9,MATCH(ROUNDUP((AE$1)/10,0)*10,[1]Hugst!$R$4:$W$4,0))))</f>
        <v>0</v>
      </c>
      <c r="AF262">
        <f>IF($C262-AF$1&lt;År1,0,AE261*(1-VLOOKUP($A262,[1]Hugst!$R$5:$W$9,MATCH(ROUNDUP((AF$1)/10,0)*10,[1]Hugst!$R$4:$W$4,0))))</f>
        <v>0</v>
      </c>
      <c r="AG262">
        <f>IF($C262-AG$1&lt;År1,0,AF261*(1-VLOOKUP($A262,[1]Hugst!$R$5:$W$9,MATCH(ROUNDUP((AG$1)/10,0)*10,[1]Hugst!$R$4:$W$4,0))))</f>
        <v>0</v>
      </c>
      <c r="AH262">
        <f>IF($C262-AH$1&lt;År1,0,AG261*(1-VLOOKUP($A262,[1]Hugst!$R$5:$W$9,MATCH(ROUNDUP((AH$1)/10,0)*10,[1]Hugst!$R$4:$W$4,0))))</f>
        <v>0</v>
      </c>
      <c r="AI262">
        <f>IF($C262-AI$1&lt;År1,0,AH261*(1-VLOOKUP($A262,[1]Hugst!$R$5:$W$9,MATCH(ROUNDUP((AI$1)/10,0)*10,[1]Hugst!$R$4:$W$4,0))))</f>
        <v>0</v>
      </c>
      <c r="AJ262">
        <f>IF($C262-AJ$1&lt;År1,0,AI261*(1-VLOOKUP($A262,[1]Hugst!$R$5:$W$9,MATCH(ROUNDUP((AJ$1)/10,0)*10,[1]Hugst!$R$4:$W$4,0))))</f>
        <v>0</v>
      </c>
    </row>
    <row r="263" spans="1:36" x14ac:dyDescent="0.25">
      <c r="A263" t="s">
        <v>180</v>
      </c>
      <c r="B263" t="s">
        <v>23</v>
      </c>
      <c r="C263">
        <v>2033</v>
      </c>
      <c r="D263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0</v>
      </c>
      <c r="E263">
        <f t="shared" ca="1" si="6"/>
        <v>0</v>
      </c>
      <c r="F263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>
        <f ca="1">IF($C263-G$1&lt;År1,0,F262*(1-VLOOKUP($A263,[1]Hugst!$R$5:$W$9,MATCH(ROUNDUP((G$1)/10,0)*10,[1]Hugst!$R$4:$W$4,0))))</f>
        <v>0</v>
      </c>
      <c r="H263">
        <f ca="1">IF($C263-H$1&lt;År1,0,G262*(1-VLOOKUP($A263,[1]Hugst!$R$5:$W$9,MATCH(ROUNDUP((H$1)/10,0)*10,[1]Hugst!$R$4:$W$4,0))))</f>
        <v>0</v>
      </c>
      <c r="I263">
        <f ca="1">IF($C263-I$1&lt;År1,0,H262*(1-VLOOKUP($A263,[1]Hugst!$R$5:$W$9,MATCH(ROUNDUP((I$1)/10,0)*10,[1]Hugst!$R$4:$W$4,0))))</f>
        <v>0</v>
      </c>
      <c r="J263">
        <f ca="1">IF($C263-J$1&lt;År1,0,I262*(1-VLOOKUP($A263,[1]Hugst!$R$5:$W$9,MATCH(ROUNDUP((J$1)/10,0)*10,[1]Hugst!$R$4:$W$4,0))))</f>
        <v>0</v>
      </c>
      <c r="K263">
        <f ca="1">IF($C263-K$1&lt;År1,0,J262*(1-VLOOKUP($A263,[1]Hugst!$R$5:$W$9,MATCH(ROUNDUP((K$1)/10,0)*10,[1]Hugst!$R$4:$W$4,0))))</f>
        <v>0</v>
      </c>
      <c r="L263">
        <f ca="1">IF($C263-L$1&lt;År1,0,K262*(1-VLOOKUP($A263,[1]Hugst!$R$5:$W$9,MATCH(ROUNDUP((L$1)/10,0)*10,[1]Hugst!$R$4:$W$4,0))))</f>
        <v>0</v>
      </c>
      <c r="M263">
        <f ca="1">IF($C263-M$1&lt;År1,0,L262*(1-VLOOKUP($A263,[1]Hugst!$R$5:$W$9,MATCH(ROUNDUP((M$1)/10,0)*10,[1]Hugst!$R$4:$W$4,0))))</f>
        <v>0</v>
      </c>
      <c r="N263">
        <f ca="1">IF($C263-N$1&lt;År1,0,M262*(1-VLOOKUP($A263,[1]Hugst!$R$5:$W$9,MATCH(ROUNDUP((N$1)/10,0)*10,[1]Hugst!$R$4:$W$4,0))))</f>
        <v>0</v>
      </c>
      <c r="O263">
        <f ca="1">IF($C263-O$1&lt;År1,0,N262*(1-VLOOKUP($A263,[1]Hugst!$R$5:$W$9,MATCH(ROUNDUP((O$1)/10,0)*10,[1]Hugst!$R$4:$W$4,0))))</f>
        <v>0</v>
      </c>
      <c r="P263">
        <f ca="1">IF($C263-P$1&lt;År1,0,O262*(1-VLOOKUP($A263,[1]Hugst!$R$5:$W$9,MATCH(ROUNDUP((P$1)/10,0)*10,[1]Hugst!$R$4:$W$4,0))))</f>
        <v>0</v>
      </c>
      <c r="Q263">
        <f ca="1">IF($C263-Q$1&lt;År1,0,P262*(1-VLOOKUP($A263,[1]Hugst!$R$5:$W$9,MATCH(ROUNDUP((Q$1)/10,0)*10,[1]Hugst!$R$4:$W$4,0))))</f>
        <v>0</v>
      </c>
      <c r="R263">
        <f ca="1">IF($C263-R$1&lt;År1,0,Q262*(1-VLOOKUP($A263,[1]Hugst!$R$5:$W$9,MATCH(ROUNDUP((R$1)/10,0)*10,[1]Hugst!$R$4:$W$4,0))))</f>
        <v>0</v>
      </c>
      <c r="S263">
        <f ca="1">IF($C263-S$1&lt;År1,0,R262*(1-VLOOKUP($A263,[1]Hugst!$R$5:$W$9,MATCH(ROUNDUP((S$1)/10,0)*10,[1]Hugst!$R$4:$W$4,0))))</f>
        <v>0</v>
      </c>
      <c r="T263">
        <f>IF($C263-T$1&lt;År1,0,S262*(1-VLOOKUP($A263,[1]Hugst!$R$5:$W$9,MATCH(ROUNDUP((T$1)/10,0)*10,[1]Hugst!$R$4:$W$4,0))))</f>
        <v>0</v>
      </c>
      <c r="U263">
        <f>IF($C263-U$1&lt;År1,0,T262*(1-VLOOKUP($A263,[1]Hugst!$R$5:$W$9,MATCH(ROUNDUP((U$1)/10,0)*10,[1]Hugst!$R$4:$W$4,0))))</f>
        <v>0</v>
      </c>
      <c r="V263">
        <f>IF($C263-V$1&lt;År1,0,U262*(1-VLOOKUP($A263,[1]Hugst!$R$5:$W$9,MATCH(ROUNDUP((V$1)/10,0)*10,[1]Hugst!$R$4:$W$4,0))))</f>
        <v>0</v>
      </c>
      <c r="W263">
        <f>IF($C263-W$1&lt;År1,0,V262*(1-VLOOKUP($A263,[1]Hugst!$R$5:$W$9,MATCH(ROUNDUP((W$1)/10,0)*10,[1]Hugst!$R$4:$W$4,0))))</f>
        <v>0</v>
      </c>
      <c r="X263">
        <f>IF($C263-X$1&lt;År1,0,W262*(1-VLOOKUP($A263,[1]Hugst!$R$5:$W$9,MATCH(ROUNDUP((X$1)/10,0)*10,[1]Hugst!$R$4:$W$4,0))))</f>
        <v>0</v>
      </c>
      <c r="Y263">
        <f>IF($C263-Y$1&lt;År1,0,X262*(1-VLOOKUP($A263,[1]Hugst!$R$5:$W$9,MATCH(ROUNDUP((Y$1)/10,0)*10,[1]Hugst!$R$4:$W$4,0))))</f>
        <v>0</v>
      </c>
      <c r="Z263">
        <f>IF($C263-Z$1&lt;År1,0,Y262*(1-VLOOKUP($A263,[1]Hugst!$R$5:$W$9,MATCH(ROUNDUP((Z$1)/10,0)*10,[1]Hugst!$R$4:$W$4,0))))</f>
        <v>0</v>
      </c>
      <c r="AA263">
        <f>IF($C263-AA$1&lt;År1,0,Z262*(1-VLOOKUP($A263,[1]Hugst!$R$5:$W$9,MATCH(ROUNDUP((AA$1)/10,0)*10,[1]Hugst!$R$4:$W$4,0))))</f>
        <v>0</v>
      </c>
      <c r="AB263">
        <f>IF($C263-AB$1&lt;År1,0,AA262*(1-VLOOKUP($A263,[1]Hugst!$R$5:$W$9,MATCH(ROUNDUP((AB$1)/10,0)*10,[1]Hugst!$R$4:$W$4,0))))</f>
        <v>0</v>
      </c>
      <c r="AC263">
        <f>IF($C263-AC$1&lt;År1,0,AB262*(1-VLOOKUP($A263,[1]Hugst!$R$5:$W$9,MATCH(ROUNDUP((AC$1)/10,0)*10,[1]Hugst!$R$4:$W$4,0))))</f>
        <v>0</v>
      </c>
      <c r="AD263">
        <f>IF($C263-AD$1&lt;År1,0,AC262*(1-VLOOKUP($A263,[1]Hugst!$R$5:$W$9,MATCH(ROUNDUP((AD$1)/10,0)*10,[1]Hugst!$R$4:$W$4,0))))</f>
        <v>0</v>
      </c>
      <c r="AE263">
        <f>IF($C263-AE$1&lt;År1,0,AD262*(1-VLOOKUP($A263,[1]Hugst!$R$5:$W$9,MATCH(ROUNDUP((AE$1)/10,0)*10,[1]Hugst!$R$4:$W$4,0))))</f>
        <v>0</v>
      </c>
      <c r="AF263">
        <f>IF($C263-AF$1&lt;År1,0,AE262*(1-VLOOKUP($A263,[1]Hugst!$R$5:$W$9,MATCH(ROUNDUP((AF$1)/10,0)*10,[1]Hugst!$R$4:$W$4,0))))</f>
        <v>0</v>
      </c>
      <c r="AG263">
        <f>IF($C263-AG$1&lt;År1,0,AF262*(1-VLOOKUP($A263,[1]Hugst!$R$5:$W$9,MATCH(ROUNDUP((AG$1)/10,0)*10,[1]Hugst!$R$4:$W$4,0))))</f>
        <v>0</v>
      </c>
      <c r="AH263">
        <f>IF($C263-AH$1&lt;År1,0,AG262*(1-VLOOKUP($A263,[1]Hugst!$R$5:$W$9,MATCH(ROUNDUP((AH$1)/10,0)*10,[1]Hugst!$R$4:$W$4,0))))</f>
        <v>0</v>
      </c>
      <c r="AI263">
        <f>IF($C263-AI$1&lt;År1,0,AH262*(1-VLOOKUP($A263,[1]Hugst!$R$5:$W$9,MATCH(ROUNDUP((AI$1)/10,0)*10,[1]Hugst!$R$4:$W$4,0))))</f>
        <v>0</v>
      </c>
      <c r="AJ263">
        <f>IF($C263-AJ$1&lt;År1,0,AI262*(1-VLOOKUP($A263,[1]Hugst!$R$5:$W$9,MATCH(ROUNDUP((AJ$1)/10,0)*10,[1]Hugst!$R$4:$W$4,0))))</f>
        <v>0</v>
      </c>
    </row>
    <row r="264" spans="1:36" x14ac:dyDescent="0.25">
      <c r="A264" t="s">
        <v>180</v>
      </c>
      <c r="B264" t="s">
        <v>23</v>
      </c>
      <c r="C264">
        <v>2034</v>
      </c>
      <c r="D264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0</v>
      </c>
      <c r="E264">
        <f t="shared" ca="1" si="6"/>
        <v>0</v>
      </c>
      <c r="F264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>
        <f ca="1">IF($C264-G$1&lt;År1,0,F263*(1-VLOOKUP($A264,[1]Hugst!$R$5:$W$9,MATCH(ROUNDUP((G$1)/10,0)*10,[1]Hugst!$R$4:$W$4,0))))</f>
        <v>0</v>
      </c>
      <c r="H264">
        <f ca="1">IF($C264-H$1&lt;År1,0,G263*(1-VLOOKUP($A264,[1]Hugst!$R$5:$W$9,MATCH(ROUNDUP((H$1)/10,0)*10,[1]Hugst!$R$4:$W$4,0))))</f>
        <v>0</v>
      </c>
      <c r="I264">
        <f ca="1">IF($C264-I$1&lt;År1,0,H263*(1-VLOOKUP($A264,[1]Hugst!$R$5:$W$9,MATCH(ROUNDUP((I$1)/10,0)*10,[1]Hugst!$R$4:$W$4,0))))</f>
        <v>0</v>
      </c>
      <c r="J264">
        <f ca="1">IF($C264-J$1&lt;År1,0,I263*(1-VLOOKUP($A264,[1]Hugst!$R$5:$W$9,MATCH(ROUNDUP((J$1)/10,0)*10,[1]Hugst!$R$4:$W$4,0))))</f>
        <v>0</v>
      </c>
      <c r="K264">
        <f ca="1">IF($C264-K$1&lt;År1,0,J263*(1-VLOOKUP($A264,[1]Hugst!$R$5:$W$9,MATCH(ROUNDUP((K$1)/10,0)*10,[1]Hugst!$R$4:$W$4,0))))</f>
        <v>0</v>
      </c>
      <c r="L264">
        <f ca="1">IF($C264-L$1&lt;År1,0,K263*(1-VLOOKUP($A264,[1]Hugst!$R$5:$W$9,MATCH(ROUNDUP((L$1)/10,0)*10,[1]Hugst!$R$4:$W$4,0))))</f>
        <v>0</v>
      </c>
      <c r="M264">
        <f ca="1">IF($C264-M$1&lt;År1,0,L263*(1-VLOOKUP($A264,[1]Hugst!$R$5:$W$9,MATCH(ROUNDUP((M$1)/10,0)*10,[1]Hugst!$R$4:$W$4,0))))</f>
        <v>0</v>
      </c>
      <c r="N264">
        <f ca="1">IF($C264-N$1&lt;År1,0,M263*(1-VLOOKUP($A264,[1]Hugst!$R$5:$W$9,MATCH(ROUNDUP((N$1)/10,0)*10,[1]Hugst!$R$4:$W$4,0))))</f>
        <v>0</v>
      </c>
      <c r="O264">
        <f ca="1">IF($C264-O$1&lt;År1,0,N263*(1-VLOOKUP($A264,[1]Hugst!$R$5:$W$9,MATCH(ROUNDUP((O$1)/10,0)*10,[1]Hugst!$R$4:$W$4,0))))</f>
        <v>0</v>
      </c>
      <c r="P264">
        <f ca="1">IF($C264-P$1&lt;År1,0,O263*(1-VLOOKUP($A264,[1]Hugst!$R$5:$W$9,MATCH(ROUNDUP((P$1)/10,0)*10,[1]Hugst!$R$4:$W$4,0))))</f>
        <v>0</v>
      </c>
      <c r="Q264">
        <f ca="1">IF($C264-Q$1&lt;År1,0,P263*(1-VLOOKUP($A264,[1]Hugst!$R$5:$W$9,MATCH(ROUNDUP((Q$1)/10,0)*10,[1]Hugst!$R$4:$W$4,0))))</f>
        <v>0</v>
      </c>
      <c r="R264">
        <f ca="1">IF($C264-R$1&lt;År1,0,Q263*(1-VLOOKUP($A264,[1]Hugst!$R$5:$W$9,MATCH(ROUNDUP((R$1)/10,0)*10,[1]Hugst!$R$4:$W$4,0))))</f>
        <v>0</v>
      </c>
      <c r="S264">
        <f ca="1">IF($C264-S$1&lt;År1,0,R263*(1-VLOOKUP($A264,[1]Hugst!$R$5:$W$9,MATCH(ROUNDUP((S$1)/10,0)*10,[1]Hugst!$R$4:$W$4,0))))</f>
        <v>0</v>
      </c>
      <c r="T264">
        <f ca="1">IF($C264-T$1&lt;År1,0,S263*(1-VLOOKUP($A264,[1]Hugst!$R$5:$W$9,MATCH(ROUNDUP((T$1)/10,0)*10,[1]Hugst!$R$4:$W$4,0))))</f>
        <v>0</v>
      </c>
      <c r="U264">
        <f>IF($C264-U$1&lt;År1,0,T263*(1-VLOOKUP($A264,[1]Hugst!$R$5:$W$9,MATCH(ROUNDUP((U$1)/10,0)*10,[1]Hugst!$R$4:$W$4,0))))</f>
        <v>0</v>
      </c>
      <c r="V264">
        <f>IF($C264-V$1&lt;År1,0,U263*(1-VLOOKUP($A264,[1]Hugst!$R$5:$W$9,MATCH(ROUNDUP((V$1)/10,0)*10,[1]Hugst!$R$4:$W$4,0))))</f>
        <v>0</v>
      </c>
      <c r="W264">
        <f>IF($C264-W$1&lt;År1,0,V263*(1-VLOOKUP($A264,[1]Hugst!$R$5:$W$9,MATCH(ROUNDUP((W$1)/10,0)*10,[1]Hugst!$R$4:$W$4,0))))</f>
        <v>0</v>
      </c>
      <c r="X264">
        <f>IF($C264-X$1&lt;År1,0,W263*(1-VLOOKUP($A264,[1]Hugst!$R$5:$W$9,MATCH(ROUNDUP((X$1)/10,0)*10,[1]Hugst!$R$4:$W$4,0))))</f>
        <v>0</v>
      </c>
      <c r="Y264">
        <f>IF($C264-Y$1&lt;År1,0,X263*(1-VLOOKUP($A264,[1]Hugst!$R$5:$W$9,MATCH(ROUNDUP((Y$1)/10,0)*10,[1]Hugst!$R$4:$W$4,0))))</f>
        <v>0</v>
      </c>
      <c r="Z264">
        <f>IF($C264-Z$1&lt;År1,0,Y263*(1-VLOOKUP($A264,[1]Hugst!$R$5:$W$9,MATCH(ROUNDUP((Z$1)/10,0)*10,[1]Hugst!$R$4:$W$4,0))))</f>
        <v>0</v>
      </c>
      <c r="AA264">
        <f>IF($C264-AA$1&lt;År1,0,Z263*(1-VLOOKUP($A264,[1]Hugst!$R$5:$W$9,MATCH(ROUNDUP((AA$1)/10,0)*10,[1]Hugst!$R$4:$W$4,0))))</f>
        <v>0</v>
      </c>
      <c r="AB264">
        <f>IF($C264-AB$1&lt;År1,0,AA263*(1-VLOOKUP($A264,[1]Hugst!$R$5:$W$9,MATCH(ROUNDUP((AB$1)/10,0)*10,[1]Hugst!$R$4:$W$4,0))))</f>
        <v>0</v>
      </c>
      <c r="AC264">
        <f>IF($C264-AC$1&lt;År1,0,AB263*(1-VLOOKUP($A264,[1]Hugst!$R$5:$W$9,MATCH(ROUNDUP((AC$1)/10,0)*10,[1]Hugst!$R$4:$W$4,0))))</f>
        <v>0</v>
      </c>
      <c r="AD264">
        <f>IF($C264-AD$1&lt;År1,0,AC263*(1-VLOOKUP($A264,[1]Hugst!$R$5:$W$9,MATCH(ROUNDUP((AD$1)/10,0)*10,[1]Hugst!$R$4:$W$4,0))))</f>
        <v>0</v>
      </c>
      <c r="AE264">
        <f>IF($C264-AE$1&lt;År1,0,AD263*(1-VLOOKUP($A264,[1]Hugst!$R$5:$W$9,MATCH(ROUNDUP((AE$1)/10,0)*10,[1]Hugst!$R$4:$W$4,0))))</f>
        <v>0</v>
      </c>
      <c r="AF264">
        <f>IF($C264-AF$1&lt;År1,0,AE263*(1-VLOOKUP($A264,[1]Hugst!$R$5:$W$9,MATCH(ROUNDUP((AF$1)/10,0)*10,[1]Hugst!$R$4:$W$4,0))))</f>
        <v>0</v>
      </c>
      <c r="AG264">
        <f>IF($C264-AG$1&lt;År1,0,AF263*(1-VLOOKUP($A264,[1]Hugst!$R$5:$W$9,MATCH(ROUNDUP((AG$1)/10,0)*10,[1]Hugst!$R$4:$W$4,0))))</f>
        <v>0</v>
      </c>
      <c r="AH264">
        <f>IF($C264-AH$1&lt;År1,0,AG263*(1-VLOOKUP($A264,[1]Hugst!$R$5:$W$9,MATCH(ROUNDUP((AH$1)/10,0)*10,[1]Hugst!$R$4:$W$4,0))))</f>
        <v>0</v>
      </c>
      <c r="AI264">
        <f>IF($C264-AI$1&lt;År1,0,AH263*(1-VLOOKUP($A264,[1]Hugst!$R$5:$W$9,MATCH(ROUNDUP((AI$1)/10,0)*10,[1]Hugst!$R$4:$W$4,0))))</f>
        <v>0</v>
      </c>
      <c r="AJ264">
        <f>IF($C264-AJ$1&lt;År1,0,AI263*(1-VLOOKUP($A264,[1]Hugst!$R$5:$W$9,MATCH(ROUNDUP((AJ$1)/10,0)*10,[1]Hugst!$R$4:$W$4,0))))</f>
        <v>0</v>
      </c>
    </row>
    <row r="265" spans="1:36" x14ac:dyDescent="0.25">
      <c r="A265" t="s">
        <v>180</v>
      </c>
      <c r="B265" t="s">
        <v>23</v>
      </c>
      <c r="C265">
        <v>2035</v>
      </c>
      <c r="D265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0</v>
      </c>
      <c r="E265">
        <f t="shared" ca="1" si="6"/>
        <v>0</v>
      </c>
      <c r="F265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>
        <f ca="1">IF($C265-G$1&lt;År1,0,F264*(1-VLOOKUP($A265,[1]Hugst!$R$5:$W$9,MATCH(ROUNDUP((G$1)/10,0)*10,[1]Hugst!$R$4:$W$4,0))))</f>
        <v>0</v>
      </c>
      <c r="H265">
        <f ca="1">IF($C265-H$1&lt;År1,0,G264*(1-VLOOKUP($A265,[1]Hugst!$R$5:$W$9,MATCH(ROUNDUP((H$1)/10,0)*10,[1]Hugst!$R$4:$W$4,0))))</f>
        <v>0</v>
      </c>
      <c r="I265">
        <f ca="1">IF($C265-I$1&lt;År1,0,H264*(1-VLOOKUP($A265,[1]Hugst!$R$5:$W$9,MATCH(ROUNDUP((I$1)/10,0)*10,[1]Hugst!$R$4:$W$4,0))))</f>
        <v>0</v>
      </c>
      <c r="J265">
        <f ca="1">IF($C265-J$1&lt;År1,0,I264*(1-VLOOKUP($A265,[1]Hugst!$R$5:$W$9,MATCH(ROUNDUP((J$1)/10,0)*10,[1]Hugst!$R$4:$W$4,0))))</f>
        <v>0</v>
      </c>
      <c r="K265">
        <f ca="1">IF($C265-K$1&lt;År1,0,J264*(1-VLOOKUP($A265,[1]Hugst!$R$5:$W$9,MATCH(ROUNDUP((K$1)/10,0)*10,[1]Hugst!$R$4:$W$4,0))))</f>
        <v>0</v>
      </c>
      <c r="L265">
        <f ca="1">IF($C265-L$1&lt;År1,0,K264*(1-VLOOKUP($A265,[1]Hugst!$R$5:$W$9,MATCH(ROUNDUP((L$1)/10,0)*10,[1]Hugst!$R$4:$W$4,0))))</f>
        <v>0</v>
      </c>
      <c r="M265">
        <f ca="1">IF($C265-M$1&lt;År1,0,L264*(1-VLOOKUP($A265,[1]Hugst!$R$5:$W$9,MATCH(ROUNDUP((M$1)/10,0)*10,[1]Hugst!$R$4:$W$4,0))))</f>
        <v>0</v>
      </c>
      <c r="N265">
        <f ca="1">IF($C265-N$1&lt;År1,0,M264*(1-VLOOKUP($A265,[1]Hugst!$R$5:$W$9,MATCH(ROUNDUP((N$1)/10,0)*10,[1]Hugst!$R$4:$W$4,0))))</f>
        <v>0</v>
      </c>
      <c r="O265">
        <f ca="1">IF($C265-O$1&lt;År1,0,N264*(1-VLOOKUP($A265,[1]Hugst!$R$5:$W$9,MATCH(ROUNDUP((O$1)/10,0)*10,[1]Hugst!$R$4:$W$4,0))))</f>
        <v>0</v>
      </c>
      <c r="P265">
        <f ca="1">IF($C265-P$1&lt;År1,0,O264*(1-VLOOKUP($A265,[1]Hugst!$R$5:$W$9,MATCH(ROUNDUP((P$1)/10,0)*10,[1]Hugst!$R$4:$W$4,0))))</f>
        <v>0</v>
      </c>
      <c r="Q265">
        <f ca="1">IF($C265-Q$1&lt;År1,0,P264*(1-VLOOKUP($A265,[1]Hugst!$R$5:$W$9,MATCH(ROUNDUP((Q$1)/10,0)*10,[1]Hugst!$R$4:$W$4,0))))</f>
        <v>0</v>
      </c>
      <c r="R265">
        <f ca="1">IF($C265-R$1&lt;År1,0,Q264*(1-VLOOKUP($A265,[1]Hugst!$R$5:$W$9,MATCH(ROUNDUP((R$1)/10,0)*10,[1]Hugst!$R$4:$W$4,0))))</f>
        <v>0</v>
      </c>
      <c r="S265">
        <f ca="1">IF($C265-S$1&lt;År1,0,R264*(1-VLOOKUP($A265,[1]Hugst!$R$5:$W$9,MATCH(ROUNDUP((S$1)/10,0)*10,[1]Hugst!$R$4:$W$4,0))))</f>
        <v>0</v>
      </c>
      <c r="T265">
        <f ca="1">IF($C265-T$1&lt;År1,0,S264*(1-VLOOKUP($A265,[1]Hugst!$R$5:$W$9,MATCH(ROUNDUP((T$1)/10,0)*10,[1]Hugst!$R$4:$W$4,0))))</f>
        <v>0</v>
      </c>
      <c r="U265">
        <f ca="1">IF($C265-U$1&lt;År1,0,T264*(1-VLOOKUP($A265,[1]Hugst!$R$5:$W$9,MATCH(ROUNDUP((U$1)/10,0)*10,[1]Hugst!$R$4:$W$4,0))))</f>
        <v>0</v>
      </c>
      <c r="V265">
        <f>IF($C265-V$1&lt;År1,0,U264*(1-VLOOKUP($A265,[1]Hugst!$R$5:$W$9,MATCH(ROUNDUP((V$1)/10,0)*10,[1]Hugst!$R$4:$W$4,0))))</f>
        <v>0</v>
      </c>
      <c r="W265">
        <f>IF($C265-W$1&lt;År1,0,V264*(1-VLOOKUP($A265,[1]Hugst!$R$5:$W$9,MATCH(ROUNDUP((W$1)/10,0)*10,[1]Hugst!$R$4:$W$4,0))))</f>
        <v>0</v>
      </c>
      <c r="X265">
        <f>IF($C265-X$1&lt;År1,0,W264*(1-VLOOKUP($A265,[1]Hugst!$R$5:$W$9,MATCH(ROUNDUP((X$1)/10,0)*10,[1]Hugst!$R$4:$W$4,0))))</f>
        <v>0</v>
      </c>
      <c r="Y265">
        <f>IF($C265-Y$1&lt;År1,0,X264*(1-VLOOKUP($A265,[1]Hugst!$R$5:$W$9,MATCH(ROUNDUP((Y$1)/10,0)*10,[1]Hugst!$R$4:$W$4,0))))</f>
        <v>0</v>
      </c>
      <c r="Z265">
        <f>IF($C265-Z$1&lt;År1,0,Y264*(1-VLOOKUP($A265,[1]Hugst!$R$5:$W$9,MATCH(ROUNDUP((Z$1)/10,0)*10,[1]Hugst!$R$4:$W$4,0))))</f>
        <v>0</v>
      </c>
      <c r="AA265">
        <f>IF($C265-AA$1&lt;År1,0,Z264*(1-VLOOKUP($A265,[1]Hugst!$R$5:$W$9,MATCH(ROUNDUP((AA$1)/10,0)*10,[1]Hugst!$R$4:$W$4,0))))</f>
        <v>0</v>
      </c>
      <c r="AB265">
        <f>IF($C265-AB$1&lt;År1,0,AA264*(1-VLOOKUP($A265,[1]Hugst!$R$5:$W$9,MATCH(ROUNDUP((AB$1)/10,0)*10,[1]Hugst!$R$4:$W$4,0))))</f>
        <v>0</v>
      </c>
      <c r="AC265">
        <f>IF($C265-AC$1&lt;År1,0,AB264*(1-VLOOKUP($A265,[1]Hugst!$R$5:$W$9,MATCH(ROUNDUP((AC$1)/10,0)*10,[1]Hugst!$R$4:$W$4,0))))</f>
        <v>0</v>
      </c>
      <c r="AD265">
        <f>IF($C265-AD$1&lt;År1,0,AC264*(1-VLOOKUP($A265,[1]Hugst!$R$5:$W$9,MATCH(ROUNDUP((AD$1)/10,0)*10,[1]Hugst!$R$4:$W$4,0))))</f>
        <v>0</v>
      </c>
      <c r="AE265">
        <f>IF($C265-AE$1&lt;År1,0,AD264*(1-VLOOKUP($A265,[1]Hugst!$R$5:$W$9,MATCH(ROUNDUP((AE$1)/10,0)*10,[1]Hugst!$R$4:$W$4,0))))</f>
        <v>0</v>
      </c>
      <c r="AF265">
        <f>IF($C265-AF$1&lt;År1,0,AE264*(1-VLOOKUP($A265,[1]Hugst!$R$5:$W$9,MATCH(ROUNDUP((AF$1)/10,0)*10,[1]Hugst!$R$4:$W$4,0))))</f>
        <v>0</v>
      </c>
      <c r="AG265">
        <f>IF($C265-AG$1&lt;År1,0,AF264*(1-VLOOKUP($A265,[1]Hugst!$R$5:$W$9,MATCH(ROUNDUP((AG$1)/10,0)*10,[1]Hugst!$R$4:$W$4,0))))</f>
        <v>0</v>
      </c>
      <c r="AH265">
        <f>IF($C265-AH$1&lt;År1,0,AG264*(1-VLOOKUP($A265,[1]Hugst!$R$5:$W$9,MATCH(ROUNDUP((AH$1)/10,0)*10,[1]Hugst!$R$4:$W$4,0))))</f>
        <v>0</v>
      </c>
      <c r="AI265">
        <f>IF($C265-AI$1&lt;År1,0,AH264*(1-VLOOKUP($A265,[1]Hugst!$R$5:$W$9,MATCH(ROUNDUP((AI$1)/10,0)*10,[1]Hugst!$R$4:$W$4,0))))</f>
        <v>0</v>
      </c>
      <c r="AJ265">
        <f>IF($C265-AJ$1&lt;År1,0,AI264*(1-VLOOKUP($A265,[1]Hugst!$R$5:$W$9,MATCH(ROUNDUP((AJ$1)/10,0)*10,[1]Hugst!$R$4:$W$4,0))))</f>
        <v>0</v>
      </c>
    </row>
    <row r="266" spans="1:36" x14ac:dyDescent="0.25">
      <c r="A266" t="s">
        <v>180</v>
      </c>
      <c r="B266" t="s">
        <v>23</v>
      </c>
      <c r="C266">
        <v>2036</v>
      </c>
      <c r="D266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0</v>
      </c>
      <c r="E266">
        <f t="shared" ca="1" si="6"/>
        <v>0</v>
      </c>
      <c r="F266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>
        <f ca="1">IF($C266-G$1&lt;År1,0,F265*(1-VLOOKUP($A266,[1]Hugst!$R$5:$W$9,MATCH(ROUNDUP((G$1)/10,0)*10,[1]Hugst!$R$4:$W$4,0))))</f>
        <v>0</v>
      </c>
      <c r="H266">
        <f ca="1">IF($C266-H$1&lt;År1,0,G265*(1-VLOOKUP($A266,[1]Hugst!$R$5:$W$9,MATCH(ROUNDUP((H$1)/10,0)*10,[1]Hugst!$R$4:$W$4,0))))</f>
        <v>0</v>
      </c>
      <c r="I266">
        <f ca="1">IF($C266-I$1&lt;År1,0,H265*(1-VLOOKUP($A266,[1]Hugst!$R$5:$W$9,MATCH(ROUNDUP((I$1)/10,0)*10,[1]Hugst!$R$4:$W$4,0))))</f>
        <v>0</v>
      </c>
      <c r="J266">
        <f ca="1">IF($C266-J$1&lt;År1,0,I265*(1-VLOOKUP($A266,[1]Hugst!$R$5:$W$9,MATCH(ROUNDUP((J$1)/10,0)*10,[1]Hugst!$R$4:$W$4,0))))</f>
        <v>0</v>
      </c>
      <c r="K266">
        <f ca="1">IF($C266-K$1&lt;År1,0,J265*(1-VLOOKUP($A266,[1]Hugst!$R$5:$W$9,MATCH(ROUNDUP((K$1)/10,0)*10,[1]Hugst!$R$4:$W$4,0))))</f>
        <v>0</v>
      </c>
      <c r="L266">
        <f ca="1">IF($C266-L$1&lt;År1,0,K265*(1-VLOOKUP($A266,[1]Hugst!$R$5:$W$9,MATCH(ROUNDUP((L$1)/10,0)*10,[1]Hugst!$R$4:$W$4,0))))</f>
        <v>0</v>
      </c>
      <c r="M266">
        <f ca="1">IF($C266-M$1&lt;År1,0,L265*(1-VLOOKUP($A266,[1]Hugst!$R$5:$W$9,MATCH(ROUNDUP((M$1)/10,0)*10,[1]Hugst!$R$4:$W$4,0))))</f>
        <v>0</v>
      </c>
      <c r="N266">
        <f ca="1">IF($C266-N$1&lt;År1,0,M265*(1-VLOOKUP($A266,[1]Hugst!$R$5:$W$9,MATCH(ROUNDUP((N$1)/10,0)*10,[1]Hugst!$R$4:$W$4,0))))</f>
        <v>0</v>
      </c>
      <c r="O266">
        <f ca="1">IF($C266-O$1&lt;År1,0,N265*(1-VLOOKUP($A266,[1]Hugst!$R$5:$W$9,MATCH(ROUNDUP((O$1)/10,0)*10,[1]Hugst!$R$4:$W$4,0))))</f>
        <v>0</v>
      </c>
      <c r="P266">
        <f ca="1">IF($C266-P$1&lt;År1,0,O265*(1-VLOOKUP($A266,[1]Hugst!$R$5:$W$9,MATCH(ROUNDUP((P$1)/10,0)*10,[1]Hugst!$R$4:$W$4,0))))</f>
        <v>0</v>
      </c>
      <c r="Q266">
        <f ca="1">IF($C266-Q$1&lt;År1,0,P265*(1-VLOOKUP($A266,[1]Hugst!$R$5:$W$9,MATCH(ROUNDUP((Q$1)/10,0)*10,[1]Hugst!$R$4:$W$4,0))))</f>
        <v>0</v>
      </c>
      <c r="R266">
        <f ca="1">IF($C266-R$1&lt;År1,0,Q265*(1-VLOOKUP($A266,[1]Hugst!$R$5:$W$9,MATCH(ROUNDUP((R$1)/10,0)*10,[1]Hugst!$R$4:$W$4,0))))</f>
        <v>0</v>
      </c>
      <c r="S266">
        <f ca="1">IF($C266-S$1&lt;År1,0,R265*(1-VLOOKUP($A266,[1]Hugst!$R$5:$W$9,MATCH(ROUNDUP((S$1)/10,0)*10,[1]Hugst!$R$4:$W$4,0))))</f>
        <v>0</v>
      </c>
      <c r="T266">
        <f ca="1">IF($C266-T$1&lt;År1,0,S265*(1-VLOOKUP($A266,[1]Hugst!$R$5:$W$9,MATCH(ROUNDUP((T$1)/10,0)*10,[1]Hugst!$R$4:$W$4,0))))</f>
        <v>0</v>
      </c>
      <c r="U266">
        <f ca="1">IF($C266-U$1&lt;År1,0,T265*(1-VLOOKUP($A266,[1]Hugst!$R$5:$W$9,MATCH(ROUNDUP((U$1)/10,0)*10,[1]Hugst!$R$4:$W$4,0))))</f>
        <v>0</v>
      </c>
      <c r="V266">
        <f ca="1">IF($C266-V$1&lt;År1,0,U265*(1-VLOOKUP($A266,[1]Hugst!$R$5:$W$9,MATCH(ROUNDUP((V$1)/10,0)*10,[1]Hugst!$R$4:$W$4,0))))</f>
        <v>0</v>
      </c>
      <c r="W266">
        <f>IF($C266-W$1&lt;År1,0,V265*(1-VLOOKUP($A266,[1]Hugst!$R$5:$W$9,MATCH(ROUNDUP((W$1)/10,0)*10,[1]Hugst!$R$4:$W$4,0))))</f>
        <v>0</v>
      </c>
      <c r="X266">
        <f>IF($C266-X$1&lt;År1,0,W265*(1-VLOOKUP($A266,[1]Hugst!$R$5:$W$9,MATCH(ROUNDUP((X$1)/10,0)*10,[1]Hugst!$R$4:$W$4,0))))</f>
        <v>0</v>
      </c>
      <c r="Y266">
        <f>IF($C266-Y$1&lt;År1,0,X265*(1-VLOOKUP($A266,[1]Hugst!$R$5:$W$9,MATCH(ROUNDUP((Y$1)/10,0)*10,[1]Hugst!$R$4:$W$4,0))))</f>
        <v>0</v>
      </c>
      <c r="Z266">
        <f>IF($C266-Z$1&lt;År1,0,Y265*(1-VLOOKUP($A266,[1]Hugst!$R$5:$W$9,MATCH(ROUNDUP((Z$1)/10,0)*10,[1]Hugst!$R$4:$W$4,0))))</f>
        <v>0</v>
      </c>
      <c r="AA266">
        <f>IF($C266-AA$1&lt;År1,0,Z265*(1-VLOOKUP($A266,[1]Hugst!$R$5:$W$9,MATCH(ROUNDUP((AA$1)/10,0)*10,[1]Hugst!$R$4:$W$4,0))))</f>
        <v>0</v>
      </c>
      <c r="AB266">
        <f>IF($C266-AB$1&lt;År1,0,AA265*(1-VLOOKUP($A266,[1]Hugst!$R$5:$W$9,MATCH(ROUNDUP((AB$1)/10,0)*10,[1]Hugst!$R$4:$W$4,0))))</f>
        <v>0</v>
      </c>
      <c r="AC266">
        <f>IF($C266-AC$1&lt;År1,0,AB265*(1-VLOOKUP($A266,[1]Hugst!$R$5:$W$9,MATCH(ROUNDUP((AC$1)/10,0)*10,[1]Hugst!$R$4:$W$4,0))))</f>
        <v>0</v>
      </c>
      <c r="AD266">
        <f>IF($C266-AD$1&lt;År1,0,AC265*(1-VLOOKUP($A266,[1]Hugst!$R$5:$W$9,MATCH(ROUNDUP((AD$1)/10,0)*10,[1]Hugst!$R$4:$W$4,0))))</f>
        <v>0</v>
      </c>
      <c r="AE266">
        <f>IF($C266-AE$1&lt;År1,0,AD265*(1-VLOOKUP($A266,[1]Hugst!$R$5:$W$9,MATCH(ROUNDUP((AE$1)/10,0)*10,[1]Hugst!$R$4:$W$4,0))))</f>
        <v>0</v>
      </c>
      <c r="AF266">
        <f>IF($C266-AF$1&lt;År1,0,AE265*(1-VLOOKUP($A266,[1]Hugst!$R$5:$W$9,MATCH(ROUNDUP((AF$1)/10,0)*10,[1]Hugst!$R$4:$W$4,0))))</f>
        <v>0</v>
      </c>
      <c r="AG266">
        <f>IF($C266-AG$1&lt;År1,0,AF265*(1-VLOOKUP($A266,[1]Hugst!$R$5:$W$9,MATCH(ROUNDUP((AG$1)/10,0)*10,[1]Hugst!$R$4:$W$4,0))))</f>
        <v>0</v>
      </c>
      <c r="AH266">
        <f>IF($C266-AH$1&lt;År1,0,AG265*(1-VLOOKUP($A266,[1]Hugst!$R$5:$W$9,MATCH(ROUNDUP((AH$1)/10,0)*10,[1]Hugst!$R$4:$W$4,0))))</f>
        <v>0</v>
      </c>
      <c r="AI266">
        <f>IF($C266-AI$1&lt;År1,0,AH265*(1-VLOOKUP($A266,[1]Hugst!$R$5:$W$9,MATCH(ROUNDUP((AI$1)/10,0)*10,[1]Hugst!$R$4:$W$4,0))))</f>
        <v>0</v>
      </c>
      <c r="AJ266">
        <f>IF($C266-AJ$1&lt;År1,0,AI265*(1-VLOOKUP($A266,[1]Hugst!$R$5:$W$9,MATCH(ROUNDUP((AJ$1)/10,0)*10,[1]Hugst!$R$4:$W$4,0))))</f>
        <v>0</v>
      </c>
    </row>
    <row r="267" spans="1:36" x14ac:dyDescent="0.25">
      <c r="A267" t="s">
        <v>180</v>
      </c>
      <c r="B267" t="s">
        <v>23</v>
      </c>
      <c r="C267">
        <v>2037</v>
      </c>
      <c r="D267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0</v>
      </c>
      <c r="E267">
        <f t="shared" ca="1" si="6"/>
        <v>0</v>
      </c>
      <c r="F267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>
        <f ca="1">IF($C267-G$1&lt;År1,0,F266*(1-VLOOKUP($A267,[1]Hugst!$R$5:$W$9,MATCH(ROUNDUP((G$1)/10,0)*10,[1]Hugst!$R$4:$W$4,0))))</f>
        <v>0</v>
      </c>
      <c r="H267">
        <f ca="1">IF($C267-H$1&lt;År1,0,G266*(1-VLOOKUP($A267,[1]Hugst!$R$5:$W$9,MATCH(ROUNDUP((H$1)/10,0)*10,[1]Hugst!$R$4:$W$4,0))))</f>
        <v>0</v>
      </c>
      <c r="I267">
        <f ca="1">IF($C267-I$1&lt;År1,0,H266*(1-VLOOKUP($A267,[1]Hugst!$R$5:$W$9,MATCH(ROUNDUP((I$1)/10,0)*10,[1]Hugst!$R$4:$W$4,0))))</f>
        <v>0</v>
      </c>
      <c r="J267">
        <f ca="1">IF($C267-J$1&lt;År1,0,I266*(1-VLOOKUP($A267,[1]Hugst!$R$5:$W$9,MATCH(ROUNDUP((J$1)/10,0)*10,[1]Hugst!$R$4:$W$4,0))))</f>
        <v>0</v>
      </c>
      <c r="K267">
        <f ca="1">IF($C267-K$1&lt;År1,0,J266*(1-VLOOKUP($A267,[1]Hugst!$R$5:$W$9,MATCH(ROUNDUP((K$1)/10,0)*10,[1]Hugst!$R$4:$W$4,0))))</f>
        <v>0</v>
      </c>
      <c r="L267">
        <f ca="1">IF($C267-L$1&lt;År1,0,K266*(1-VLOOKUP($A267,[1]Hugst!$R$5:$W$9,MATCH(ROUNDUP((L$1)/10,0)*10,[1]Hugst!$R$4:$W$4,0))))</f>
        <v>0</v>
      </c>
      <c r="M267">
        <f ca="1">IF($C267-M$1&lt;År1,0,L266*(1-VLOOKUP($A267,[1]Hugst!$R$5:$W$9,MATCH(ROUNDUP((M$1)/10,0)*10,[1]Hugst!$R$4:$W$4,0))))</f>
        <v>0</v>
      </c>
      <c r="N267">
        <f ca="1">IF($C267-N$1&lt;År1,0,M266*(1-VLOOKUP($A267,[1]Hugst!$R$5:$W$9,MATCH(ROUNDUP((N$1)/10,0)*10,[1]Hugst!$R$4:$W$4,0))))</f>
        <v>0</v>
      </c>
      <c r="O267">
        <f ca="1">IF($C267-O$1&lt;År1,0,N266*(1-VLOOKUP($A267,[1]Hugst!$R$5:$W$9,MATCH(ROUNDUP((O$1)/10,0)*10,[1]Hugst!$R$4:$W$4,0))))</f>
        <v>0</v>
      </c>
      <c r="P267">
        <f ca="1">IF($C267-P$1&lt;År1,0,O266*(1-VLOOKUP($A267,[1]Hugst!$R$5:$W$9,MATCH(ROUNDUP((P$1)/10,0)*10,[1]Hugst!$R$4:$W$4,0))))</f>
        <v>0</v>
      </c>
      <c r="Q267">
        <f ca="1">IF($C267-Q$1&lt;År1,0,P266*(1-VLOOKUP($A267,[1]Hugst!$R$5:$W$9,MATCH(ROUNDUP((Q$1)/10,0)*10,[1]Hugst!$R$4:$W$4,0))))</f>
        <v>0</v>
      </c>
      <c r="R267">
        <f ca="1">IF($C267-R$1&lt;År1,0,Q266*(1-VLOOKUP($A267,[1]Hugst!$R$5:$W$9,MATCH(ROUNDUP((R$1)/10,0)*10,[1]Hugst!$R$4:$W$4,0))))</f>
        <v>0</v>
      </c>
      <c r="S267">
        <f ca="1">IF($C267-S$1&lt;År1,0,R266*(1-VLOOKUP($A267,[1]Hugst!$R$5:$W$9,MATCH(ROUNDUP((S$1)/10,0)*10,[1]Hugst!$R$4:$W$4,0))))</f>
        <v>0</v>
      </c>
      <c r="T267">
        <f ca="1">IF($C267-T$1&lt;År1,0,S266*(1-VLOOKUP($A267,[1]Hugst!$R$5:$W$9,MATCH(ROUNDUP((T$1)/10,0)*10,[1]Hugst!$R$4:$W$4,0))))</f>
        <v>0</v>
      </c>
      <c r="U267">
        <f ca="1">IF($C267-U$1&lt;År1,0,T266*(1-VLOOKUP($A267,[1]Hugst!$R$5:$W$9,MATCH(ROUNDUP((U$1)/10,0)*10,[1]Hugst!$R$4:$W$4,0))))</f>
        <v>0</v>
      </c>
      <c r="V267">
        <f ca="1">IF($C267-V$1&lt;År1,0,U266*(1-VLOOKUP($A267,[1]Hugst!$R$5:$W$9,MATCH(ROUNDUP((V$1)/10,0)*10,[1]Hugst!$R$4:$W$4,0))))</f>
        <v>0</v>
      </c>
      <c r="W267">
        <f ca="1">IF($C267-W$1&lt;År1,0,V266*(1-VLOOKUP($A267,[1]Hugst!$R$5:$W$9,MATCH(ROUNDUP((W$1)/10,0)*10,[1]Hugst!$R$4:$W$4,0))))</f>
        <v>0</v>
      </c>
      <c r="X267">
        <f>IF($C267-X$1&lt;År1,0,W266*(1-VLOOKUP($A267,[1]Hugst!$R$5:$W$9,MATCH(ROUNDUP((X$1)/10,0)*10,[1]Hugst!$R$4:$W$4,0))))</f>
        <v>0</v>
      </c>
      <c r="Y267">
        <f>IF($C267-Y$1&lt;År1,0,X266*(1-VLOOKUP($A267,[1]Hugst!$R$5:$W$9,MATCH(ROUNDUP((Y$1)/10,0)*10,[1]Hugst!$R$4:$W$4,0))))</f>
        <v>0</v>
      </c>
      <c r="Z267">
        <f>IF($C267-Z$1&lt;År1,0,Y266*(1-VLOOKUP($A267,[1]Hugst!$R$5:$W$9,MATCH(ROUNDUP((Z$1)/10,0)*10,[1]Hugst!$R$4:$W$4,0))))</f>
        <v>0</v>
      </c>
      <c r="AA267">
        <f>IF($C267-AA$1&lt;År1,0,Z266*(1-VLOOKUP($A267,[1]Hugst!$R$5:$W$9,MATCH(ROUNDUP((AA$1)/10,0)*10,[1]Hugst!$R$4:$W$4,0))))</f>
        <v>0</v>
      </c>
      <c r="AB267">
        <f>IF($C267-AB$1&lt;År1,0,AA266*(1-VLOOKUP($A267,[1]Hugst!$R$5:$W$9,MATCH(ROUNDUP((AB$1)/10,0)*10,[1]Hugst!$R$4:$W$4,0))))</f>
        <v>0</v>
      </c>
      <c r="AC267">
        <f>IF($C267-AC$1&lt;År1,0,AB266*(1-VLOOKUP($A267,[1]Hugst!$R$5:$W$9,MATCH(ROUNDUP((AC$1)/10,0)*10,[1]Hugst!$R$4:$W$4,0))))</f>
        <v>0</v>
      </c>
      <c r="AD267">
        <f>IF($C267-AD$1&lt;År1,0,AC266*(1-VLOOKUP($A267,[1]Hugst!$R$5:$W$9,MATCH(ROUNDUP((AD$1)/10,0)*10,[1]Hugst!$R$4:$W$4,0))))</f>
        <v>0</v>
      </c>
      <c r="AE267">
        <f>IF($C267-AE$1&lt;År1,0,AD266*(1-VLOOKUP($A267,[1]Hugst!$R$5:$W$9,MATCH(ROUNDUP((AE$1)/10,0)*10,[1]Hugst!$R$4:$W$4,0))))</f>
        <v>0</v>
      </c>
      <c r="AF267">
        <f>IF($C267-AF$1&lt;År1,0,AE266*(1-VLOOKUP($A267,[1]Hugst!$R$5:$W$9,MATCH(ROUNDUP((AF$1)/10,0)*10,[1]Hugst!$R$4:$W$4,0))))</f>
        <v>0</v>
      </c>
      <c r="AG267">
        <f>IF($C267-AG$1&lt;År1,0,AF266*(1-VLOOKUP($A267,[1]Hugst!$R$5:$W$9,MATCH(ROUNDUP((AG$1)/10,0)*10,[1]Hugst!$R$4:$W$4,0))))</f>
        <v>0</v>
      </c>
      <c r="AH267">
        <f>IF($C267-AH$1&lt;År1,0,AG266*(1-VLOOKUP($A267,[1]Hugst!$R$5:$W$9,MATCH(ROUNDUP((AH$1)/10,0)*10,[1]Hugst!$R$4:$W$4,0))))</f>
        <v>0</v>
      </c>
      <c r="AI267">
        <f>IF($C267-AI$1&lt;År1,0,AH266*(1-VLOOKUP($A267,[1]Hugst!$R$5:$W$9,MATCH(ROUNDUP((AI$1)/10,0)*10,[1]Hugst!$R$4:$W$4,0))))</f>
        <v>0</v>
      </c>
      <c r="AJ267">
        <f>IF($C267-AJ$1&lt;År1,0,AI266*(1-VLOOKUP($A267,[1]Hugst!$R$5:$W$9,MATCH(ROUNDUP((AJ$1)/10,0)*10,[1]Hugst!$R$4:$W$4,0))))</f>
        <v>0</v>
      </c>
    </row>
    <row r="268" spans="1:36" x14ac:dyDescent="0.25">
      <c r="A268" t="s">
        <v>180</v>
      </c>
      <c r="B268" t="s">
        <v>23</v>
      </c>
      <c r="C268">
        <v>2038</v>
      </c>
      <c r="D2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0</v>
      </c>
      <c r="E268">
        <f t="shared" ca="1" si="6"/>
        <v>0</v>
      </c>
      <c r="F2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>
        <f ca="1">IF($C268-G$1&lt;År1,0,F267*(1-VLOOKUP($A268,[1]Hugst!$R$5:$W$9,MATCH(ROUNDUP((G$1)/10,0)*10,[1]Hugst!$R$4:$W$4,0))))</f>
        <v>0</v>
      </c>
      <c r="H268">
        <f ca="1">IF($C268-H$1&lt;År1,0,G267*(1-VLOOKUP($A268,[1]Hugst!$R$5:$W$9,MATCH(ROUNDUP((H$1)/10,0)*10,[1]Hugst!$R$4:$W$4,0))))</f>
        <v>0</v>
      </c>
      <c r="I268">
        <f ca="1">IF($C268-I$1&lt;År1,0,H267*(1-VLOOKUP($A268,[1]Hugst!$R$5:$W$9,MATCH(ROUNDUP((I$1)/10,0)*10,[1]Hugst!$R$4:$W$4,0))))</f>
        <v>0</v>
      </c>
      <c r="J268">
        <f ca="1">IF($C268-J$1&lt;År1,0,I267*(1-VLOOKUP($A268,[1]Hugst!$R$5:$W$9,MATCH(ROUNDUP((J$1)/10,0)*10,[1]Hugst!$R$4:$W$4,0))))</f>
        <v>0</v>
      </c>
      <c r="K268">
        <f ca="1">IF($C268-K$1&lt;År1,0,J267*(1-VLOOKUP($A268,[1]Hugst!$R$5:$W$9,MATCH(ROUNDUP((K$1)/10,0)*10,[1]Hugst!$R$4:$W$4,0))))</f>
        <v>0</v>
      </c>
      <c r="L268">
        <f ca="1">IF($C268-L$1&lt;År1,0,K267*(1-VLOOKUP($A268,[1]Hugst!$R$5:$W$9,MATCH(ROUNDUP((L$1)/10,0)*10,[1]Hugst!$R$4:$W$4,0))))</f>
        <v>0</v>
      </c>
      <c r="M268">
        <f ca="1">IF($C268-M$1&lt;År1,0,L267*(1-VLOOKUP($A268,[1]Hugst!$R$5:$W$9,MATCH(ROUNDUP((M$1)/10,0)*10,[1]Hugst!$R$4:$W$4,0))))</f>
        <v>0</v>
      </c>
      <c r="N268">
        <f ca="1">IF($C268-N$1&lt;År1,0,M267*(1-VLOOKUP($A268,[1]Hugst!$R$5:$W$9,MATCH(ROUNDUP((N$1)/10,0)*10,[1]Hugst!$R$4:$W$4,0))))</f>
        <v>0</v>
      </c>
      <c r="O268">
        <f ca="1">IF($C268-O$1&lt;År1,0,N267*(1-VLOOKUP($A268,[1]Hugst!$R$5:$W$9,MATCH(ROUNDUP((O$1)/10,0)*10,[1]Hugst!$R$4:$W$4,0))))</f>
        <v>0</v>
      </c>
      <c r="P268">
        <f ca="1">IF($C268-P$1&lt;År1,0,O267*(1-VLOOKUP($A268,[1]Hugst!$R$5:$W$9,MATCH(ROUNDUP((P$1)/10,0)*10,[1]Hugst!$R$4:$W$4,0))))</f>
        <v>0</v>
      </c>
      <c r="Q268">
        <f ca="1">IF($C268-Q$1&lt;År1,0,P267*(1-VLOOKUP($A268,[1]Hugst!$R$5:$W$9,MATCH(ROUNDUP((Q$1)/10,0)*10,[1]Hugst!$R$4:$W$4,0))))</f>
        <v>0</v>
      </c>
      <c r="R268">
        <f ca="1">IF($C268-R$1&lt;År1,0,Q267*(1-VLOOKUP($A268,[1]Hugst!$R$5:$W$9,MATCH(ROUNDUP((R$1)/10,0)*10,[1]Hugst!$R$4:$W$4,0))))</f>
        <v>0</v>
      </c>
      <c r="S268">
        <f ca="1">IF($C268-S$1&lt;År1,0,R267*(1-VLOOKUP($A268,[1]Hugst!$R$5:$W$9,MATCH(ROUNDUP((S$1)/10,0)*10,[1]Hugst!$R$4:$W$4,0))))</f>
        <v>0</v>
      </c>
      <c r="T268">
        <f ca="1">IF($C268-T$1&lt;År1,0,S267*(1-VLOOKUP($A268,[1]Hugst!$R$5:$W$9,MATCH(ROUNDUP((T$1)/10,0)*10,[1]Hugst!$R$4:$W$4,0))))</f>
        <v>0</v>
      </c>
      <c r="U268">
        <f ca="1">IF($C268-U$1&lt;År1,0,T267*(1-VLOOKUP($A268,[1]Hugst!$R$5:$W$9,MATCH(ROUNDUP((U$1)/10,0)*10,[1]Hugst!$R$4:$W$4,0))))</f>
        <v>0</v>
      </c>
      <c r="V268">
        <f ca="1">IF($C268-V$1&lt;År1,0,U267*(1-VLOOKUP($A268,[1]Hugst!$R$5:$W$9,MATCH(ROUNDUP((V$1)/10,0)*10,[1]Hugst!$R$4:$W$4,0))))</f>
        <v>0</v>
      </c>
      <c r="W268">
        <f ca="1">IF($C268-W$1&lt;År1,0,V267*(1-VLOOKUP($A268,[1]Hugst!$R$5:$W$9,MATCH(ROUNDUP((W$1)/10,0)*10,[1]Hugst!$R$4:$W$4,0))))</f>
        <v>0</v>
      </c>
      <c r="X268">
        <f ca="1">IF($C268-X$1&lt;År1,0,W267*(1-VLOOKUP($A268,[1]Hugst!$R$5:$W$9,MATCH(ROUNDUP((X$1)/10,0)*10,[1]Hugst!$R$4:$W$4,0))))</f>
        <v>0</v>
      </c>
      <c r="Y268">
        <f>IF($C268-Y$1&lt;År1,0,X267*(1-VLOOKUP($A268,[1]Hugst!$R$5:$W$9,MATCH(ROUNDUP((Y$1)/10,0)*10,[1]Hugst!$R$4:$W$4,0))))</f>
        <v>0</v>
      </c>
      <c r="Z268">
        <f>IF($C268-Z$1&lt;År1,0,Y267*(1-VLOOKUP($A268,[1]Hugst!$R$5:$W$9,MATCH(ROUNDUP((Z$1)/10,0)*10,[1]Hugst!$R$4:$W$4,0))))</f>
        <v>0</v>
      </c>
      <c r="AA268">
        <f>IF($C268-AA$1&lt;År1,0,Z267*(1-VLOOKUP($A268,[1]Hugst!$R$5:$W$9,MATCH(ROUNDUP((AA$1)/10,0)*10,[1]Hugst!$R$4:$W$4,0))))</f>
        <v>0</v>
      </c>
      <c r="AB268">
        <f>IF($C268-AB$1&lt;År1,0,AA267*(1-VLOOKUP($A268,[1]Hugst!$R$5:$W$9,MATCH(ROUNDUP((AB$1)/10,0)*10,[1]Hugst!$R$4:$W$4,0))))</f>
        <v>0</v>
      </c>
      <c r="AC268">
        <f>IF($C268-AC$1&lt;År1,0,AB267*(1-VLOOKUP($A268,[1]Hugst!$R$5:$W$9,MATCH(ROUNDUP((AC$1)/10,0)*10,[1]Hugst!$R$4:$W$4,0))))</f>
        <v>0</v>
      </c>
      <c r="AD268">
        <f>IF($C268-AD$1&lt;År1,0,AC267*(1-VLOOKUP($A268,[1]Hugst!$R$5:$W$9,MATCH(ROUNDUP((AD$1)/10,0)*10,[1]Hugst!$R$4:$W$4,0))))</f>
        <v>0</v>
      </c>
      <c r="AE268">
        <f>IF($C268-AE$1&lt;År1,0,AD267*(1-VLOOKUP($A268,[1]Hugst!$R$5:$W$9,MATCH(ROUNDUP((AE$1)/10,0)*10,[1]Hugst!$R$4:$W$4,0))))</f>
        <v>0</v>
      </c>
      <c r="AF268">
        <f>IF($C268-AF$1&lt;År1,0,AE267*(1-VLOOKUP($A268,[1]Hugst!$R$5:$W$9,MATCH(ROUNDUP((AF$1)/10,0)*10,[1]Hugst!$R$4:$W$4,0))))</f>
        <v>0</v>
      </c>
      <c r="AG268">
        <f>IF($C268-AG$1&lt;År1,0,AF267*(1-VLOOKUP($A268,[1]Hugst!$R$5:$W$9,MATCH(ROUNDUP((AG$1)/10,0)*10,[1]Hugst!$R$4:$W$4,0))))</f>
        <v>0</v>
      </c>
      <c r="AH268">
        <f>IF($C268-AH$1&lt;År1,0,AG267*(1-VLOOKUP($A268,[1]Hugst!$R$5:$W$9,MATCH(ROUNDUP((AH$1)/10,0)*10,[1]Hugst!$R$4:$W$4,0))))</f>
        <v>0</v>
      </c>
      <c r="AI268">
        <f>IF($C268-AI$1&lt;År1,0,AH267*(1-VLOOKUP($A268,[1]Hugst!$R$5:$W$9,MATCH(ROUNDUP((AI$1)/10,0)*10,[1]Hugst!$R$4:$W$4,0))))</f>
        <v>0</v>
      </c>
      <c r="AJ268">
        <f>IF($C268-AJ$1&lt;År1,0,AI267*(1-VLOOKUP($A268,[1]Hugst!$R$5:$W$9,MATCH(ROUNDUP((AJ$1)/10,0)*10,[1]Hugst!$R$4:$W$4,0))))</f>
        <v>0</v>
      </c>
    </row>
    <row r="269" spans="1:36" x14ac:dyDescent="0.25">
      <c r="A269" t="s">
        <v>180</v>
      </c>
      <c r="B269" t="s">
        <v>23</v>
      </c>
      <c r="C269">
        <v>2039</v>
      </c>
      <c r="D269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0</v>
      </c>
      <c r="E269">
        <f t="shared" ca="1" si="6"/>
        <v>0</v>
      </c>
      <c r="F2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>
        <f ca="1">IF($C269-G$1&lt;År1,0,F268*(1-VLOOKUP($A269,[1]Hugst!$R$5:$W$9,MATCH(ROUNDUP((G$1)/10,0)*10,[1]Hugst!$R$4:$W$4,0))))</f>
        <v>0</v>
      </c>
      <c r="H269">
        <f ca="1">IF($C269-H$1&lt;År1,0,G268*(1-VLOOKUP($A269,[1]Hugst!$R$5:$W$9,MATCH(ROUNDUP((H$1)/10,0)*10,[1]Hugst!$R$4:$W$4,0))))</f>
        <v>0</v>
      </c>
      <c r="I269">
        <f ca="1">IF($C269-I$1&lt;År1,0,H268*(1-VLOOKUP($A269,[1]Hugst!$R$5:$W$9,MATCH(ROUNDUP((I$1)/10,0)*10,[1]Hugst!$R$4:$W$4,0))))</f>
        <v>0</v>
      </c>
      <c r="J269">
        <f ca="1">IF($C269-J$1&lt;År1,0,I268*(1-VLOOKUP($A269,[1]Hugst!$R$5:$W$9,MATCH(ROUNDUP((J$1)/10,0)*10,[1]Hugst!$R$4:$W$4,0))))</f>
        <v>0</v>
      </c>
      <c r="K269">
        <f ca="1">IF($C269-K$1&lt;År1,0,J268*(1-VLOOKUP($A269,[1]Hugst!$R$5:$W$9,MATCH(ROUNDUP((K$1)/10,0)*10,[1]Hugst!$R$4:$W$4,0))))</f>
        <v>0</v>
      </c>
      <c r="L269">
        <f ca="1">IF($C269-L$1&lt;År1,0,K268*(1-VLOOKUP($A269,[1]Hugst!$R$5:$W$9,MATCH(ROUNDUP((L$1)/10,0)*10,[1]Hugst!$R$4:$W$4,0))))</f>
        <v>0</v>
      </c>
      <c r="M269">
        <f ca="1">IF($C269-M$1&lt;År1,0,L268*(1-VLOOKUP($A269,[1]Hugst!$R$5:$W$9,MATCH(ROUNDUP((M$1)/10,0)*10,[1]Hugst!$R$4:$W$4,0))))</f>
        <v>0</v>
      </c>
      <c r="N269">
        <f ca="1">IF($C269-N$1&lt;År1,0,M268*(1-VLOOKUP($A269,[1]Hugst!$R$5:$W$9,MATCH(ROUNDUP((N$1)/10,0)*10,[1]Hugst!$R$4:$W$4,0))))</f>
        <v>0</v>
      </c>
      <c r="O269">
        <f ca="1">IF($C269-O$1&lt;År1,0,N268*(1-VLOOKUP($A269,[1]Hugst!$R$5:$W$9,MATCH(ROUNDUP((O$1)/10,0)*10,[1]Hugst!$R$4:$W$4,0))))</f>
        <v>0</v>
      </c>
      <c r="P269">
        <f ca="1">IF($C269-P$1&lt;År1,0,O268*(1-VLOOKUP($A269,[1]Hugst!$R$5:$W$9,MATCH(ROUNDUP((P$1)/10,0)*10,[1]Hugst!$R$4:$W$4,0))))</f>
        <v>0</v>
      </c>
      <c r="Q269">
        <f ca="1">IF($C269-Q$1&lt;År1,0,P268*(1-VLOOKUP($A269,[1]Hugst!$R$5:$W$9,MATCH(ROUNDUP((Q$1)/10,0)*10,[1]Hugst!$R$4:$W$4,0))))</f>
        <v>0</v>
      </c>
      <c r="R269">
        <f ca="1">IF($C269-R$1&lt;År1,0,Q268*(1-VLOOKUP($A269,[1]Hugst!$R$5:$W$9,MATCH(ROUNDUP((R$1)/10,0)*10,[1]Hugst!$R$4:$W$4,0))))</f>
        <v>0</v>
      </c>
      <c r="S269">
        <f ca="1">IF($C269-S$1&lt;År1,0,R268*(1-VLOOKUP($A269,[1]Hugst!$R$5:$W$9,MATCH(ROUNDUP((S$1)/10,0)*10,[1]Hugst!$R$4:$W$4,0))))</f>
        <v>0</v>
      </c>
      <c r="T269">
        <f ca="1">IF($C269-T$1&lt;År1,0,S268*(1-VLOOKUP($A269,[1]Hugst!$R$5:$W$9,MATCH(ROUNDUP((T$1)/10,0)*10,[1]Hugst!$R$4:$W$4,0))))</f>
        <v>0</v>
      </c>
      <c r="U269">
        <f ca="1">IF($C269-U$1&lt;År1,0,T268*(1-VLOOKUP($A269,[1]Hugst!$R$5:$W$9,MATCH(ROUNDUP((U$1)/10,0)*10,[1]Hugst!$R$4:$W$4,0))))</f>
        <v>0</v>
      </c>
      <c r="V269">
        <f ca="1">IF($C269-V$1&lt;År1,0,U268*(1-VLOOKUP($A269,[1]Hugst!$R$5:$W$9,MATCH(ROUNDUP((V$1)/10,0)*10,[1]Hugst!$R$4:$W$4,0))))</f>
        <v>0</v>
      </c>
      <c r="W269">
        <f ca="1">IF($C269-W$1&lt;År1,0,V268*(1-VLOOKUP($A269,[1]Hugst!$R$5:$W$9,MATCH(ROUNDUP((W$1)/10,0)*10,[1]Hugst!$R$4:$W$4,0))))</f>
        <v>0</v>
      </c>
      <c r="X269">
        <f ca="1">IF($C269-X$1&lt;År1,0,W268*(1-VLOOKUP($A269,[1]Hugst!$R$5:$W$9,MATCH(ROUNDUP((X$1)/10,0)*10,[1]Hugst!$R$4:$W$4,0))))</f>
        <v>0</v>
      </c>
      <c r="Y269">
        <f ca="1">IF($C269-Y$1&lt;År1,0,X268*(1-VLOOKUP($A269,[1]Hugst!$R$5:$W$9,MATCH(ROUNDUP((Y$1)/10,0)*10,[1]Hugst!$R$4:$W$4,0))))</f>
        <v>0</v>
      </c>
      <c r="Z269">
        <f>IF($C269-Z$1&lt;År1,0,Y268*(1-VLOOKUP($A269,[1]Hugst!$R$5:$W$9,MATCH(ROUNDUP((Z$1)/10,0)*10,[1]Hugst!$R$4:$W$4,0))))</f>
        <v>0</v>
      </c>
      <c r="AA269">
        <f>IF($C269-AA$1&lt;År1,0,Z268*(1-VLOOKUP($A269,[1]Hugst!$R$5:$W$9,MATCH(ROUNDUP((AA$1)/10,0)*10,[1]Hugst!$R$4:$W$4,0))))</f>
        <v>0</v>
      </c>
      <c r="AB269">
        <f>IF($C269-AB$1&lt;År1,0,AA268*(1-VLOOKUP($A269,[1]Hugst!$R$5:$W$9,MATCH(ROUNDUP((AB$1)/10,0)*10,[1]Hugst!$R$4:$W$4,0))))</f>
        <v>0</v>
      </c>
      <c r="AC269">
        <f>IF($C269-AC$1&lt;År1,0,AB268*(1-VLOOKUP($A269,[1]Hugst!$R$5:$W$9,MATCH(ROUNDUP((AC$1)/10,0)*10,[1]Hugst!$R$4:$W$4,0))))</f>
        <v>0</v>
      </c>
      <c r="AD269">
        <f>IF($C269-AD$1&lt;År1,0,AC268*(1-VLOOKUP($A269,[1]Hugst!$R$5:$W$9,MATCH(ROUNDUP((AD$1)/10,0)*10,[1]Hugst!$R$4:$W$4,0))))</f>
        <v>0</v>
      </c>
      <c r="AE269">
        <f>IF($C269-AE$1&lt;År1,0,AD268*(1-VLOOKUP($A269,[1]Hugst!$R$5:$W$9,MATCH(ROUNDUP((AE$1)/10,0)*10,[1]Hugst!$R$4:$W$4,0))))</f>
        <v>0</v>
      </c>
      <c r="AF269">
        <f>IF($C269-AF$1&lt;År1,0,AE268*(1-VLOOKUP($A269,[1]Hugst!$R$5:$W$9,MATCH(ROUNDUP((AF$1)/10,0)*10,[1]Hugst!$R$4:$W$4,0))))</f>
        <v>0</v>
      </c>
      <c r="AG269">
        <f>IF($C269-AG$1&lt;År1,0,AF268*(1-VLOOKUP($A269,[1]Hugst!$R$5:$W$9,MATCH(ROUNDUP((AG$1)/10,0)*10,[1]Hugst!$R$4:$W$4,0))))</f>
        <v>0</v>
      </c>
      <c r="AH269">
        <f>IF($C269-AH$1&lt;År1,0,AG268*(1-VLOOKUP($A269,[1]Hugst!$R$5:$W$9,MATCH(ROUNDUP((AH$1)/10,0)*10,[1]Hugst!$R$4:$W$4,0))))</f>
        <v>0</v>
      </c>
      <c r="AI269">
        <f>IF($C269-AI$1&lt;År1,0,AH268*(1-VLOOKUP($A269,[1]Hugst!$R$5:$W$9,MATCH(ROUNDUP((AI$1)/10,0)*10,[1]Hugst!$R$4:$W$4,0))))</f>
        <v>0</v>
      </c>
      <c r="AJ269">
        <f>IF($C269-AJ$1&lt;År1,0,AI268*(1-VLOOKUP($A269,[1]Hugst!$R$5:$W$9,MATCH(ROUNDUP((AJ$1)/10,0)*10,[1]Hugst!$R$4:$W$4,0))))</f>
        <v>0</v>
      </c>
    </row>
    <row r="270" spans="1:36" x14ac:dyDescent="0.25">
      <c r="A270" t="s">
        <v>180</v>
      </c>
      <c r="B270" t="s">
        <v>23</v>
      </c>
      <c r="C270">
        <v>2040</v>
      </c>
      <c r="D270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0</v>
      </c>
      <c r="E270">
        <f t="shared" ca="1" si="6"/>
        <v>0</v>
      </c>
      <c r="F270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>
        <f ca="1">IF($C270-G$1&lt;År1,0,F269*(1-VLOOKUP($A270,[1]Hugst!$R$5:$W$9,MATCH(ROUNDUP((G$1)/10,0)*10,[1]Hugst!$R$4:$W$4,0))))</f>
        <v>0</v>
      </c>
      <c r="H270">
        <f ca="1">IF($C270-H$1&lt;År1,0,G269*(1-VLOOKUP($A270,[1]Hugst!$R$5:$W$9,MATCH(ROUNDUP((H$1)/10,0)*10,[1]Hugst!$R$4:$W$4,0))))</f>
        <v>0</v>
      </c>
      <c r="I270">
        <f ca="1">IF($C270-I$1&lt;År1,0,H269*(1-VLOOKUP($A270,[1]Hugst!$R$5:$W$9,MATCH(ROUNDUP((I$1)/10,0)*10,[1]Hugst!$R$4:$W$4,0))))</f>
        <v>0</v>
      </c>
      <c r="J270">
        <f ca="1">IF($C270-J$1&lt;År1,0,I269*(1-VLOOKUP($A270,[1]Hugst!$R$5:$W$9,MATCH(ROUNDUP((J$1)/10,0)*10,[1]Hugst!$R$4:$W$4,0))))</f>
        <v>0</v>
      </c>
      <c r="K270">
        <f ca="1">IF($C270-K$1&lt;År1,0,J269*(1-VLOOKUP($A270,[1]Hugst!$R$5:$W$9,MATCH(ROUNDUP((K$1)/10,0)*10,[1]Hugst!$R$4:$W$4,0))))</f>
        <v>0</v>
      </c>
      <c r="L270">
        <f ca="1">IF($C270-L$1&lt;År1,0,K269*(1-VLOOKUP($A270,[1]Hugst!$R$5:$W$9,MATCH(ROUNDUP((L$1)/10,0)*10,[1]Hugst!$R$4:$W$4,0))))</f>
        <v>0</v>
      </c>
      <c r="M270">
        <f ca="1">IF($C270-M$1&lt;År1,0,L269*(1-VLOOKUP($A270,[1]Hugst!$R$5:$W$9,MATCH(ROUNDUP((M$1)/10,0)*10,[1]Hugst!$R$4:$W$4,0))))</f>
        <v>0</v>
      </c>
      <c r="N270">
        <f ca="1">IF($C270-N$1&lt;År1,0,M269*(1-VLOOKUP($A270,[1]Hugst!$R$5:$W$9,MATCH(ROUNDUP((N$1)/10,0)*10,[1]Hugst!$R$4:$W$4,0))))</f>
        <v>0</v>
      </c>
      <c r="O270">
        <f ca="1">IF($C270-O$1&lt;År1,0,N269*(1-VLOOKUP($A270,[1]Hugst!$R$5:$W$9,MATCH(ROUNDUP((O$1)/10,0)*10,[1]Hugst!$R$4:$W$4,0))))</f>
        <v>0</v>
      </c>
      <c r="P270">
        <f ca="1">IF($C270-P$1&lt;År1,0,O269*(1-VLOOKUP($A270,[1]Hugst!$R$5:$W$9,MATCH(ROUNDUP((P$1)/10,0)*10,[1]Hugst!$R$4:$W$4,0))))</f>
        <v>0</v>
      </c>
      <c r="Q270">
        <f ca="1">IF($C270-Q$1&lt;År1,0,P269*(1-VLOOKUP($A270,[1]Hugst!$R$5:$W$9,MATCH(ROUNDUP((Q$1)/10,0)*10,[1]Hugst!$R$4:$W$4,0))))</f>
        <v>0</v>
      </c>
      <c r="R270">
        <f ca="1">IF($C270-R$1&lt;År1,0,Q269*(1-VLOOKUP($A270,[1]Hugst!$R$5:$W$9,MATCH(ROUNDUP((R$1)/10,0)*10,[1]Hugst!$R$4:$W$4,0))))</f>
        <v>0</v>
      </c>
      <c r="S270">
        <f ca="1">IF($C270-S$1&lt;År1,0,R269*(1-VLOOKUP($A270,[1]Hugst!$R$5:$W$9,MATCH(ROUNDUP((S$1)/10,0)*10,[1]Hugst!$R$4:$W$4,0))))</f>
        <v>0</v>
      </c>
      <c r="T270">
        <f ca="1">IF($C270-T$1&lt;År1,0,S269*(1-VLOOKUP($A270,[1]Hugst!$R$5:$W$9,MATCH(ROUNDUP((T$1)/10,0)*10,[1]Hugst!$R$4:$W$4,0))))</f>
        <v>0</v>
      </c>
      <c r="U270">
        <f ca="1">IF($C270-U$1&lt;År1,0,T269*(1-VLOOKUP($A270,[1]Hugst!$R$5:$W$9,MATCH(ROUNDUP((U$1)/10,0)*10,[1]Hugst!$R$4:$W$4,0))))</f>
        <v>0</v>
      </c>
      <c r="V270">
        <f ca="1">IF($C270-V$1&lt;År1,0,U269*(1-VLOOKUP($A270,[1]Hugst!$R$5:$W$9,MATCH(ROUNDUP((V$1)/10,0)*10,[1]Hugst!$R$4:$W$4,0))))</f>
        <v>0</v>
      </c>
      <c r="W270">
        <f ca="1">IF($C270-W$1&lt;År1,0,V269*(1-VLOOKUP($A270,[1]Hugst!$R$5:$W$9,MATCH(ROUNDUP((W$1)/10,0)*10,[1]Hugst!$R$4:$W$4,0))))</f>
        <v>0</v>
      </c>
      <c r="X270">
        <f ca="1">IF($C270-X$1&lt;År1,0,W269*(1-VLOOKUP($A270,[1]Hugst!$R$5:$W$9,MATCH(ROUNDUP((X$1)/10,0)*10,[1]Hugst!$R$4:$W$4,0))))</f>
        <v>0</v>
      </c>
      <c r="Y270">
        <f ca="1">IF($C270-Y$1&lt;År1,0,X269*(1-VLOOKUP($A270,[1]Hugst!$R$5:$W$9,MATCH(ROUNDUP((Y$1)/10,0)*10,[1]Hugst!$R$4:$W$4,0))))</f>
        <v>0</v>
      </c>
      <c r="Z270">
        <f ca="1">IF($C270-Z$1&lt;År1,0,Y269*(1-VLOOKUP($A270,[1]Hugst!$R$5:$W$9,MATCH(ROUNDUP((Z$1)/10,0)*10,[1]Hugst!$R$4:$W$4,0))))</f>
        <v>0</v>
      </c>
      <c r="AA270">
        <f>IF($C270-AA$1&lt;År1,0,Z269*(1-VLOOKUP($A270,[1]Hugst!$R$5:$W$9,MATCH(ROUNDUP((AA$1)/10,0)*10,[1]Hugst!$R$4:$W$4,0))))</f>
        <v>0</v>
      </c>
      <c r="AB270">
        <f>IF($C270-AB$1&lt;År1,0,AA269*(1-VLOOKUP($A270,[1]Hugst!$R$5:$W$9,MATCH(ROUNDUP((AB$1)/10,0)*10,[1]Hugst!$R$4:$W$4,0))))</f>
        <v>0</v>
      </c>
      <c r="AC270">
        <f>IF($C270-AC$1&lt;År1,0,AB269*(1-VLOOKUP($A270,[1]Hugst!$R$5:$W$9,MATCH(ROUNDUP((AC$1)/10,0)*10,[1]Hugst!$R$4:$W$4,0))))</f>
        <v>0</v>
      </c>
      <c r="AD270">
        <f>IF($C270-AD$1&lt;År1,0,AC269*(1-VLOOKUP($A270,[1]Hugst!$R$5:$W$9,MATCH(ROUNDUP((AD$1)/10,0)*10,[1]Hugst!$R$4:$W$4,0))))</f>
        <v>0</v>
      </c>
      <c r="AE270">
        <f>IF($C270-AE$1&lt;År1,0,AD269*(1-VLOOKUP($A270,[1]Hugst!$R$5:$W$9,MATCH(ROUNDUP((AE$1)/10,0)*10,[1]Hugst!$R$4:$W$4,0))))</f>
        <v>0</v>
      </c>
      <c r="AF270">
        <f>IF($C270-AF$1&lt;År1,0,AE269*(1-VLOOKUP($A270,[1]Hugst!$R$5:$W$9,MATCH(ROUNDUP((AF$1)/10,0)*10,[1]Hugst!$R$4:$W$4,0))))</f>
        <v>0</v>
      </c>
      <c r="AG270">
        <f>IF($C270-AG$1&lt;År1,0,AF269*(1-VLOOKUP($A270,[1]Hugst!$R$5:$W$9,MATCH(ROUNDUP((AG$1)/10,0)*10,[1]Hugst!$R$4:$W$4,0))))</f>
        <v>0</v>
      </c>
      <c r="AH270">
        <f>IF($C270-AH$1&lt;År1,0,AG269*(1-VLOOKUP($A270,[1]Hugst!$R$5:$W$9,MATCH(ROUNDUP((AH$1)/10,0)*10,[1]Hugst!$R$4:$W$4,0))))</f>
        <v>0</v>
      </c>
      <c r="AI270">
        <f>IF($C270-AI$1&lt;År1,0,AH269*(1-VLOOKUP($A270,[1]Hugst!$R$5:$W$9,MATCH(ROUNDUP((AI$1)/10,0)*10,[1]Hugst!$R$4:$W$4,0))))</f>
        <v>0</v>
      </c>
      <c r="AJ270">
        <f>IF($C270-AJ$1&lt;År1,0,AI269*(1-VLOOKUP($A270,[1]Hugst!$R$5:$W$9,MATCH(ROUNDUP((AJ$1)/10,0)*10,[1]Hugst!$R$4:$W$4,0))))</f>
        <v>0</v>
      </c>
    </row>
    <row r="271" spans="1:36" x14ac:dyDescent="0.25">
      <c r="A271" t="s">
        <v>180</v>
      </c>
      <c r="B271" t="s">
        <v>23</v>
      </c>
      <c r="C271">
        <v>2041</v>
      </c>
      <c r="D271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0</v>
      </c>
      <c r="E271">
        <f t="shared" ca="1" si="6"/>
        <v>0</v>
      </c>
      <c r="F271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>
        <f ca="1">IF($C271-G$1&lt;År1,0,F270*(1-VLOOKUP($A271,[1]Hugst!$R$5:$W$9,MATCH(ROUNDUP((G$1)/10,0)*10,[1]Hugst!$R$4:$W$4,0))))</f>
        <v>0</v>
      </c>
      <c r="H271">
        <f ca="1">IF($C271-H$1&lt;År1,0,G270*(1-VLOOKUP($A271,[1]Hugst!$R$5:$W$9,MATCH(ROUNDUP((H$1)/10,0)*10,[1]Hugst!$R$4:$W$4,0))))</f>
        <v>0</v>
      </c>
      <c r="I271">
        <f ca="1">IF($C271-I$1&lt;År1,0,H270*(1-VLOOKUP($A271,[1]Hugst!$R$5:$W$9,MATCH(ROUNDUP((I$1)/10,0)*10,[1]Hugst!$R$4:$W$4,0))))</f>
        <v>0</v>
      </c>
      <c r="J271">
        <f ca="1">IF($C271-J$1&lt;År1,0,I270*(1-VLOOKUP($A271,[1]Hugst!$R$5:$W$9,MATCH(ROUNDUP((J$1)/10,0)*10,[1]Hugst!$R$4:$W$4,0))))</f>
        <v>0</v>
      </c>
      <c r="K271">
        <f ca="1">IF($C271-K$1&lt;År1,0,J270*(1-VLOOKUP($A271,[1]Hugst!$R$5:$W$9,MATCH(ROUNDUP((K$1)/10,0)*10,[1]Hugst!$R$4:$W$4,0))))</f>
        <v>0</v>
      </c>
      <c r="L271">
        <f ca="1">IF($C271-L$1&lt;År1,0,K270*(1-VLOOKUP($A271,[1]Hugst!$R$5:$W$9,MATCH(ROUNDUP((L$1)/10,0)*10,[1]Hugst!$R$4:$W$4,0))))</f>
        <v>0</v>
      </c>
      <c r="M271">
        <f ca="1">IF($C271-M$1&lt;År1,0,L270*(1-VLOOKUP($A271,[1]Hugst!$R$5:$W$9,MATCH(ROUNDUP((M$1)/10,0)*10,[1]Hugst!$R$4:$W$4,0))))</f>
        <v>0</v>
      </c>
      <c r="N271">
        <f ca="1">IF($C271-N$1&lt;År1,0,M270*(1-VLOOKUP($A271,[1]Hugst!$R$5:$W$9,MATCH(ROUNDUP((N$1)/10,0)*10,[1]Hugst!$R$4:$W$4,0))))</f>
        <v>0</v>
      </c>
      <c r="O271">
        <f ca="1">IF($C271-O$1&lt;År1,0,N270*(1-VLOOKUP($A271,[1]Hugst!$R$5:$W$9,MATCH(ROUNDUP((O$1)/10,0)*10,[1]Hugst!$R$4:$W$4,0))))</f>
        <v>0</v>
      </c>
      <c r="P271">
        <f ca="1">IF($C271-P$1&lt;År1,0,O270*(1-VLOOKUP($A271,[1]Hugst!$R$5:$W$9,MATCH(ROUNDUP((P$1)/10,0)*10,[1]Hugst!$R$4:$W$4,0))))</f>
        <v>0</v>
      </c>
      <c r="Q271">
        <f ca="1">IF($C271-Q$1&lt;År1,0,P270*(1-VLOOKUP($A271,[1]Hugst!$R$5:$W$9,MATCH(ROUNDUP((Q$1)/10,0)*10,[1]Hugst!$R$4:$W$4,0))))</f>
        <v>0</v>
      </c>
      <c r="R271">
        <f ca="1">IF($C271-R$1&lt;År1,0,Q270*(1-VLOOKUP($A271,[1]Hugst!$R$5:$W$9,MATCH(ROUNDUP((R$1)/10,0)*10,[1]Hugst!$R$4:$W$4,0))))</f>
        <v>0</v>
      </c>
      <c r="S271">
        <f ca="1">IF($C271-S$1&lt;År1,0,R270*(1-VLOOKUP($A271,[1]Hugst!$R$5:$W$9,MATCH(ROUNDUP((S$1)/10,0)*10,[1]Hugst!$R$4:$W$4,0))))</f>
        <v>0</v>
      </c>
      <c r="T271">
        <f ca="1">IF($C271-T$1&lt;År1,0,S270*(1-VLOOKUP($A271,[1]Hugst!$R$5:$W$9,MATCH(ROUNDUP((T$1)/10,0)*10,[1]Hugst!$R$4:$W$4,0))))</f>
        <v>0</v>
      </c>
      <c r="U271">
        <f ca="1">IF($C271-U$1&lt;År1,0,T270*(1-VLOOKUP($A271,[1]Hugst!$R$5:$W$9,MATCH(ROUNDUP((U$1)/10,0)*10,[1]Hugst!$R$4:$W$4,0))))</f>
        <v>0</v>
      </c>
      <c r="V271">
        <f ca="1">IF($C271-V$1&lt;År1,0,U270*(1-VLOOKUP($A271,[1]Hugst!$R$5:$W$9,MATCH(ROUNDUP((V$1)/10,0)*10,[1]Hugst!$R$4:$W$4,0))))</f>
        <v>0</v>
      </c>
      <c r="W271">
        <f ca="1">IF($C271-W$1&lt;År1,0,V270*(1-VLOOKUP($A271,[1]Hugst!$R$5:$W$9,MATCH(ROUNDUP((W$1)/10,0)*10,[1]Hugst!$R$4:$W$4,0))))</f>
        <v>0</v>
      </c>
      <c r="X271">
        <f ca="1">IF($C271-X$1&lt;År1,0,W270*(1-VLOOKUP($A271,[1]Hugst!$R$5:$W$9,MATCH(ROUNDUP((X$1)/10,0)*10,[1]Hugst!$R$4:$W$4,0))))</f>
        <v>0</v>
      </c>
      <c r="Y271">
        <f ca="1">IF($C271-Y$1&lt;År1,0,X270*(1-VLOOKUP($A271,[1]Hugst!$R$5:$W$9,MATCH(ROUNDUP((Y$1)/10,0)*10,[1]Hugst!$R$4:$W$4,0))))</f>
        <v>0</v>
      </c>
      <c r="Z271">
        <f ca="1">IF($C271-Z$1&lt;År1,0,Y270*(1-VLOOKUP($A271,[1]Hugst!$R$5:$W$9,MATCH(ROUNDUP((Z$1)/10,0)*10,[1]Hugst!$R$4:$W$4,0))))</f>
        <v>0</v>
      </c>
      <c r="AA271">
        <f ca="1">IF($C271-AA$1&lt;År1,0,Z270*(1-VLOOKUP($A271,[1]Hugst!$R$5:$W$9,MATCH(ROUNDUP((AA$1)/10,0)*10,[1]Hugst!$R$4:$W$4,0))))</f>
        <v>0</v>
      </c>
      <c r="AB271">
        <f>IF($C271-AB$1&lt;År1,0,AA270*(1-VLOOKUP($A271,[1]Hugst!$R$5:$W$9,MATCH(ROUNDUP((AB$1)/10,0)*10,[1]Hugst!$R$4:$W$4,0))))</f>
        <v>0</v>
      </c>
      <c r="AC271">
        <f>IF($C271-AC$1&lt;År1,0,AB270*(1-VLOOKUP($A271,[1]Hugst!$R$5:$W$9,MATCH(ROUNDUP((AC$1)/10,0)*10,[1]Hugst!$R$4:$W$4,0))))</f>
        <v>0</v>
      </c>
      <c r="AD271">
        <f>IF($C271-AD$1&lt;År1,0,AC270*(1-VLOOKUP($A271,[1]Hugst!$R$5:$W$9,MATCH(ROUNDUP((AD$1)/10,0)*10,[1]Hugst!$R$4:$W$4,0))))</f>
        <v>0</v>
      </c>
      <c r="AE271">
        <f>IF($C271-AE$1&lt;År1,0,AD270*(1-VLOOKUP($A271,[1]Hugst!$R$5:$W$9,MATCH(ROUNDUP((AE$1)/10,0)*10,[1]Hugst!$R$4:$W$4,0))))</f>
        <v>0</v>
      </c>
      <c r="AF271">
        <f>IF($C271-AF$1&lt;År1,0,AE270*(1-VLOOKUP($A271,[1]Hugst!$R$5:$W$9,MATCH(ROUNDUP((AF$1)/10,0)*10,[1]Hugst!$R$4:$W$4,0))))</f>
        <v>0</v>
      </c>
      <c r="AG271">
        <f>IF($C271-AG$1&lt;År1,0,AF270*(1-VLOOKUP($A271,[1]Hugst!$R$5:$W$9,MATCH(ROUNDUP((AG$1)/10,0)*10,[1]Hugst!$R$4:$W$4,0))))</f>
        <v>0</v>
      </c>
      <c r="AH271">
        <f>IF($C271-AH$1&lt;År1,0,AG270*(1-VLOOKUP($A271,[1]Hugst!$R$5:$W$9,MATCH(ROUNDUP((AH$1)/10,0)*10,[1]Hugst!$R$4:$W$4,0))))</f>
        <v>0</v>
      </c>
      <c r="AI271">
        <f>IF($C271-AI$1&lt;År1,0,AH270*(1-VLOOKUP($A271,[1]Hugst!$R$5:$W$9,MATCH(ROUNDUP((AI$1)/10,0)*10,[1]Hugst!$R$4:$W$4,0))))</f>
        <v>0</v>
      </c>
      <c r="AJ271">
        <f>IF($C271-AJ$1&lt;År1,0,AI270*(1-VLOOKUP($A271,[1]Hugst!$R$5:$W$9,MATCH(ROUNDUP((AJ$1)/10,0)*10,[1]Hugst!$R$4:$W$4,0))))</f>
        <v>0</v>
      </c>
    </row>
    <row r="272" spans="1:36" x14ac:dyDescent="0.25">
      <c r="A272" t="s">
        <v>180</v>
      </c>
      <c r="B272" t="s">
        <v>23</v>
      </c>
      <c r="C272">
        <v>2042</v>
      </c>
      <c r="D272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0</v>
      </c>
      <c r="E272">
        <f t="shared" ca="1" si="6"/>
        <v>0</v>
      </c>
      <c r="F272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>
        <f ca="1">IF($C272-G$1&lt;År1,0,F271*(1-VLOOKUP($A272,[1]Hugst!$R$5:$W$9,MATCH(ROUNDUP((G$1)/10,0)*10,[1]Hugst!$R$4:$W$4,0))))</f>
        <v>0</v>
      </c>
      <c r="H272">
        <f ca="1">IF($C272-H$1&lt;År1,0,G271*(1-VLOOKUP($A272,[1]Hugst!$R$5:$W$9,MATCH(ROUNDUP((H$1)/10,0)*10,[1]Hugst!$R$4:$W$4,0))))</f>
        <v>0</v>
      </c>
      <c r="I272">
        <f ca="1">IF($C272-I$1&lt;År1,0,H271*(1-VLOOKUP($A272,[1]Hugst!$R$5:$W$9,MATCH(ROUNDUP((I$1)/10,0)*10,[1]Hugst!$R$4:$W$4,0))))</f>
        <v>0</v>
      </c>
      <c r="J272">
        <f ca="1">IF($C272-J$1&lt;År1,0,I271*(1-VLOOKUP($A272,[1]Hugst!$R$5:$W$9,MATCH(ROUNDUP((J$1)/10,0)*10,[1]Hugst!$R$4:$W$4,0))))</f>
        <v>0</v>
      </c>
      <c r="K272">
        <f ca="1">IF($C272-K$1&lt;År1,0,J271*(1-VLOOKUP($A272,[1]Hugst!$R$5:$W$9,MATCH(ROUNDUP((K$1)/10,0)*10,[1]Hugst!$R$4:$W$4,0))))</f>
        <v>0</v>
      </c>
      <c r="L272">
        <f ca="1">IF($C272-L$1&lt;År1,0,K271*(1-VLOOKUP($A272,[1]Hugst!$R$5:$W$9,MATCH(ROUNDUP((L$1)/10,0)*10,[1]Hugst!$R$4:$W$4,0))))</f>
        <v>0</v>
      </c>
      <c r="M272">
        <f ca="1">IF($C272-M$1&lt;År1,0,L271*(1-VLOOKUP($A272,[1]Hugst!$R$5:$W$9,MATCH(ROUNDUP((M$1)/10,0)*10,[1]Hugst!$R$4:$W$4,0))))</f>
        <v>0</v>
      </c>
      <c r="N272">
        <f ca="1">IF($C272-N$1&lt;År1,0,M271*(1-VLOOKUP($A272,[1]Hugst!$R$5:$W$9,MATCH(ROUNDUP((N$1)/10,0)*10,[1]Hugst!$R$4:$W$4,0))))</f>
        <v>0</v>
      </c>
      <c r="O272">
        <f ca="1">IF($C272-O$1&lt;År1,0,N271*(1-VLOOKUP($A272,[1]Hugst!$R$5:$W$9,MATCH(ROUNDUP((O$1)/10,0)*10,[1]Hugst!$R$4:$W$4,0))))</f>
        <v>0</v>
      </c>
      <c r="P272">
        <f ca="1">IF($C272-P$1&lt;År1,0,O271*(1-VLOOKUP($A272,[1]Hugst!$R$5:$W$9,MATCH(ROUNDUP((P$1)/10,0)*10,[1]Hugst!$R$4:$W$4,0))))</f>
        <v>0</v>
      </c>
      <c r="Q272">
        <f ca="1">IF($C272-Q$1&lt;År1,0,P271*(1-VLOOKUP($A272,[1]Hugst!$R$5:$W$9,MATCH(ROUNDUP((Q$1)/10,0)*10,[1]Hugst!$R$4:$W$4,0))))</f>
        <v>0</v>
      </c>
      <c r="R272">
        <f ca="1">IF($C272-R$1&lt;År1,0,Q271*(1-VLOOKUP($A272,[1]Hugst!$R$5:$W$9,MATCH(ROUNDUP((R$1)/10,0)*10,[1]Hugst!$R$4:$W$4,0))))</f>
        <v>0</v>
      </c>
      <c r="S272">
        <f ca="1">IF($C272-S$1&lt;År1,0,R271*(1-VLOOKUP($A272,[1]Hugst!$R$5:$W$9,MATCH(ROUNDUP((S$1)/10,0)*10,[1]Hugst!$R$4:$W$4,0))))</f>
        <v>0</v>
      </c>
      <c r="T272">
        <f ca="1">IF($C272-T$1&lt;År1,0,S271*(1-VLOOKUP($A272,[1]Hugst!$R$5:$W$9,MATCH(ROUNDUP((T$1)/10,0)*10,[1]Hugst!$R$4:$W$4,0))))</f>
        <v>0</v>
      </c>
      <c r="U272">
        <f ca="1">IF($C272-U$1&lt;År1,0,T271*(1-VLOOKUP($A272,[1]Hugst!$R$5:$W$9,MATCH(ROUNDUP((U$1)/10,0)*10,[1]Hugst!$R$4:$W$4,0))))</f>
        <v>0</v>
      </c>
      <c r="V272">
        <f ca="1">IF($C272-V$1&lt;År1,0,U271*(1-VLOOKUP($A272,[1]Hugst!$R$5:$W$9,MATCH(ROUNDUP((V$1)/10,0)*10,[1]Hugst!$R$4:$W$4,0))))</f>
        <v>0</v>
      </c>
      <c r="W272">
        <f ca="1">IF($C272-W$1&lt;År1,0,V271*(1-VLOOKUP($A272,[1]Hugst!$R$5:$W$9,MATCH(ROUNDUP((W$1)/10,0)*10,[1]Hugst!$R$4:$W$4,0))))</f>
        <v>0</v>
      </c>
      <c r="X272">
        <f ca="1">IF($C272-X$1&lt;År1,0,W271*(1-VLOOKUP($A272,[1]Hugst!$R$5:$W$9,MATCH(ROUNDUP((X$1)/10,0)*10,[1]Hugst!$R$4:$W$4,0))))</f>
        <v>0</v>
      </c>
      <c r="Y272">
        <f ca="1">IF($C272-Y$1&lt;År1,0,X271*(1-VLOOKUP($A272,[1]Hugst!$R$5:$W$9,MATCH(ROUNDUP((Y$1)/10,0)*10,[1]Hugst!$R$4:$W$4,0))))</f>
        <v>0</v>
      </c>
      <c r="Z272">
        <f ca="1">IF($C272-Z$1&lt;År1,0,Y271*(1-VLOOKUP($A272,[1]Hugst!$R$5:$W$9,MATCH(ROUNDUP((Z$1)/10,0)*10,[1]Hugst!$R$4:$W$4,0))))</f>
        <v>0</v>
      </c>
      <c r="AA272">
        <f ca="1">IF($C272-AA$1&lt;År1,0,Z271*(1-VLOOKUP($A272,[1]Hugst!$R$5:$W$9,MATCH(ROUNDUP((AA$1)/10,0)*10,[1]Hugst!$R$4:$W$4,0))))</f>
        <v>0</v>
      </c>
      <c r="AB272">
        <f ca="1">IF($C272-AB$1&lt;År1,0,AA271*(1-VLOOKUP($A272,[1]Hugst!$R$5:$W$9,MATCH(ROUNDUP((AB$1)/10,0)*10,[1]Hugst!$R$4:$W$4,0))))</f>
        <v>0</v>
      </c>
      <c r="AC272">
        <f>IF($C272-AC$1&lt;År1,0,AB271*(1-VLOOKUP($A272,[1]Hugst!$R$5:$W$9,MATCH(ROUNDUP((AC$1)/10,0)*10,[1]Hugst!$R$4:$W$4,0))))</f>
        <v>0</v>
      </c>
      <c r="AD272">
        <f>IF($C272-AD$1&lt;År1,0,AC271*(1-VLOOKUP($A272,[1]Hugst!$R$5:$W$9,MATCH(ROUNDUP((AD$1)/10,0)*10,[1]Hugst!$R$4:$W$4,0))))</f>
        <v>0</v>
      </c>
      <c r="AE272">
        <f>IF($C272-AE$1&lt;År1,0,AD271*(1-VLOOKUP($A272,[1]Hugst!$R$5:$W$9,MATCH(ROUNDUP((AE$1)/10,0)*10,[1]Hugst!$R$4:$W$4,0))))</f>
        <v>0</v>
      </c>
      <c r="AF272">
        <f>IF($C272-AF$1&lt;År1,0,AE271*(1-VLOOKUP($A272,[1]Hugst!$R$5:$W$9,MATCH(ROUNDUP((AF$1)/10,0)*10,[1]Hugst!$R$4:$W$4,0))))</f>
        <v>0</v>
      </c>
      <c r="AG272">
        <f>IF($C272-AG$1&lt;År1,0,AF271*(1-VLOOKUP($A272,[1]Hugst!$R$5:$W$9,MATCH(ROUNDUP((AG$1)/10,0)*10,[1]Hugst!$R$4:$W$4,0))))</f>
        <v>0</v>
      </c>
      <c r="AH272">
        <f>IF($C272-AH$1&lt;År1,0,AG271*(1-VLOOKUP($A272,[1]Hugst!$R$5:$W$9,MATCH(ROUNDUP((AH$1)/10,0)*10,[1]Hugst!$R$4:$W$4,0))))</f>
        <v>0</v>
      </c>
      <c r="AI272">
        <f>IF($C272-AI$1&lt;År1,0,AH271*(1-VLOOKUP($A272,[1]Hugst!$R$5:$W$9,MATCH(ROUNDUP((AI$1)/10,0)*10,[1]Hugst!$R$4:$W$4,0))))</f>
        <v>0</v>
      </c>
      <c r="AJ272">
        <f>IF($C272-AJ$1&lt;År1,0,AI271*(1-VLOOKUP($A272,[1]Hugst!$R$5:$W$9,MATCH(ROUNDUP((AJ$1)/10,0)*10,[1]Hugst!$R$4:$W$4,0))))</f>
        <v>0</v>
      </c>
    </row>
    <row r="273" spans="1:36" x14ac:dyDescent="0.25">
      <c r="A273" t="s">
        <v>180</v>
      </c>
      <c r="B273" t="s">
        <v>23</v>
      </c>
      <c r="C273">
        <v>2043</v>
      </c>
      <c r="D273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0</v>
      </c>
      <c r="E273">
        <f t="shared" ca="1" si="6"/>
        <v>0</v>
      </c>
      <c r="F273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>
        <f ca="1">IF($C273-G$1&lt;År1,0,F272*(1-VLOOKUP($A273,[1]Hugst!$R$5:$W$9,MATCH(ROUNDUP((G$1)/10,0)*10,[1]Hugst!$R$4:$W$4,0))))</f>
        <v>0</v>
      </c>
      <c r="H273">
        <f ca="1">IF($C273-H$1&lt;År1,0,G272*(1-VLOOKUP($A273,[1]Hugst!$R$5:$W$9,MATCH(ROUNDUP((H$1)/10,0)*10,[1]Hugst!$R$4:$W$4,0))))</f>
        <v>0</v>
      </c>
      <c r="I273">
        <f ca="1">IF($C273-I$1&lt;År1,0,H272*(1-VLOOKUP($A273,[1]Hugst!$R$5:$W$9,MATCH(ROUNDUP((I$1)/10,0)*10,[1]Hugst!$R$4:$W$4,0))))</f>
        <v>0</v>
      </c>
      <c r="J273">
        <f ca="1">IF($C273-J$1&lt;År1,0,I272*(1-VLOOKUP($A273,[1]Hugst!$R$5:$W$9,MATCH(ROUNDUP((J$1)/10,0)*10,[1]Hugst!$R$4:$W$4,0))))</f>
        <v>0</v>
      </c>
      <c r="K273">
        <f ca="1">IF($C273-K$1&lt;År1,0,J272*(1-VLOOKUP($A273,[1]Hugst!$R$5:$W$9,MATCH(ROUNDUP((K$1)/10,0)*10,[1]Hugst!$R$4:$W$4,0))))</f>
        <v>0</v>
      </c>
      <c r="L273">
        <f ca="1">IF($C273-L$1&lt;År1,0,K272*(1-VLOOKUP($A273,[1]Hugst!$R$5:$W$9,MATCH(ROUNDUP((L$1)/10,0)*10,[1]Hugst!$R$4:$W$4,0))))</f>
        <v>0</v>
      </c>
      <c r="M273">
        <f ca="1">IF($C273-M$1&lt;År1,0,L272*(1-VLOOKUP($A273,[1]Hugst!$R$5:$W$9,MATCH(ROUNDUP((M$1)/10,0)*10,[1]Hugst!$R$4:$W$4,0))))</f>
        <v>0</v>
      </c>
      <c r="N273">
        <f ca="1">IF($C273-N$1&lt;År1,0,M272*(1-VLOOKUP($A273,[1]Hugst!$R$5:$W$9,MATCH(ROUNDUP((N$1)/10,0)*10,[1]Hugst!$R$4:$W$4,0))))</f>
        <v>0</v>
      </c>
      <c r="O273">
        <f ca="1">IF($C273-O$1&lt;År1,0,N272*(1-VLOOKUP($A273,[1]Hugst!$R$5:$W$9,MATCH(ROUNDUP((O$1)/10,0)*10,[1]Hugst!$R$4:$W$4,0))))</f>
        <v>0</v>
      </c>
      <c r="P273">
        <f ca="1">IF($C273-P$1&lt;År1,0,O272*(1-VLOOKUP($A273,[1]Hugst!$R$5:$W$9,MATCH(ROUNDUP((P$1)/10,0)*10,[1]Hugst!$R$4:$W$4,0))))</f>
        <v>0</v>
      </c>
      <c r="Q273">
        <f ca="1">IF($C273-Q$1&lt;År1,0,P272*(1-VLOOKUP($A273,[1]Hugst!$R$5:$W$9,MATCH(ROUNDUP((Q$1)/10,0)*10,[1]Hugst!$R$4:$W$4,0))))</f>
        <v>0</v>
      </c>
      <c r="R273">
        <f ca="1">IF($C273-R$1&lt;År1,0,Q272*(1-VLOOKUP($A273,[1]Hugst!$R$5:$W$9,MATCH(ROUNDUP((R$1)/10,0)*10,[1]Hugst!$R$4:$W$4,0))))</f>
        <v>0</v>
      </c>
      <c r="S273">
        <f ca="1">IF($C273-S$1&lt;År1,0,R272*(1-VLOOKUP($A273,[1]Hugst!$R$5:$W$9,MATCH(ROUNDUP((S$1)/10,0)*10,[1]Hugst!$R$4:$W$4,0))))</f>
        <v>0</v>
      </c>
      <c r="T273">
        <f ca="1">IF($C273-T$1&lt;År1,0,S272*(1-VLOOKUP($A273,[1]Hugst!$R$5:$W$9,MATCH(ROUNDUP((T$1)/10,0)*10,[1]Hugst!$R$4:$W$4,0))))</f>
        <v>0</v>
      </c>
      <c r="U273">
        <f ca="1">IF($C273-U$1&lt;År1,0,T272*(1-VLOOKUP($A273,[1]Hugst!$R$5:$W$9,MATCH(ROUNDUP((U$1)/10,0)*10,[1]Hugst!$R$4:$W$4,0))))</f>
        <v>0</v>
      </c>
      <c r="V273">
        <f ca="1">IF($C273-V$1&lt;År1,0,U272*(1-VLOOKUP($A273,[1]Hugst!$R$5:$W$9,MATCH(ROUNDUP((V$1)/10,0)*10,[1]Hugst!$R$4:$W$4,0))))</f>
        <v>0</v>
      </c>
      <c r="W273">
        <f ca="1">IF($C273-W$1&lt;År1,0,V272*(1-VLOOKUP($A273,[1]Hugst!$R$5:$W$9,MATCH(ROUNDUP((W$1)/10,0)*10,[1]Hugst!$R$4:$W$4,0))))</f>
        <v>0</v>
      </c>
      <c r="X273">
        <f ca="1">IF($C273-X$1&lt;År1,0,W272*(1-VLOOKUP($A273,[1]Hugst!$R$5:$W$9,MATCH(ROUNDUP((X$1)/10,0)*10,[1]Hugst!$R$4:$W$4,0))))</f>
        <v>0</v>
      </c>
      <c r="Y273">
        <f ca="1">IF($C273-Y$1&lt;År1,0,X272*(1-VLOOKUP($A273,[1]Hugst!$R$5:$W$9,MATCH(ROUNDUP((Y$1)/10,0)*10,[1]Hugst!$R$4:$W$4,0))))</f>
        <v>0</v>
      </c>
      <c r="Z273">
        <f ca="1">IF($C273-Z$1&lt;År1,0,Y272*(1-VLOOKUP($A273,[1]Hugst!$R$5:$W$9,MATCH(ROUNDUP((Z$1)/10,0)*10,[1]Hugst!$R$4:$W$4,0))))</f>
        <v>0</v>
      </c>
      <c r="AA273">
        <f ca="1">IF($C273-AA$1&lt;År1,0,Z272*(1-VLOOKUP($A273,[1]Hugst!$R$5:$W$9,MATCH(ROUNDUP((AA$1)/10,0)*10,[1]Hugst!$R$4:$W$4,0))))</f>
        <v>0</v>
      </c>
      <c r="AB273">
        <f ca="1">IF($C273-AB$1&lt;År1,0,AA272*(1-VLOOKUP($A273,[1]Hugst!$R$5:$W$9,MATCH(ROUNDUP((AB$1)/10,0)*10,[1]Hugst!$R$4:$W$4,0))))</f>
        <v>0</v>
      </c>
      <c r="AC273">
        <f ca="1">IF($C273-AC$1&lt;År1,0,AB272*(1-VLOOKUP($A273,[1]Hugst!$R$5:$W$9,MATCH(ROUNDUP((AC$1)/10,0)*10,[1]Hugst!$R$4:$W$4,0))))</f>
        <v>0</v>
      </c>
      <c r="AD273">
        <f>IF($C273-AD$1&lt;År1,0,AC272*(1-VLOOKUP($A273,[1]Hugst!$R$5:$W$9,MATCH(ROUNDUP((AD$1)/10,0)*10,[1]Hugst!$R$4:$W$4,0))))</f>
        <v>0</v>
      </c>
      <c r="AE273">
        <f>IF($C273-AE$1&lt;År1,0,AD272*(1-VLOOKUP($A273,[1]Hugst!$R$5:$W$9,MATCH(ROUNDUP((AE$1)/10,0)*10,[1]Hugst!$R$4:$W$4,0))))</f>
        <v>0</v>
      </c>
      <c r="AF273">
        <f>IF($C273-AF$1&lt;År1,0,AE272*(1-VLOOKUP($A273,[1]Hugst!$R$5:$W$9,MATCH(ROUNDUP((AF$1)/10,0)*10,[1]Hugst!$R$4:$W$4,0))))</f>
        <v>0</v>
      </c>
      <c r="AG273">
        <f>IF($C273-AG$1&lt;År1,0,AF272*(1-VLOOKUP($A273,[1]Hugst!$R$5:$W$9,MATCH(ROUNDUP((AG$1)/10,0)*10,[1]Hugst!$R$4:$W$4,0))))</f>
        <v>0</v>
      </c>
      <c r="AH273">
        <f>IF($C273-AH$1&lt;År1,0,AG272*(1-VLOOKUP($A273,[1]Hugst!$R$5:$W$9,MATCH(ROUNDUP((AH$1)/10,0)*10,[1]Hugst!$R$4:$W$4,0))))</f>
        <v>0</v>
      </c>
      <c r="AI273">
        <f>IF($C273-AI$1&lt;År1,0,AH272*(1-VLOOKUP($A273,[1]Hugst!$R$5:$W$9,MATCH(ROUNDUP((AI$1)/10,0)*10,[1]Hugst!$R$4:$W$4,0))))</f>
        <v>0</v>
      </c>
      <c r="AJ273">
        <f>IF($C273-AJ$1&lt;År1,0,AI272*(1-VLOOKUP($A273,[1]Hugst!$R$5:$W$9,MATCH(ROUNDUP((AJ$1)/10,0)*10,[1]Hugst!$R$4:$W$4,0))))</f>
        <v>0</v>
      </c>
    </row>
    <row r="274" spans="1:36" x14ac:dyDescent="0.25">
      <c r="A274" t="s">
        <v>180</v>
      </c>
      <c r="B274" t="s">
        <v>23</v>
      </c>
      <c r="C274">
        <v>2044</v>
      </c>
      <c r="D274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0</v>
      </c>
      <c r="E274">
        <f t="shared" ca="1" si="6"/>
        <v>0</v>
      </c>
      <c r="F274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>
        <f ca="1">IF($C274-G$1&lt;År1,0,F273*(1-VLOOKUP($A274,[1]Hugst!$R$5:$W$9,MATCH(ROUNDUP((G$1)/10,0)*10,[1]Hugst!$R$4:$W$4,0))))</f>
        <v>0</v>
      </c>
      <c r="H274">
        <f ca="1">IF($C274-H$1&lt;År1,0,G273*(1-VLOOKUP($A274,[1]Hugst!$R$5:$W$9,MATCH(ROUNDUP((H$1)/10,0)*10,[1]Hugst!$R$4:$W$4,0))))</f>
        <v>0</v>
      </c>
      <c r="I274">
        <f ca="1">IF($C274-I$1&lt;År1,0,H273*(1-VLOOKUP($A274,[1]Hugst!$R$5:$W$9,MATCH(ROUNDUP((I$1)/10,0)*10,[1]Hugst!$R$4:$W$4,0))))</f>
        <v>0</v>
      </c>
      <c r="J274">
        <f ca="1">IF($C274-J$1&lt;År1,0,I273*(1-VLOOKUP($A274,[1]Hugst!$R$5:$W$9,MATCH(ROUNDUP((J$1)/10,0)*10,[1]Hugst!$R$4:$W$4,0))))</f>
        <v>0</v>
      </c>
      <c r="K274">
        <f ca="1">IF($C274-K$1&lt;År1,0,J273*(1-VLOOKUP($A274,[1]Hugst!$R$5:$W$9,MATCH(ROUNDUP((K$1)/10,0)*10,[1]Hugst!$R$4:$W$4,0))))</f>
        <v>0</v>
      </c>
      <c r="L274">
        <f ca="1">IF($C274-L$1&lt;År1,0,K273*(1-VLOOKUP($A274,[1]Hugst!$R$5:$W$9,MATCH(ROUNDUP((L$1)/10,0)*10,[1]Hugst!$R$4:$W$4,0))))</f>
        <v>0</v>
      </c>
      <c r="M274">
        <f ca="1">IF($C274-M$1&lt;År1,0,L273*(1-VLOOKUP($A274,[1]Hugst!$R$5:$W$9,MATCH(ROUNDUP((M$1)/10,0)*10,[1]Hugst!$R$4:$W$4,0))))</f>
        <v>0</v>
      </c>
      <c r="N274">
        <f ca="1">IF($C274-N$1&lt;År1,0,M273*(1-VLOOKUP($A274,[1]Hugst!$R$5:$W$9,MATCH(ROUNDUP((N$1)/10,0)*10,[1]Hugst!$R$4:$W$4,0))))</f>
        <v>0</v>
      </c>
      <c r="O274">
        <f ca="1">IF($C274-O$1&lt;År1,0,N273*(1-VLOOKUP($A274,[1]Hugst!$R$5:$W$9,MATCH(ROUNDUP((O$1)/10,0)*10,[1]Hugst!$R$4:$W$4,0))))</f>
        <v>0</v>
      </c>
      <c r="P274">
        <f ca="1">IF($C274-P$1&lt;År1,0,O273*(1-VLOOKUP($A274,[1]Hugst!$R$5:$W$9,MATCH(ROUNDUP((P$1)/10,0)*10,[1]Hugst!$R$4:$W$4,0))))</f>
        <v>0</v>
      </c>
      <c r="Q274">
        <f ca="1">IF($C274-Q$1&lt;År1,0,P273*(1-VLOOKUP($A274,[1]Hugst!$R$5:$W$9,MATCH(ROUNDUP((Q$1)/10,0)*10,[1]Hugst!$R$4:$W$4,0))))</f>
        <v>0</v>
      </c>
      <c r="R274">
        <f ca="1">IF($C274-R$1&lt;År1,0,Q273*(1-VLOOKUP($A274,[1]Hugst!$R$5:$W$9,MATCH(ROUNDUP((R$1)/10,0)*10,[1]Hugst!$R$4:$W$4,0))))</f>
        <v>0</v>
      </c>
      <c r="S274">
        <f ca="1">IF($C274-S$1&lt;År1,0,R273*(1-VLOOKUP($A274,[1]Hugst!$R$5:$W$9,MATCH(ROUNDUP((S$1)/10,0)*10,[1]Hugst!$R$4:$W$4,0))))</f>
        <v>0</v>
      </c>
      <c r="T274">
        <f ca="1">IF($C274-T$1&lt;År1,0,S273*(1-VLOOKUP($A274,[1]Hugst!$R$5:$W$9,MATCH(ROUNDUP((T$1)/10,0)*10,[1]Hugst!$R$4:$W$4,0))))</f>
        <v>0</v>
      </c>
      <c r="U274">
        <f ca="1">IF($C274-U$1&lt;År1,0,T273*(1-VLOOKUP($A274,[1]Hugst!$R$5:$W$9,MATCH(ROUNDUP((U$1)/10,0)*10,[1]Hugst!$R$4:$W$4,0))))</f>
        <v>0</v>
      </c>
      <c r="V274">
        <f ca="1">IF($C274-V$1&lt;År1,0,U273*(1-VLOOKUP($A274,[1]Hugst!$R$5:$W$9,MATCH(ROUNDUP((V$1)/10,0)*10,[1]Hugst!$R$4:$W$4,0))))</f>
        <v>0</v>
      </c>
      <c r="W274">
        <f ca="1">IF($C274-W$1&lt;År1,0,V273*(1-VLOOKUP($A274,[1]Hugst!$R$5:$W$9,MATCH(ROUNDUP((W$1)/10,0)*10,[1]Hugst!$R$4:$W$4,0))))</f>
        <v>0</v>
      </c>
      <c r="X274">
        <f ca="1">IF($C274-X$1&lt;År1,0,W273*(1-VLOOKUP($A274,[1]Hugst!$R$5:$W$9,MATCH(ROUNDUP((X$1)/10,0)*10,[1]Hugst!$R$4:$W$4,0))))</f>
        <v>0</v>
      </c>
      <c r="Y274">
        <f ca="1">IF($C274-Y$1&lt;År1,0,X273*(1-VLOOKUP($A274,[1]Hugst!$R$5:$W$9,MATCH(ROUNDUP((Y$1)/10,0)*10,[1]Hugst!$R$4:$W$4,0))))</f>
        <v>0</v>
      </c>
      <c r="Z274">
        <f ca="1">IF($C274-Z$1&lt;År1,0,Y273*(1-VLOOKUP($A274,[1]Hugst!$R$5:$W$9,MATCH(ROUNDUP((Z$1)/10,0)*10,[1]Hugst!$R$4:$W$4,0))))</f>
        <v>0</v>
      </c>
      <c r="AA274">
        <f ca="1">IF($C274-AA$1&lt;År1,0,Z273*(1-VLOOKUP($A274,[1]Hugst!$R$5:$W$9,MATCH(ROUNDUP((AA$1)/10,0)*10,[1]Hugst!$R$4:$W$4,0))))</f>
        <v>0</v>
      </c>
      <c r="AB274">
        <f ca="1">IF($C274-AB$1&lt;År1,0,AA273*(1-VLOOKUP($A274,[1]Hugst!$R$5:$W$9,MATCH(ROUNDUP((AB$1)/10,0)*10,[1]Hugst!$R$4:$W$4,0))))</f>
        <v>0</v>
      </c>
      <c r="AC274">
        <f ca="1">IF($C274-AC$1&lt;År1,0,AB273*(1-VLOOKUP($A274,[1]Hugst!$R$5:$W$9,MATCH(ROUNDUP((AC$1)/10,0)*10,[1]Hugst!$R$4:$W$4,0))))</f>
        <v>0</v>
      </c>
      <c r="AD274">
        <f ca="1">IF($C274-AD$1&lt;År1,0,AC273*(1-VLOOKUP($A274,[1]Hugst!$R$5:$W$9,MATCH(ROUNDUP((AD$1)/10,0)*10,[1]Hugst!$R$4:$W$4,0))))</f>
        <v>0</v>
      </c>
      <c r="AE274">
        <f>IF($C274-AE$1&lt;År1,0,AD273*(1-VLOOKUP($A274,[1]Hugst!$R$5:$W$9,MATCH(ROUNDUP((AE$1)/10,0)*10,[1]Hugst!$R$4:$W$4,0))))</f>
        <v>0</v>
      </c>
      <c r="AF274">
        <f>IF($C274-AF$1&lt;År1,0,AE273*(1-VLOOKUP($A274,[1]Hugst!$R$5:$W$9,MATCH(ROUNDUP((AF$1)/10,0)*10,[1]Hugst!$R$4:$W$4,0))))</f>
        <v>0</v>
      </c>
      <c r="AG274">
        <f>IF($C274-AG$1&lt;År1,0,AF273*(1-VLOOKUP($A274,[1]Hugst!$R$5:$W$9,MATCH(ROUNDUP((AG$1)/10,0)*10,[1]Hugst!$R$4:$W$4,0))))</f>
        <v>0</v>
      </c>
      <c r="AH274">
        <f>IF($C274-AH$1&lt;År1,0,AG273*(1-VLOOKUP($A274,[1]Hugst!$R$5:$W$9,MATCH(ROUNDUP((AH$1)/10,0)*10,[1]Hugst!$R$4:$W$4,0))))</f>
        <v>0</v>
      </c>
      <c r="AI274">
        <f>IF($C274-AI$1&lt;År1,0,AH273*(1-VLOOKUP($A274,[1]Hugst!$R$5:$W$9,MATCH(ROUNDUP((AI$1)/10,0)*10,[1]Hugst!$R$4:$W$4,0))))</f>
        <v>0</v>
      </c>
      <c r="AJ274">
        <f>IF($C274-AJ$1&lt;År1,0,AI273*(1-VLOOKUP($A274,[1]Hugst!$R$5:$W$9,MATCH(ROUNDUP((AJ$1)/10,0)*10,[1]Hugst!$R$4:$W$4,0))))</f>
        <v>0</v>
      </c>
    </row>
    <row r="275" spans="1:36" x14ac:dyDescent="0.25">
      <c r="A275" t="s">
        <v>180</v>
      </c>
      <c r="B275" t="s">
        <v>23</v>
      </c>
      <c r="C275">
        <v>2045</v>
      </c>
      <c r="D275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0</v>
      </c>
      <c r="E275">
        <f t="shared" ca="1" si="6"/>
        <v>0</v>
      </c>
      <c r="F275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>
        <f ca="1">IF($C275-G$1&lt;År1,0,F274*(1-VLOOKUP($A275,[1]Hugst!$R$5:$W$9,MATCH(ROUNDUP((G$1)/10,0)*10,[1]Hugst!$R$4:$W$4,0))))</f>
        <v>0</v>
      </c>
      <c r="H275">
        <f ca="1">IF($C275-H$1&lt;År1,0,G274*(1-VLOOKUP($A275,[1]Hugst!$R$5:$W$9,MATCH(ROUNDUP((H$1)/10,0)*10,[1]Hugst!$R$4:$W$4,0))))</f>
        <v>0</v>
      </c>
      <c r="I275">
        <f ca="1">IF($C275-I$1&lt;År1,0,H274*(1-VLOOKUP($A275,[1]Hugst!$R$5:$W$9,MATCH(ROUNDUP((I$1)/10,0)*10,[1]Hugst!$R$4:$W$4,0))))</f>
        <v>0</v>
      </c>
      <c r="J275">
        <f ca="1">IF($C275-J$1&lt;År1,0,I274*(1-VLOOKUP($A275,[1]Hugst!$R$5:$W$9,MATCH(ROUNDUP((J$1)/10,0)*10,[1]Hugst!$R$4:$W$4,0))))</f>
        <v>0</v>
      </c>
      <c r="K275">
        <f ca="1">IF($C275-K$1&lt;År1,0,J274*(1-VLOOKUP($A275,[1]Hugst!$R$5:$W$9,MATCH(ROUNDUP((K$1)/10,0)*10,[1]Hugst!$R$4:$W$4,0))))</f>
        <v>0</v>
      </c>
      <c r="L275">
        <f ca="1">IF($C275-L$1&lt;År1,0,K274*(1-VLOOKUP($A275,[1]Hugst!$R$5:$W$9,MATCH(ROUNDUP((L$1)/10,0)*10,[1]Hugst!$R$4:$W$4,0))))</f>
        <v>0</v>
      </c>
      <c r="M275">
        <f ca="1">IF($C275-M$1&lt;År1,0,L274*(1-VLOOKUP($A275,[1]Hugst!$R$5:$W$9,MATCH(ROUNDUP((M$1)/10,0)*10,[1]Hugst!$R$4:$W$4,0))))</f>
        <v>0</v>
      </c>
      <c r="N275">
        <f ca="1">IF($C275-N$1&lt;År1,0,M274*(1-VLOOKUP($A275,[1]Hugst!$R$5:$W$9,MATCH(ROUNDUP((N$1)/10,0)*10,[1]Hugst!$R$4:$W$4,0))))</f>
        <v>0</v>
      </c>
      <c r="O275">
        <f ca="1">IF($C275-O$1&lt;År1,0,N274*(1-VLOOKUP($A275,[1]Hugst!$R$5:$W$9,MATCH(ROUNDUP((O$1)/10,0)*10,[1]Hugst!$R$4:$W$4,0))))</f>
        <v>0</v>
      </c>
      <c r="P275">
        <f ca="1">IF($C275-P$1&lt;År1,0,O274*(1-VLOOKUP($A275,[1]Hugst!$R$5:$W$9,MATCH(ROUNDUP((P$1)/10,0)*10,[1]Hugst!$R$4:$W$4,0))))</f>
        <v>0</v>
      </c>
      <c r="Q275">
        <f ca="1">IF($C275-Q$1&lt;År1,0,P274*(1-VLOOKUP($A275,[1]Hugst!$R$5:$W$9,MATCH(ROUNDUP((Q$1)/10,0)*10,[1]Hugst!$R$4:$W$4,0))))</f>
        <v>0</v>
      </c>
      <c r="R275">
        <f ca="1">IF($C275-R$1&lt;År1,0,Q274*(1-VLOOKUP($A275,[1]Hugst!$R$5:$W$9,MATCH(ROUNDUP((R$1)/10,0)*10,[1]Hugst!$R$4:$W$4,0))))</f>
        <v>0</v>
      </c>
      <c r="S275">
        <f ca="1">IF($C275-S$1&lt;År1,0,R274*(1-VLOOKUP($A275,[1]Hugst!$R$5:$W$9,MATCH(ROUNDUP((S$1)/10,0)*10,[1]Hugst!$R$4:$W$4,0))))</f>
        <v>0</v>
      </c>
      <c r="T275">
        <f ca="1">IF($C275-T$1&lt;År1,0,S274*(1-VLOOKUP($A275,[1]Hugst!$R$5:$W$9,MATCH(ROUNDUP((T$1)/10,0)*10,[1]Hugst!$R$4:$W$4,0))))</f>
        <v>0</v>
      </c>
      <c r="U275">
        <f ca="1">IF($C275-U$1&lt;År1,0,T274*(1-VLOOKUP($A275,[1]Hugst!$R$5:$W$9,MATCH(ROUNDUP((U$1)/10,0)*10,[1]Hugst!$R$4:$W$4,0))))</f>
        <v>0</v>
      </c>
      <c r="V275">
        <f ca="1">IF($C275-V$1&lt;År1,0,U274*(1-VLOOKUP($A275,[1]Hugst!$R$5:$W$9,MATCH(ROUNDUP((V$1)/10,0)*10,[1]Hugst!$R$4:$W$4,0))))</f>
        <v>0</v>
      </c>
      <c r="W275">
        <f ca="1">IF($C275-W$1&lt;År1,0,V274*(1-VLOOKUP($A275,[1]Hugst!$R$5:$W$9,MATCH(ROUNDUP((W$1)/10,0)*10,[1]Hugst!$R$4:$W$4,0))))</f>
        <v>0</v>
      </c>
      <c r="X275">
        <f ca="1">IF($C275-X$1&lt;År1,0,W274*(1-VLOOKUP($A275,[1]Hugst!$R$5:$W$9,MATCH(ROUNDUP((X$1)/10,0)*10,[1]Hugst!$R$4:$W$4,0))))</f>
        <v>0</v>
      </c>
      <c r="Y275">
        <f ca="1">IF($C275-Y$1&lt;År1,0,X274*(1-VLOOKUP($A275,[1]Hugst!$R$5:$W$9,MATCH(ROUNDUP((Y$1)/10,0)*10,[1]Hugst!$R$4:$W$4,0))))</f>
        <v>0</v>
      </c>
      <c r="Z275">
        <f ca="1">IF($C275-Z$1&lt;År1,0,Y274*(1-VLOOKUP($A275,[1]Hugst!$R$5:$W$9,MATCH(ROUNDUP((Z$1)/10,0)*10,[1]Hugst!$R$4:$W$4,0))))</f>
        <v>0</v>
      </c>
      <c r="AA275">
        <f ca="1">IF($C275-AA$1&lt;År1,0,Z274*(1-VLOOKUP($A275,[1]Hugst!$R$5:$W$9,MATCH(ROUNDUP((AA$1)/10,0)*10,[1]Hugst!$R$4:$W$4,0))))</f>
        <v>0</v>
      </c>
      <c r="AB275">
        <f ca="1">IF($C275-AB$1&lt;År1,0,AA274*(1-VLOOKUP($A275,[1]Hugst!$R$5:$W$9,MATCH(ROUNDUP((AB$1)/10,0)*10,[1]Hugst!$R$4:$W$4,0))))</f>
        <v>0</v>
      </c>
      <c r="AC275">
        <f ca="1">IF($C275-AC$1&lt;År1,0,AB274*(1-VLOOKUP($A275,[1]Hugst!$R$5:$W$9,MATCH(ROUNDUP((AC$1)/10,0)*10,[1]Hugst!$R$4:$W$4,0))))</f>
        <v>0</v>
      </c>
      <c r="AD275">
        <f ca="1">IF($C275-AD$1&lt;År1,0,AC274*(1-VLOOKUP($A275,[1]Hugst!$R$5:$W$9,MATCH(ROUNDUP((AD$1)/10,0)*10,[1]Hugst!$R$4:$W$4,0))))</f>
        <v>0</v>
      </c>
      <c r="AE275">
        <f ca="1">IF($C275-AE$1&lt;År1,0,AD274*(1-VLOOKUP($A275,[1]Hugst!$R$5:$W$9,MATCH(ROUNDUP((AE$1)/10,0)*10,[1]Hugst!$R$4:$W$4,0))))</f>
        <v>0</v>
      </c>
      <c r="AF275">
        <f>IF($C275-AF$1&lt;År1,0,AE274*(1-VLOOKUP($A275,[1]Hugst!$R$5:$W$9,MATCH(ROUNDUP((AF$1)/10,0)*10,[1]Hugst!$R$4:$W$4,0))))</f>
        <v>0</v>
      </c>
      <c r="AG275">
        <f>IF($C275-AG$1&lt;År1,0,AF274*(1-VLOOKUP($A275,[1]Hugst!$R$5:$W$9,MATCH(ROUNDUP((AG$1)/10,0)*10,[1]Hugst!$R$4:$W$4,0))))</f>
        <v>0</v>
      </c>
      <c r="AH275">
        <f>IF($C275-AH$1&lt;År1,0,AG274*(1-VLOOKUP($A275,[1]Hugst!$R$5:$W$9,MATCH(ROUNDUP((AH$1)/10,0)*10,[1]Hugst!$R$4:$W$4,0))))</f>
        <v>0</v>
      </c>
      <c r="AI275">
        <f>IF($C275-AI$1&lt;År1,0,AH274*(1-VLOOKUP($A275,[1]Hugst!$R$5:$W$9,MATCH(ROUNDUP((AI$1)/10,0)*10,[1]Hugst!$R$4:$W$4,0))))</f>
        <v>0</v>
      </c>
      <c r="AJ275">
        <f>IF($C275-AJ$1&lt;År1,0,AI274*(1-VLOOKUP($A275,[1]Hugst!$R$5:$W$9,MATCH(ROUNDUP((AJ$1)/10,0)*10,[1]Hugst!$R$4:$W$4,0))))</f>
        <v>0</v>
      </c>
    </row>
    <row r="276" spans="1:36" x14ac:dyDescent="0.25">
      <c r="A276" t="s">
        <v>180</v>
      </c>
      <c r="B276" t="s">
        <v>23</v>
      </c>
      <c r="C276">
        <v>2046</v>
      </c>
      <c r="D276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0</v>
      </c>
      <c r="E276">
        <f t="shared" ca="1" si="6"/>
        <v>0</v>
      </c>
      <c r="F276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>
        <f ca="1">IF($C276-G$1&lt;År1,0,F275*(1-VLOOKUP($A276,[1]Hugst!$R$5:$W$9,MATCH(ROUNDUP((G$1)/10,0)*10,[1]Hugst!$R$4:$W$4,0))))</f>
        <v>0</v>
      </c>
      <c r="H276">
        <f ca="1">IF($C276-H$1&lt;År1,0,G275*(1-VLOOKUP($A276,[1]Hugst!$R$5:$W$9,MATCH(ROUNDUP((H$1)/10,0)*10,[1]Hugst!$R$4:$W$4,0))))</f>
        <v>0</v>
      </c>
      <c r="I276">
        <f ca="1">IF($C276-I$1&lt;År1,0,H275*(1-VLOOKUP($A276,[1]Hugst!$R$5:$W$9,MATCH(ROUNDUP((I$1)/10,0)*10,[1]Hugst!$R$4:$W$4,0))))</f>
        <v>0</v>
      </c>
      <c r="J276">
        <f ca="1">IF($C276-J$1&lt;År1,0,I275*(1-VLOOKUP($A276,[1]Hugst!$R$5:$W$9,MATCH(ROUNDUP((J$1)/10,0)*10,[1]Hugst!$R$4:$W$4,0))))</f>
        <v>0</v>
      </c>
      <c r="K276">
        <f ca="1">IF($C276-K$1&lt;År1,0,J275*(1-VLOOKUP($A276,[1]Hugst!$R$5:$W$9,MATCH(ROUNDUP((K$1)/10,0)*10,[1]Hugst!$R$4:$W$4,0))))</f>
        <v>0</v>
      </c>
      <c r="L276">
        <f ca="1">IF($C276-L$1&lt;År1,0,K275*(1-VLOOKUP($A276,[1]Hugst!$R$5:$W$9,MATCH(ROUNDUP((L$1)/10,0)*10,[1]Hugst!$R$4:$W$4,0))))</f>
        <v>0</v>
      </c>
      <c r="M276">
        <f ca="1">IF($C276-M$1&lt;År1,0,L275*(1-VLOOKUP($A276,[1]Hugst!$R$5:$W$9,MATCH(ROUNDUP((M$1)/10,0)*10,[1]Hugst!$R$4:$W$4,0))))</f>
        <v>0</v>
      </c>
      <c r="N276">
        <f ca="1">IF($C276-N$1&lt;År1,0,M275*(1-VLOOKUP($A276,[1]Hugst!$R$5:$W$9,MATCH(ROUNDUP((N$1)/10,0)*10,[1]Hugst!$R$4:$W$4,0))))</f>
        <v>0</v>
      </c>
      <c r="O276">
        <f ca="1">IF($C276-O$1&lt;År1,0,N275*(1-VLOOKUP($A276,[1]Hugst!$R$5:$W$9,MATCH(ROUNDUP((O$1)/10,0)*10,[1]Hugst!$R$4:$W$4,0))))</f>
        <v>0</v>
      </c>
      <c r="P276">
        <f ca="1">IF($C276-P$1&lt;År1,0,O275*(1-VLOOKUP($A276,[1]Hugst!$R$5:$W$9,MATCH(ROUNDUP((P$1)/10,0)*10,[1]Hugst!$R$4:$W$4,0))))</f>
        <v>0</v>
      </c>
      <c r="Q276">
        <f ca="1">IF($C276-Q$1&lt;År1,0,P275*(1-VLOOKUP($A276,[1]Hugst!$R$5:$W$9,MATCH(ROUNDUP((Q$1)/10,0)*10,[1]Hugst!$R$4:$W$4,0))))</f>
        <v>0</v>
      </c>
      <c r="R276">
        <f ca="1">IF($C276-R$1&lt;År1,0,Q275*(1-VLOOKUP($A276,[1]Hugst!$R$5:$W$9,MATCH(ROUNDUP((R$1)/10,0)*10,[1]Hugst!$R$4:$W$4,0))))</f>
        <v>0</v>
      </c>
      <c r="S276">
        <f ca="1">IF($C276-S$1&lt;År1,0,R275*(1-VLOOKUP($A276,[1]Hugst!$R$5:$W$9,MATCH(ROUNDUP((S$1)/10,0)*10,[1]Hugst!$R$4:$W$4,0))))</f>
        <v>0</v>
      </c>
      <c r="T276">
        <f ca="1">IF($C276-T$1&lt;År1,0,S275*(1-VLOOKUP($A276,[1]Hugst!$R$5:$W$9,MATCH(ROUNDUP((T$1)/10,0)*10,[1]Hugst!$R$4:$W$4,0))))</f>
        <v>0</v>
      </c>
      <c r="U276">
        <f ca="1">IF($C276-U$1&lt;År1,0,T275*(1-VLOOKUP($A276,[1]Hugst!$R$5:$W$9,MATCH(ROUNDUP((U$1)/10,0)*10,[1]Hugst!$R$4:$W$4,0))))</f>
        <v>0</v>
      </c>
      <c r="V276">
        <f ca="1">IF($C276-V$1&lt;År1,0,U275*(1-VLOOKUP($A276,[1]Hugst!$R$5:$W$9,MATCH(ROUNDUP((V$1)/10,0)*10,[1]Hugst!$R$4:$W$4,0))))</f>
        <v>0</v>
      </c>
      <c r="W276">
        <f ca="1">IF($C276-W$1&lt;År1,0,V275*(1-VLOOKUP($A276,[1]Hugst!$R$5:$W$9,MATCH(ROUNDUP((W$1)/10,0)*10,[1]Hugst!$R$4:$W$4,0))))</f>
        <v>0</v>
      </c>
      <c r="X276">
        <f ca="1">IF($C276-X$1&lt;År1,0,W275*(1-VLOOKUP($A276,[1]Hugst!$R$5:$W$9,MATCH(ROUNDUP((X$1)/10,0)*10,[1]Hugst!$R$4:$W$4,0))))</f>
        <v>0</v>
      </c>
      <c r="Y276">
        <f ca="1">IF($C276-Y$1&lt;År1,0,X275*(1-VLOOKUP($A276,[1]Hugst!$R$5:$W$9,MATCH(ROUNDUP((Y$1)/10,0)*10,[1]Hugst!$R$4:$W$4,0))))</f>
        <v>0</v>
      </c>
      <c r="Z276">
        <f ca="1">IF($C276-Z$1&lt;År1,0,Y275*(1-VLOOKUP($A276,[1]Hugst!$R$5:$W$9,MATCH(ROUNDUP((Z$1)/10,0)*10,[1]Hugst!$R$4:$W$4,0))))</f>
        <v>0</v>
      </c>
      <c r="AA276">
        <f ca="1">IF($C276-AA$1&lt;År1,0,Z275*(1-VLOOKUP($A276,[1]Hugst!$R$5:$W$9,MATCH(ROUNDUP((AA$1)/10,0)*10,[1]Hugst!$R$4:$W$4,0))))</f>
        <v>0</v>
      </c>
      <c r="AB276">
        <f ca="1">IF($C276-AB$1&lt;År1,0,AA275*(1-VLOOKUP($A276,[1]Hugst!$R$5:$W$9,MATCH(ROUNDUP((AB$1)/10,0)*10,[1]Hugst!$R$4:$W$4,0))))</f>
        <v>0</v>
      </c>
      <c r="AC276">
        <f ca="1">IF($C276-AC$1&lt;År1,0,AB275*(1-VLOOKUP($A276,[1]Hugst!$R$5:$W$9,MATCH(ROUNDUP((AC$1)/10,0)*10,[1]Hugst!$R$4:$W$4,0))))</f>
        <v>0</v>
      </c>
      <c r="AD276">
        <f ca="1">IF($C276-AD$1&lt;År1,0,AC275*(1-VLOOKUP($A276,[1]Hugst!$R$5:$W$9,MATCH(ROUNDUP((AD$1)/10,0)*10,[1]Hugst!$R$4:$W$4,0))))</f>
        <v>0</v>
      </c>
      <c r="AE276">
        <f ca="1">IF($C276-AE$1&lt;År1,0,AD275*(1-VLOOKUP($A276,[1]Hugst!$R$5:$W$9,MATCH(ROUNDUP((AE$1)/10,0)*10,[1]Hugst!$R$4:$W$4,0))))</f>
        <v>0</v>
      </c>
      <c r="AF276">
        <f ca="1">IF($C276-AF$1&lt;År1,0,AE275*(1-VLOOKUP($A276,[1]Hugst!$R$5:$W$9,MATCH(ROUNDUP((AF$1)/10,0)*10,[1]Hugst!$R$4:$W$4,0))))</f>
        <v>0</v>
      </c>
      <c r="AG276">
        <f>IF($C276-AG$1&lt;År1,0,AF275*(1-VLOOKUP($A276,[1]Hugst!$R$5:$W$9,MATCH(ROUNDUP((AG$1)/10,0)*10,[1]Hugst!$R$4:$W$4,0))))</f>
        <v>0</v>
      </c>
      <c r="AH276">
        <f>IF($C276-AH$1&lt;År1,0,AG275*(1-VLOOKUP($A276,[1]Hugst!$R$5:$W$9,MATCH(ROUNDUP((AH$1)/10,0)*10,[1]Hugst!$R$4:$W$4,0))))</f>
        <v>0</v>
      </c>
      <c r="AI276">
        <f>IF($C276-AI$1&lt;År1,0,AH275*(1-VLOOKUP($A276,[1]Hugst!$R$5:$W$9,MATCH(ROUNDUP((AI$1)/10,0)*10,[1]Hugst!$R$4:$W$4,0))))</f>
        <v>0</v>
      </c>
      <c r="AJ276">
        <f>IF($C276-AJ$1&lt;År1,0,AI275*(1-VLOOKUP($A276,[1]Hugst!$R$5:$W$9,MATCH(ROUNDUP((AJ$1)/10,0)*10,[1]Hugst!$R$4:$W$4,0))))</f>
        <v>0</v>
      </c>
    </row>
    <row r="277" spans="1:36" x14ac:dyDescent="0.25">
      <c r="A277" t="s">
        <v>180</v>
      </c>
      <c r="B277" t="s">
        <v>23</v>
      </c>
      <c r="C277">
        <v>2047</v>
      </c>
      <c r="D277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0</v>
      </c>
      <c r="E277">
        <f t="shared" ca="1" si="6"/>
        <v>0</v>
      </c>
      <c r="F277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>
        <f ca="1">IF($C277-G$1&lt;År1,0,F276*(1-VLOOKUP($A277,[1]Hugst!$R$5:$W$9,MATCH(ROUNDUP((G$1)/10,0)*10,[1]Hugst!$R$4:$W$4,0))))</f>
        <v>0</v>
      </c>
      <c r="H277">
        <f ca="1">IF($C277-H$1&lt;År1,0,G276*(1-VLOOKUP($A277,[1]Hugst!$R$5:$W$9,MATCH(ROUNDUP((H$1)/10,0)*10,[1]Hugst!$R$4:$W$4,0))))</f>
        <v>0</v>
      </c>
      <c r="I277">
        <f ca="1">IF($C277-I$1&lt;År1,0,H276*(1-VLOOKUP($A277,[1]Hugst!$R$5:$W$9,MATCH(ROUNDUP((I$1)/10,0)*10,[1]Hugst!$R$4:$W$4,0))))</f>
        <v>0</v>
      </c>
      <c r="J277">
        <f ca="1">IF($C277-J$1&lt;År1,0,I276*(1-VLOOKUP($A277,[1]Hugst!$R$5:$W$9,MATCH(ROUNDUP((J$1)/10,0)*10,[1]Hugst!$R$4:$W$4,0))))</f>
        <v>0</v>
      </c>
      <c r="K277">
        <f ca="1">IF($C277-K$1&lt;År1,0,J276*(1-VLOOKUP($A277,[1]Hugst!$R$5:$W$9,MATCH(ROUNDUP((K$1)/10,0)*10,[1]Hugst!$R$4:$W$4,0))))</f>
        <v>0</v>
      </c>
      <c r="L277">
        <f ca="1">IF($C277-L$1&lt;År1,0,K276*(1-VLOOKUP($A277,[1]Hugst!$R$5:$W$9,MATCH(ROUNDUP((L$1)/10,0)*10,[1]Hugst!$R$4:$W$4,0))))</f>
        <v>0</v>
      </c>
      <c r="M277">
        <f ca="1">IF($C277-M$1&lt;År1,0,L276*(1-VLOOKUP($A277,[1]Hugst!$R$5:$W$9,MATCH(ROUNDUP((M$1)/10,0)*10,[1]Hugst!$R$4:$W$4,0))))</f>
        <v>0</v>
      </c>
      <c r="N277">
        <f ca="1">IF($C277-N$1&lt;År1,0,M276*(1-VLOOKUP($A277,[1]Hugst!$R$5:$W$9,MATCH(ROUNDUP((N$1)/10,0)*10,[1]Hugst!$R$4:$W$4,0))))</f>
        <v>0</v>
      </c>
      <c r="O277">
        <f ca="1">IF($C277-O$1&lt;År1,0,N276*(1-VLOOKUP($A277,[1]Hugst!$R$5:$W$9,MATCH(ROUNDUP((O$1)/10,0)*10,[1]Hugst!$R$4:$W$4,0))))</f>
        <v>0</v>
      </c>
      <c r="P277">
        <f ca="1">IF($C277-P$1&lt;År1,0,O276*(1-VLOOKUP($A277,[1]Hugst!$R$5:$W$9,MATCH(ROUNDUP((P$1)/10,0)*10,[1]Hugst!$R$4:$W$4,0))))</f>
        <v>0</v>
      </c>
      <c r="Q277">
        <f ca="1">IF($C277-Q$1&lt;År1,0,P276*(1-VLOOKUP($A277,[1]Hugst!$R$5:$W$9,MATCH(ROUNDUP((Q$1)/10,0)*10,[1]Hugst!$R$4:$W$4,0))))</f>
        <v>0</v>
      </c>
      <c r="R277">
        <f ca="1">IF($C277-R$1&lt;År1,0,Q276*(1-VLOOKUP($A277,[1]Hugst!$R$5:$W$9,MATCH(ROUNDUP((R$1)/10,0)*10,[1]Hugst!$R$4:$W$4,0))))</f>
        <v>0</v>
      </c>
      <c r="S277">
        <f ca="1">IF($C277-S$1&lt;År1,0,R276*(1-VLOOKUP($A277,[1]Hugst!$R$5:$W$9,MATCH(ROUNDUP((S$1)/10,0)*10,[1]Hugst!$R$4:$W$4,0))))</f>
        <v>0</v>
      </c>
      <c r="T277">
        <f ca="1">IF($C277-T$1&lt;År1,0,S276*(1-VLOOKUP($A277,[1]Hugst!$R$5:$W$9,MATCH(ROUNDUP((T$1)/10,0)*10,[1]Hugst!$R$4:$W$4,0))))</f>
        <v>0</v>
      </c>
      <c r="U277">
        <f ca="1">IF($C277-U$1&lt;År1,0,T276*(1-VLOOKUP($A277,[1]Hugst!$R$5:$W$9,MATCH(ROUNDUP((U$1)/10,0)*10,[1]Hugst!$R$4:$W$4,0))))</f>
        <v>0</v>
      </c>
      <c r="V277">
        <f ca="1">IF($C277-V$1&lt;År1,0,U276*(1-VLOOKUP($A277,[1]Hugst!$R$5:$W$9,MATCH(ROUNDUP((V$1)/10,0)*10,[1]Hugst!$R$4:$W$4,0))))</f>
        <v>0</v>
      </c>
      <c r="W277">
        <f ca="1">IF($C277-W$1&lt;År1,0,V276*(1-VLOOKUP($A277,[1]Hugst!$R$5:$W$9,MATCH(ROUNDUP((W$1)/10,0)*10,[1]Hugst!$R$4:$W$4,0))))</f>
        <v>0</v>
      </c>
      <c r="X277">
        <f ca="1">IF($C277-X$1&lt;År1,0,W276*(1-VLOOKUP($A277,[1]Hugst!$R$5:$W$9,MATCH(ROUNDUP((X$1)/10,0)*10,[1]Hugst!$R$4:$W$4,0))))</f>
        <v>0</v>
      </c>
      <c r="Y277">
        <f ca="1">IF($C277-Y$1&lt;År1,0,X276*(1-VLOOKUP($A277,[1]Hugst!$R$5:$W$9,MATCH(ROUNDUP((Y$1)/10,0)*10,[1]Hugst!$R$4:$W$4,0))))</f>
        <v>0</v>
      </c>
      <c r="Z277">
        <f ca="1">IF($C277-Z$1&lt;År1,0,Y276*(1-VLOOKUP($A277,[1]Hugst!$R$5:$W$9,MATCH(ROUNDUP((Z$1)/10,0)*10,[1]Hugst!$R$4:$W$4,0))))</f>
        <v>0</v>
      </c>
      <c r="AA277">
        <f ca="1">IF($C277-AA$1&lt;År1,0,Z276*(1-VLOOKUP($A277,[1]Hugst!$R$5:$W$9,MATCH(ROUNDUP((AA$1)/10,0)*10,[1]Hugst!$R$4:$W$4,0))))</f>
        <v>0</v>
      </c>
      <c r="AB277">
        <f ca="1">IF($C277-AB$1&lt;År1,0,AA276*(1-VLOOKUP($A277,[1]Hugst!$R$5:$W$9,MATCH(ROUNDUP((AB$1)/10,0)*10,[1]Hugst!$R$4:$W$4,0))))</f>
        <v>0</v>
      </c>
      <c r="AC277">
        <f ca="1">IF($C277-AC$1&lt;År1,0,AB276*(1-VLOOKUP($A277,[1]Hugst!$R$5:$W$9,MATCH(ROUNDUP((AC$1)/10,0)*10,[1]Hugst!$R$4:$W$4,0))))</f>
        <v>0</v>
      </c>
      <c r="AD277">
        <f ca="1">IF($C277-AD$1&lt;År1,0,AC276*(1-VLOOKUP($A277,[1]Hugst!$R$5:$W$9,MATCH(ROUNDUP((AD$1)/10,0)*10,[1]Hugst!$R$4:$W$4,0))))</f>
        <v>0</v>
      </c>
      <c r="AE277">
        <f ca="1">IF($C277-AE$1&lt;År1,0,AD276*(1-VLOOKUP($A277,[1]Hugst!$R$5:$W$9,MATCH(ROUNDUP((AE$1)/10,0)*10,[1]Hugst!$R$4:$W$4,0))))</f>
        <v>0</v>
      </c>
      <c r="AF277">
        <f ca="1">IF($C277-AF$1&lt;År1,0,AE276*(1-VLOOKUP($A277,[1]Hugst!$R$5:$W$9,MATCH(ROUNDUP((AF$1)/10,0)*10,[1]Hugst!$R$4:$W$4,0))))</f>
        <v>0</v>
      </c>
      <c r="AG277">
        <f ca="1">IF($C277-AG$1&lt;År1,0,AF276*(1-VLOOKUP($A277,[1]Hugst!$R$5:$W$9,MATCH(ROUNDUP((AG$1)/10,0)*10,[1]Hugst!$R$4:$W$4,0))))</f>
        <v>0</v>
      </c>
      <c r="AH277">
        <f>IF($C277-AH$1&lt;År1,0,AG276*(1-VLOOKUP($A277,[1]Hugst!$R$5:$W$9,MATCH(ROUNDUP((AH$1)/10,0)*10,[1]Hugst!$R$4:$W$4,0))))</f>
        <v>0</v>
      </c>
      <c r="AI277">
        <f>IF($C277-AI$1&lt;År1,0,AH276*(1-VLOOKUP($A277,[1]Hugst!$R$5:$W$9,MATCH(ROUNDUP((AI$1)/10,0)*10,[1]Hugst!$R$4:$W$4,0))))</f>
        <v>0</v>
      </c>
      <c r="AJ277">
        <f>IF($C277-AJ$1&lt;År1,0,AI276*(1-VLOOKUP($A277,[1]Hugst!$R$5:$W$9,MATCH(ROUNDUP((AJ$1)/10,0)*10,[1]Hugst!$R$4:$W$4,0))))</f>
        <v>0</v>
      </c>
    </row>
    <row r="278" spans="1:36" x14ac:dyDescent="0.25">
      <c r="A278" t="s">
        <v>180</v>
      </c>
      <c r="B278" t="s">
        <v>23</v>
      </c>
      <c r="C278">
        <v>2048</v>
      </c>
      <c r="D27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0</v>
      </c>
      <c r="E278">
        <f t="shared" ca="1" si="6"/>
        <v>0</v>
      </c>
      <c r="F27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>
        <f ca="1">IF($C278-G$1&lt;År1,0,F277*(1-VLOOKUP($A278,[1]Hugst!$R$5:$W$9,MATCH(ROUNDUP((G$1)/10,0)*10,[1]Hugst!$R$4:$W$4,0))))</f>
        <v>0</v>
      </c>
      <c r="H278">
        <f ca="1">IF($C278-H$1&lt;År1,0,G277*(1-VLOOKUP($A278,[1]Hugst!$R$5:$W$9,MATCH(ROUNDUP((H$1)/10,0)*10,[1]Hugst!$R$4:$W$4,0))))</f>
        <v>0</v>
      </c>
      <c r="I278">
        <f ca="1">IF($C278-I$1&lt;År1,0,H277*(1-VLOOKUP($A278,[1]Hugst!$R$5:$W$9,MATCH(ROUNDUP((I$1)/10,0)*10,[1]Hugst!$R$4:$W$4,0))))</f>
        <v>0</v>
      </c>
      <c r="J278">
        <f ca="1">IF($C278-J$1&lt;År1,0,I277*(1-VLOOKUP($A278,[1]Hugst!$R$5:$W$9,MATCH(ROUNDUP((J$1)/10,0)*10,[1]Hugst!$R$4:$W$4,0))))</f>
        <v>0</v>
      </c>
      <c r="K278">
        <f ca="1">IF($C278-K$1&lt;År1,0,J277*(1-VLOOKUP($A278,[1]Hugst!$R$5:$W$9,MATCH(ROUNDUP((K$1)/10,0)*10,[1]Hugst!$R$4:$W$4,0))))</f>
        <v>0</v>
      </c>
      <c r="L278">
        <f ca="1">IF($C278-L$1&lt;År1,0,K277*(1-VLOOKUP($A278,[1]Hugst!$R$5:$W$9,MATCH(ROUNDUP((L$1)/10,0)*10,[1]Hugst!$R$4:$W$4,0))))</f>
        <v>0</v>
      </c>
      <c r="M278">
        <f ca="1">IF($C278-M$1&lt;År1,0,L277*(1-VLOOKUP($A278,[1]Hugst!$R$5:$W$9,MATCH(ROUNDUP((M$1)/10,0)*10,[1]Hugst!$R$4:$W$4,0))))</f>
        <v>0</v>
      </c>
      <c r="N278">
        <f ca="1">IF($C278-N$1&lt;År1,0,M277*(1-VLOOKUP($A278,[1]Hugst!$R$5:$W$9,MATCH(ROUNDUP((N$1)/10,0)*10,[1]Hugst!$R$4:$W$4,0))))</f>
        <v>0</v>
      </c>
      <c r="O278">
        <f ca="1">IF($C278-O$1&lt;År1,0,N277*(1-VLOOKUP($A278,[1]Hugst!$R$5:$W$9,MATCH(ROUNDUP((O$1)/10,0)*10,[1]Hugst!$R$4:$W$4,0))))</f>
        <v>0</v>
      </c>
      <c r="P278">
        <f ca="1">IF($C278-P$1&lt;År1,0,O277*(1-VLOOKUP($A278,[1]Hugst!$R$5:$W$9,MATCH(ROUNDUP((P$1)/10,0)*10,[1]Hugst!$R$4:$W$4,0))))</f>
        <v>0</v>
      </c>
      <c r="Q278">
        <f ca="1">IF($C278-Q$1&lt;År1,0,P277*(1-VLOOKUP($A278,[1]Hugst!$R$5:$W$9,MATCH(ROUNDUP((Q$1)/10,0)*10,[1]Hugst!$R$4:$W$4,0))))</f>
        <v>0</v>
      </c>
      <c r="R278">
        <f ca="1">IF($C278-R$1&lt;År1,0,Q277*(1-VLOOKUP($A278,[1]Hugst!$R$5:$W$9,MATCH(ROUNDUP((R$1)/10,0)*10,[1]Hugst!$R$4:$W$4,0))))</f>
        <v>0</v>
      </c>
      <c r="S278">
        <f ca="1">IF($C278-S$1&lt;År1,0,R277*(1-VLOOKUP($A278,[1]Hugst!$R$5:$W$9,MATCH(ROUNDUP((S$1)/10,0)*10,[1]Hugst!$R$4:$W$4,0))))</f>
        <v>0</v>
      </c>
      <c r="T278">
        <f ca="1">IF($C278-T$1&lt;År1,0,S277*(1-VLOOKUP($A278,[1]Hugst!$R$5:$W$9,MATCH(ROUNDUP((T$1)/10,0)*10,[1]Hugst!$R$4:$W$4,0))))</f>
        <v>0</v>
      </c>
      <c r="U278">
        <f ca="1">IF($C278-U$1&lt;År1,0,T277*(1-VLOOKUP($A278,[1]Hugst!$R$5:$W$9,MATCH(ROUNDUP((U$1)/10,0)*10,[1]Hugst!$R$4:$W$4,0))))</f>
        <v>0</v>
      </c>
      <c r="V278">
        <f ca="1">IF($C278-V$1&lt;År1,0,U277*(1-VLOOKUP($A278,[1]Hugst!$R$5:$W$9,MATCH(ROUNDUP((V$1)/10,0)*10,[1]Hugst!$R$4:$W$4,0))))</f>
        <v>0</v>
      </c>
      <c r="W278">
        <f ca="1">IF($C278-W$1&lt;År1,0,V277*(1-VLOOKUP($A278,[1]Hugst!$R$5:$W$9,MATCH(ROUNDUP((W$1)/10,0)*10,[1]Hugst!$R$4:$W$4,0))))</f>
        <v>0</v>
      </c>
      <c r="X278">
        <f ca="1">IF($C278-X$1&lt;År1,0,W277*(1-VLOOKUP($A278,[1]Hugst!$R$5:$W$9,MATCH(ROUNDUP((X$1)/10,0)*10,[1]Hugst!$R$4:$W$4,0))))</f>
        <v>0</v>
      </c>
      <c r="Y278">
        <f ca="1">IF($C278-Y$1&lt;År1,0,X277*(1-VLOOKUP($A278,[1]Hugst!$R$5:$W$9,MATCH(ROUNDUP((Y$1)/10,0)*10,[1]Hugst!$R$4:$W$4,0))))</f>
        <v>0</v>
      </c>
      <c r="Z278">
        <f ca="1">IF($C278-Z$1&lt;År1,0,Y277*(1-VLOOKUP($A278,[1]Hugst!$R$5:$W$9,MATCH(ROUNDUP((Z$1)/10,0)*10,[1]Hugst!$R$4:$W$4,0))))</f>
        <v>0</v>
      </c>
      <c r="AA278">
        <f ca="1">IF($C278-AA$1&lt;År1,0,Z277*(1-VLOOKUP($A278,[1]Hugst!$R$5:$W$9,MATCH(ROUNDUP((AA$1)/10,0)*10,[1]Hugst!$R$4:$W$4,0))))</f>
        <v>0</v>
      </c>
      <c r="AB278">
        <f ca="1">IF($C278-AB$1&lt;År1,0,AA277*(1-VLOOKUP($A278,[1]Hugst!$R$5:$W$9,MATCH(ROUNDUP((AB$1)/10,0)*10,[1]Hugst!$R$4:$W$4,0))))</f>
        <v>0</v>
      </c>
      <c r="AC278">
        <f ca="1">IF($C278-AC$1&lt;År1,0,AB277*(1-VLOOKUP($A278,[1]Hugst!$R$5:$W$9,MATCH(ROUNDUP((AC$1)/10,0)*10,[1]Hugst!$R$4:$W$4,0))))</f>
        <v>0</v>
      </c>
      <c r="AD278">
        <f ca="1">IF($C278-AD$1&lt;År1,0,AC277*(1-VLOOKUP($A278,[1]Hugst!$R$5:$W$9,MATCH(ROUNDUP((AD$1)/10,0)*10,[1]Hugst!$R$4:$W$4,0))))</f>
        <v>0</v>
      </c>
      <c r="AE278">
        <f ca="1">IF($C278-AE$1&lt;År1,0,AD277*(1-VLOOKUP($A278,[1]Hugst!$R$5:$W$9,MATCH(ROUNDUP((AE$1)/10,0)*10,[1]Hugst!$R$4:$W$4,0))))</f>
        <v>0</v>
      </c>
      <c r="AF278">
        <f ca="1">IF($C278-AF$1&lt;År1,0,AE277*(1-VLOOKUP($A278,[1]Hugst!$R$5:$W$9,MATCH(ROUNDUP((AF$1)/10,0)*10,[1]Hugst!$R$4:$W$4,0))))</f>
        <v>0</v>
      </c>
      <c r="AG278">
        <f ca="1">IF($C278-AG$1&lt;År1,0,AF277*(1-VLOOKUP($A278,[1]Hugst!$R$5:$W$9,MATCH(ROUNDUP((AG$1)/10,0)*10,[1]Hugst!$R$4:$W$4,0))))</f>
        <v>0</v>
      </c>
      <c r="AH278">
        <f ca="1">IF($C278-AH$1&lt;År1,0,AG277*(1-VLOOKUP($A278,[1]Hugst!$R$5:$W$9,MATCH(ROUNDUP((AH$1)/10,0)*10,[1]Hugst!$R$4:$W$4,0))))</f>
        <v>0</v>
      </c>
      <c r="AI278">
        <f>IF($C278-AI$1&lt;År1,0,AH277*(1-VLOOKUP($A278,[1]Hugst!$R$5:$W$9,MATCH(ROUNDUP((AI$1)/10,0)*10,[1]Hugst!$R$4:$W$4,0))))</f>
        <v>0</v>
      </c>
      <c r="AJ278">
        <f>IF($C278-AJ$1&lt;År1,0,AI277*(1-VLOOKUP($A278,[1]Hugst!$R$5:$W$9,MATCH(ROUNDUP((AJ$1)/10,0)*10,[1]Hugst!$R$4:$W$4,0))))</f>
        <v>0</v>
      </c>
    </row>
    <row r="279" spans="1:36" x14ac:dyDescent="0.25">
      <c r="A279" t="s">
        <v>180</v>
      </c>
      <c r="B279" t="s">
        <v>23</v>
      </c>
      <c r="C279">
        <v>2049</v>
      </c>
      <c r="D279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0</v>
      </c>
      <c r="E279">
        <f t="shared" ca="1" si="6"/>
        <v>0</v>
      </c>
      <c r="F27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>
        <f ca="1">IF($C279-G$1&lt;År1,0,F278*(1-VLOOKUP($A279,[1]Hugst!$R$5:$W$9,MATCH(ROUNDUP((G$1)/10,0)*10,[1]Hugst!$R$4:$W$4,0))))</f>
        <v>0</v>
      </c>
      <c r="H279">
        <f ca="1">IF($C279-H$1&lt;År1,0,G278*(1-VLOOKUP($A279,[1]Hugst!$R$5:$W$9,MATCH(ROUNDUP((H$1)/10,0)*10,[1]Hugst!$R$4:$W$4,0))))</f>
        <v>0</v>
      </c>
      <c r="I279">
        <f ca="1">IF($C279-I$1&lt;År1,0,H278*(1-VLOOKUP($A279,[1]Hugst!$R$5:$W$9,MATCH(ROUNDUP((I$1)/10,0)*10,[1]Hugst!$R$4:$W$4,0))))</f>
        <v>0</v>
      </c>
      <c r="J279">
        <f ca="1">IF($C279-J$1&lt;År1,0,I278*(1-VLOOKUP($A279,[1]Hugst!$R$5:$W$9,MATCH(ROUNDUP((J$1)/10,0)*10,[1]Hugst!$R$4:$W$4,0))))</f>
        <v>0</v>
      </c>
      <c r="K279">
        <f ca="1">IF($C279-K$1&lt;År1,0,J278*(1-VLOOKUP($A279,[1]Hugst!$R$5:$W$9,MATCH(ROUNDUP((K$1)/10,0)*10,[1]Hugst!$R$4:$W$4,0))))</f>
        <v>0</v>
      </c>
      <c r="L279">
        <f ca="1">IF($C279-L$1&lt;År1,0,K278*(1-VLOOKUP($A279,[1]Hugst!$R$5:$W$9,MATCH(ROUNDUP((L$1)/10,0)*10,[1]Hugst!$R$4:$W$4,0))))</f>
        <v>0</v>
      </c>
      <c r="M279">
        <f ca="1">IF($C279-M$1&lt;År1,0,L278*(1-VLOOKUP($A279,[1]Hugst!$R$5:$W$9,MATCH(ROUNDUP((M$1)/10,0)*10,[1]Hugst!$R$4:$W$4,0))))</f>
        <v>0</v>
      </c>
      <c r="N279">
        <f ca="1">IF($C279-N$1&lt;År1,0,M278*(1-VLOOKUP($A279,[1]Hugst!$R$5:$W$9,MATCH(ROUNDUP((N$1)/10,0)*10,[1]Hugst!$R$4:$W$4,0))))</f>
        <v>0</v>
      </c>
      <c r="O279">
        <f ca="1">IF($C279-O$1&lt;År1,0,N278*(1-VLOOKUP($A279,[1]Hugst!$R$5:$W$9,MATCH(ROUNDUP((O$1)/10,0)*10,[1]Hugst!$R$4:$W$4,0))))</f>
        <v>0</v>
      </c>
      <c r="P279">
        <f ca="1">IF($C279-P$1&lt;År1,0,O278*(1-VLOOKUP($A279,[1]Hugst!$R$5:$W$9,MATCH(ROUNDUP((P$1)/10,0)*10,[1]Hugst!$R$4:$W$4,0))))</f>
        <v>0</v>
      </c>
      <c r="Q279">
        <f ca="1">IF($C279-Q$1&lt;År1,0,P278*(1-VLOOKUP($A279,[1]Hugst!$R$5:$W$9,MATCH(ROUNDUP((Q$1)/10,0)*10,[1]Hugst!$R$4:$W$4,0))))</f>
        <v>0</v>
      </c>
      <c r="R279">
        <f ca="1">IF($C279-R$1&lt;År1,0,Q278*(1-VLOOKUP($A279,[1]Hugst!$R$5:$W$9,MATCH(ROUNDUP((R$1)/10,0)*10,[1]Hugst!$R$4:$W$4,0))))</f>
        <v>0</v>
      </c>
      <c r="S279">
        <f ca="1">IF($C279-S$1&lt;År1,0,R278*(1-VLOOKUP($A279,[1]Hugst!$R$5:$W$9,MATCH(ROUNDUP((S$1)/10,0)*10,[1]Hugst!$R$4:$W$4,0))))</f>
        <v>0</v>
      </c>
      <c r="T279">
        <f ca="1">IF($C279-T$1&lt;År1,0,S278*(1-VLOOKUP($A279,[1]Hugst!$R$5:$W$9,MATCH(ROUNDUP((T$1)/10,0)*10,[1]Hugst!$R$4:$W$4,0))))</f>
        <v>0</v>
      </c>
      <c r="U279">
        <f ca="1">IF($C279-U$1&lt;År1,0,T278*(1-VLOOKUP($A279,[1]Hugst!$R$5:$W$9,MATCH(ROUNDUP((U$1)/10,0)*10,[1]Hugst!$R$4:$W$4,0))))</f>
        <v>0</v>
      </c>
      <c r="V279">
        <f ca="1">IF($C279-V$1&lt;År1,0,U278*(1-VLOOKUP($A279,[1]Hugst!$R$5:$W$9,MATCH(ROUNDUP((V$1)/10,0)*10,[1]Hugst!$R$4:$W$4,0))))</f>
        <v>0</v>
      </c>
      <c r="W279">
        <f ca="1">IF($C279-W$1&lt;År1,0,V278*(1-VLOOKUP($A279,[1]Hugst!$R$5:$W$9,MATCH(ROUNDUP((W$1)/10,0)*10,[1]Hugst!$R$4:$W$4,0))))</f>
        <v>0</v>
      </c>
      <c r="X279">
        <f ca="1">IF($C279-X$1&lt;År1,0,W278*(1-VLOOKUP($A279,[1]Hugst!$R$5:$W$9,MATCH(ROUNDUP((X$1)/10,0)*10,[1]Hugst!$R$4:$W$4,0))))</f>
        <v>0</v>
      </c>
      <c r="Y279">
        <f ca="1">IF($C279-Y$1&lt;År1,0,X278*(1-VLOOKUP($A279,[1]Hugst!$R$5:$W$9,MATCH(ROUNDUP((Y$1)/10,0)*10,[1]Hugst!$R$4:$W$4,0))))</f>
        <v>0</v>
      </c>
      <c r="Z279">
        <f ca="1">IF($C279-Z$1&lt;År1,0,Y278*(1-VLOOKUP($A279,[1]Hugst!$R$5:$W$9,MATCH(ROUNDUP((Z$1)/10,0)*10,[1]Hugst!$R$4:$W$4,0))))</f>
        <v>0</v>
      </c>
      <c r="AA279">
        <f ca="1">IF($C279-AA$1&lt;År1,0,Z278*(1-VLOOKUP($A279,[1]Hugst!$R$5:$W$9,MATCH(ROUNDUP((AA$1)/10,0)*10,[1]Hugst!$R$4:$W$4,0))))</f>
        <v>0</v>
      </c>
      <c r="AB279">
        <f ca="1">IF($C279-AB$1&lt;År1,0,AA278*(1-VLOOKUP($A279,[1]Hugst!$R$5:$W$9,MATCH(ROUNDUP((AB$1)/10,0)*10,[1]Hugst!$R$4:$W$4,0))))</f>
        <v>0</v>
      </c>
      <c r="AC279">
        <f ca="1">IF($C279-AC$1&lt;År1,0,AB278*(1-VLOOKUP($A279,[1]Hugst!$R$5:$W$9,MATCH(ROUNDUP((AC$1)/10,0)*10,[1]Hugst!$R$4:$W$4,0))))</f>
        <v>0</v>
      </c>
      <c r="AD279">
        <f ca="1">IF($C279-AD$1&lt;År1,0,AC278*(1-VLOOKUP($A279,[1]Hugst!$R$5:$W$9,MATCH(ROUNDUP((AD$1)/10,0)*10,[1]Hugst!$R$4:$W$4,0))))</f>
        <v>0</v>
      </c>
      <c r="AE279">
        <f ca="1">IF($C279-AE$1&lt;År1,0,AD278*(1-VLOOKUP($A279,[1]Hugst!$R$5:$W$9,MATCH(ROUNDUP((AE$1)/10,0)*10,[1]Hugst!$R$4:$W$4,0))))</f>
        <v>0</v>
      </c>
      <c r="AF279">
        <f ca="1">IF($C279-AF$1&lt;År1,0,AE278*(1-VLOOKUP($A279,[1]Hugst!$R$5:$W$9,MATCH(ROUNDUP((AF$1)/10,0)*10,[1]Hugst!$R$4:$W$4,0))))</f>
        <v>0</v>
      </c>
      <c r="AG279">
        <f ca="1">IF($C279-AG$1&lt;År1,0,AF278*(1-VLOOKUP($A279,[1]Hugst!$R$5:$W$9,MATCH(ROUNDUP((AG$1)/10,0)*10,[1]Hugst!$R$4:$W$4,0))))</f>
        <v>0</v>
      </c>
      <c r="AH279">
        <f ca="1">IF($C279-AH$1&lt;År1,0,AG278*(1-VLOOKUP($A279,[1]Hugst!$R$5:$W$9,MATCH(ROUNDUP((AH$1)/10,0)*10,[1]Hugst!$R$4:$W$4,0))))</f>
        <v>0</v>
      </c>
      <c r="AI279">
        <f ca="1">IF($C279-AI$1&lt;År1,0,AH278*(1-VLOOKUP($A279,[1]Hugst!$R$5:$W$9,MATCH(ROUNDUP((AI$1)/10,0)*10,[1]Hugst!$R$4:$W$4,0))))</f>
        <v>0</v>
      </c>
      <c r="AJ279">
        <f>IF($C279-AJ$1&lt;År1,0,AI278*(1-VLOOKUP($A279,[1]Hugst!$R$5:$W$9,MATCH(ROUNDUP((AJ$1)/10,0)*10,[1]Hugst!$R$4:$W$4,0))))</f>
        <v>0</v>
      </c>
    </row>
    <row r="280" spans="1:36" x14ac:dyDescent="0.25">
      <c r="A280" t="s">
        <v>180</v>
      </c>
      <c r="B280" t="s">
        <v>23</v>
      </c>
      <c r="C280">
        <v>2050</v>
      </c>
      <c r="D280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0</v>
      </c>
      <c r="E280">
        <f t="shared" ca="1" si="6"/>
        <v>0</v>
      </c>
      <c r="F280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>
        <f ca="1">IF($C280-G$1&lt;År1,0,F279*(1-VLOOKUP($A280,[1]Hugst!$R$5:$W$9,MATCH(ROUNDUP((G$1)/10,0)*10,[1]Hugst!$R$4:$W$4,0))))</f>
        <v>0</v>
      </c>
      <c r="H280">
        <f ca="1">IF($C280-H$1&lt;År1,0,G279*(1-VLOOKUP($A280,[1]Hugst!$R$5:$W$9,MATCH(ROUNDUP((H$1)/10,0)*10,[1]Hugst!$R$4:$W$4,0))))</f>
        <v>0</v>
      </c>
      <c r="I280">
        <f ca="1">IF($C280-I$1&lt;År1,0,H279*(1-VLOOKUP($A280,[1]Hugst!$R$5:$W$9,MATCH(ROUNDUP((I$1)/10,0)*10,[1]Hugst!$R$4:$W$4,0))))</f>
        <v>0</v>
      </c>
      <c r="J280">
        <f ca="1">IF($C280-J$1&lt;År1,0,I279*(1-VLOOKUP($A280,[1]Hugst!$R$5:$W$9,MATCH(ROUNDUP((J$1)/10,0)*10,[1]Hugst!$R$4:$W$4,0))))</f>
        <v>0</v>
      </c>
      <c r="K280">
        <f ca="1">IF($C280-K$1&lt;År1,0,J279*(1-VLOOKUP($A280,[1]Hugst!$R$5:$W$9,MATCH(ROUNDUP((K$1)/10,0)*10,[1]Hugst!$R$4:$W$4,0))))</f>
        <v>0</v>
      </c>
      <c r="L280">
        <f ca="1">IF($C280-L$1&lt;År1,0,K279*(1-VLOOKUP($A280,[1]Hugst!$R$5:$W$9,MATCH(ROUNDUP((L$1)/10,0)*10,[1]Hugst!$R$4:$W$4,0))))</f>
        <v>0</v>
      </c>
      <c r="M280">
        <f ca="1">IF($C280-M$1&lt;År1,0,L279*(1-VLOOKUP($A280,[1]Hugst!$R$5:$W$9,MATCH(ROUNDUP((M$1)/10,0)*10,[1]Hugst!$R$4:$W$4,0))))</f>
        <v>0</v>
      </c>
      <c r="N280">
        <f ca="1">IF($C280-N$1&lt;År1,0,M279*(1-VLOOKUP($A280,[1]Hugst!$R$5:$W$9,MATCH(ROUNDUP((N$1)/10,0)*10,[1]Hugst!$R$4:$W$4,0))))</f>
        <v>0</v>
      </c>
      <c r="O280">
        <f ca="1">IF($C280-O$1&lt;År1,0,N279*(1-VLOOKUP($A280,[1]Hugst!$R$5:$W$9,MATCH(ROUNDUP((O$1)/10,0)*10,[1]Hugst!$R$4:$W$4,0))))</f>
        <v>0</v>
      </c>
      <c r="P280">
        <f ca="1">IF($C280-P$1&lt;År1,0,O279*(1-VLOOKUP($A280,[1]Hugst!$R$5:$W$9,MATCH(ROUNDUP((P$1)/10,0)*10,[1]Hugst!$R$4:$W$4,0))))</f>
        <v>0</v>
      </c>
      <c r="Q280">
        <f ca="1">IF($C280-Q$1&lt;År1,0,P279*(1-VLOOKUP($A280,[1]Hugst!$R$5:$W$9,MATCH(ROUNDUP((Q$1)/10,0)*10,[1]Hugst!$R$4:$W$4,0))))</f>
        <v>0</v>
      </c>
      <c r="R280">
        <f ca="1">IF($C280-R$1&lt;År1,0,Q279*(1-VLOOKUP($A280,[1]Hugst!$R$5:$W$9,MATCH(ROUNDUP((R$1)/10,0)*10,[1]Hugst!$R$4:$W$4,0))))</f>
        <v>0</v>
      </c>
      <c r="S280">
        <f ca="1">IF($C280-S$1&lt;År1,0,R279*(1-VLOOKUP($A280,[1]Hugst!$R$5:$W$9,MATCH(ROUNDUP((S$1)/10,0)*10,[1]Hugst!$R$4:$W$4,0))))</f>
        <v>0</v>
      </c>
      <c r="T280">
        <f ca="1">IF($C280-T$1&lt;År1,0,S279*(1-VLOOKUP($A280,[1]Hugst!$R$5:$W$9,MATCH(ROUNDUP((T$1)/10,0)*10,[1]Hugst!$R$4:$W$4,0))))</f>
        <v>0</v>
      </c>
      <c r="U280">
        <f ca="1">IF($C280-U$1&lt;År1,0,T279*(1-VLOOKUP($A280,[1]Hugst!$R$5:$W$9,MATCH(ROUNDUP((U$1)/10,0)*10,[1]Hugst!$R$4:$W$4,0))))</f>
        <v>0</v>
      </c>
      <c r="V280">
        <f ca="1">IF($C280-V$1&lt;År1,0,U279*(1-VLOOKUP($A280,[1]Hugst!$R$5:$W$9,MATCH(ROUNDUP((V$1)/10,0)*10,[1]Hugst!$R$4:$W$4,0))))</f>
        <v>0</v>
      </c>
      <c r="W280">
        <f ca="1">IF($C280-W$1&lt;År1,0,V279*(1-VLOOKUP($A280,[1]Hugst!$R$5:$W$9,MATCH(ROUNDUP((W$1)/10,0)*10,[1]Hugst!$R$4:$W$4,0))))</f>
        <v>0</v>
      </c>
      <c r="X280">
        <f ca="1">IF($C280-X$1&lt;År1,0,W279*(1-VLOOKUP($A280,[1]Hugst!$R$5:$W$9,MATCH(ROUNDUP((X$1)/10,0)*10,[1]Hugst!$R$4:$W$4,0))))</f>
        <v>0</v>
      </c>
      <c r="Y280">
        <f ca="1">IF($C280-Y$1&lt;År1,0,X279*(1-VLOOKUP($A280,[1]Hugst!$R$5:$W$9,MATCH(ROUNDUP((Y$1)/10,0)*10,[1]Hugst!$R$4:$W$4,0))))</f>
        <v>0</v>
      </c>
      <c r="Z280">
        <f ca="1">IF($C280-Z$1&lt;År1,0,Y279*(1-VLOOKUP($A280,[1]Hugst!$R$5:$W$9,MATCH(ROUNDUP((Z$1)/10,0)*10,[1]Hugst!$R$4:$W$4,0))))</f>
        <v>0</v>
      </c>
      <c r="AA280">
        <f ca="1">IF($C280-AA$1&lt;År1,0,Z279*(1-VLOOKUP($A280,[1]Hugst!$R$5:$W$9,MATCH(ROUNDUP((AA$1)/10,0)*10,[1]Hugst!$R$4:$W$4,0))))</f>
        <v>0</v>
      </c>
      <c r="AB280">
        <f ca="1">IF($C280-AB$1&lt;År1,0,AA279*(1-VLOOKUP($A280,[1]Hugst!$R$5:$W$9,MATCH(ROUNDUP((AB$1)/10,0)*10,[1]Hugst!$R$4:$W$4,0))))</f>
        <v>0</v>
      </c>
      <c r="AC280">
        <f ca="1">IF($C280-AC$1&lt;År1,0,AB279*(1-VLOOKUP($A280,[1]Hugst!$R$5:$W$9,MATCH(ROUNDUP((AC$1)/10,0)*10,[1]Hugst!$R$4:$W$4,0))))</f>
        <v>0</v>
      </c>
      <c r="AD280">
        <f ca="1">IF($C280-AD$1&lt;År1,0,AC279*(1-VLOOKUP($A280,[1]Hugst!$R$5:$W$9,MATCH(ROUNDUP((AD$1)/10,0)*10,[1]Hugst!$R$4:$W$4,0))))</f>
        <v>0</v>
      </c>
      <c r="AE280">
        <f ca="1">IF($C280-AE$1&lt;År1,0,AD279*(1-VLOOKUP($A280,[1]Hugst!$R$5:$W$9,MATCH(ROUNDUP((AE$1)/10,0)*10,[1]Hugst!$R$4:$W$4,0))))</f>
        <v>0</v>
      </c>
      <c r="AF280">
        <f ca="1">IF($C280-AF$1&lt;År1,0,AE279*(1-VLOOKUP($A280,[1]Hugst!$R$5:$W$9,MATCH(ROUNDUP((AF$1)/10,0)*10,[1]Hugst!$R$4:$W$4,0))))</f>
        <v>0</v>
      </c>
      <c r="AG280">
        <f ca="1">IF($C280-AG$1&lt;År1,0,AF279*(1-VLOOKUP($A280,[1]Hugst!$R$5:$W$9,MATCH(ROUNDUP((AG$1)/10,0)*10,[1]Hugst!$R$4:$W$4,0))))</f>
        <v>0</v>
      </c>
      <c r="AH280">
        <f ca="1">IF($C280-AH$1&lt;År1,0,AG279*(1-VLOOKUP($A280,[1]Hugst!$R$5:$W$9,MATCH(ROUNDUP((AH$1)/10,0)*10,[1]Hugst!$R$4:$W$4,0))))</f>
        <v>0</v>
      </c>
      <c r="AI280">
        <f ca="1">IF($C280-AI$1&lt;År1,0,AH279*(1-VLOOKUP($A280,[1]Hugst!$R$5:$W$9,MATCH(ROUNDUP((AI$1)/10,0)*10,[1]Hugst!$R$4:$W$4,0))))</f>
        <v>0</v>
      </c>
      <c r="AJ280">
        <f ca="1">IF($C280-AJ$1&lt;År1,0,AI279*(1-VLOOKUP($A280,[1]Hugst!$R$5:$W$9,MATCH(ROUNDUP((AJ$1)/10,0)*10,[1]Hugst!$R$4:$W$4,0))))</f>
        <v>0</v>
      </c>
    </row>
    <row r="281" spans="1:36" x14ac:dyDescent="0.25">
      <c r="A281" t="s">
        <v>180</v>
      </c>
      <c r="B281" t="s">
        <v>24</v>
      </c>
      <c r="C281">
        <v>2020</v>
      </c>
      <c r="D281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0</v>
      </c>
      <c r="E281">
        <f>IF(C281=2020,SUM(G281:AJ281),SUM(F280:AJ280)-SUM(G281:AJ281))</f>
        <v>0</v>
      </c>
      <c r="F28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>
        <f>IF($C281-G$1&lt;År1,0,F280*(1-VLOOKUP($A281,[1]Hugst!$R$5:$W$9,MATCH(ROUNDUP((G$1)/10,0)*10,[1]Hugst!$R$4:$W$4,0))))</f>
        <v>0</v>
      </c>
      <c r="H281">
        <f>IF($C281-H$1&lt;År1,0,G280*(1-VLOOKUP($A281,[1]Hugst!$R$5:$W$9,MATCH(ROUNDUP((H$1)/10,0)*10,[1]Hugst!$R$4:$W$4,0))))</f>
        <v>0</v>
      </c>
      <c r="I281">
        <f>IF($C281-I$1&lt;År1,0,H280*(1-VLOOKUP($A281,[1]Hugst!$R$5:$W$9,MATCH(ROUNDUP((I$1)/10,0)*10,[1]Hugst!$R$4:$W$4,0))))</f>
        <v>0</v>
      </c>
      <c r="J281">
        <f>IF($C281-J$1&lt;År1,0,I280*(1-VLOOKUP($A281,[1]Hugst!$R$5:$W$9,MATCH(ROUNDUP((J$1)/10,0)*10,[1]Hugst!$R$4:$W$4,0))))</f>
        <v>0</v>
      </c>
      <c r="K281">
        <f>IF($C281-K$1&lt;År1,0,J280*(1-VLOOKUP($A281,[1]Hugst!$R$5:$W$9,MATCH(ROUNDUP((K$1)/10,0)*10,[1]Hugst!$R$4:$W$4,0))))</f>
        <v>0</v>
      </c>
      <c r="L281">
        <f>IF($C281-L$1&lt;År1,0,K280*(1-VLOOKUP($A281,[1]Hugst!$R$5:$W$9,MATCH(ROUNDUP((L$1)/10,0)*10,[1]Hugst!$R$4:$W$4,0))))</f>
        <v>0</v>
      </c>
      <c r="M281">
        <f>IF($C281-M$1&lt;År1,0,L280*(1-VLOOKUP($A281,[1]Hugst!$R$5:$W$9,MATCH(ROUNDUP((M$1)/10,0)*10,[1]Hugst!$R$4:$W$4,0))))</f>
        <v>0</v>
      </c>
      <c r="N281">
        <f>IF($C281-N$1&lt;År1,0,M280*(1-VLOOKUP($A281,[1]Hugst!$R$5:$W$9,MATCH(ROUNDUP((N$1)/10,0)*10,[1]Hugst!$R$4:$W$4,0))))</f>
        <v>0</v>
      </c>
      <c r="O281">
        <f>IF($C281-O$1&lt;År1,0,N280*(1-VLOOKUP($A281,[1]Hugst!$R$5:$W$9,MATCH(ROUNDUP((O$1)/10,0)*10,[1]Hugst!$R$4:$W$4,0))))</f>
        <v>0</v>
      </c>
      <c r="P281">
        <f>IF($C281-P$1&lt;År1,0,O280*(1-VLOOKUP($A281,[1]Hugst!$R$5:$W$9,MATCH(ROUNDUP((P$1)/10,0)*10,[1]Hugst!$R$4:$W$4,0))))</f>
        <v>0</v>
      </c>
      <c r="Q281">
        <f>IF($C281-Q$1&lt;År1,0,P280*(1-VLOOKUP($A281,[1]Hugst!$R$5:$W$9,MATCH(ROUNDUP((Q$1)/10,0)*10,[1]Hugst!$R$4:$W$4,0))))</f>
        <v>0</v>
      </c>
      <c r="R281">
        <f>IF($C281-R$1&lt;År1,0,Q280*(1-VLOOKUP($A281,[1]Hugst!$R$5:$W$9,MATCH(ROUNDUP((R$1)/10,0)*10,[1]Hugst!$R$4:$W$4,0))))</f>
        <v>0</v>
      </c>
      <c r="S281">
        <f>IF($C281-S$1&lt;År1,0,R280*(1-VLOOKUP($A281,[1]Hugst!$R$5:$W$9,MATCH(ROUNDUP((S$1)/10,0)*10,[1]Hugst!$R$4:$W$4,0))))</f>
        <v>0</v>
      </c>
      <c r="T281">
        <f>IF($C281-T$1&lt;År1,0,S280*(1-VLOOKUP($A281,[1]Hugst!$R$5:$W$9,MATCH(ROUNDUP((T$1)/10,0)*10,[1]Hugst!$R$4:$W$4,0))))</f>
        <v>0</v>
      </c>
      <c r="U281">
        <f>IF($C281-U$1&lt;År1,0,T280*(1-VLOOKUP($A281,[1]Hugst!$R$5:$W$9,MATCH(ROUNDUP((U$1)/10,0)*10,[1]Hugst!$R$4:$W$4,0))))</f>
        <v>0</v>
      </c>
      <c r="V281">
        <f>IF($C281-V$1&lt;År1,0,U280*(1-VLOOKUP($A281,[1]Hugst!$R$5:$W$9,MATCH(ROUNDUP((V$1)/10,0)*10,[1]Hugst!$R$4:$W$4,0))))</f>
        <v>0</v>
      </c>
      <c r="W281">
        <f>IF($C281-W$1&lt;År1,0,V280*(1-VLOOKUP($A281,[1]Hugst!$R$5:$W$9,MATCH(ROUNDUP((W$1)/10,0)*10,[1]Hugst!$R$4:$W$4,0))))</f>
        <v>0</v>
      </c>
      <c r="X281">
        <f>IF($C281-X$1&lt;År1,0,W280*(1-VLOOKUP($A281,[1]Hugst!$R$5:$W$9,MATCH(ROUNDUP((X$1)/10,0)*10,[1]Hugst!$R$4:$W$4,0))))</f>
        <v>0</v>
      </c>
      <c r="Y281">
        <f>IF($C281-Y$1&lt;År1,0,X280*(1-VLOOKUP($A281,[1]Hugst!$R$5:$W$9,MATCH(ROUNDUP((Y$1)/10,0)*10,[1]Hugst!$R$4:$W$4,0))))</f>
        <v>0</v>
      </c>
      <c r="Z281">
        <f>IF($C281-Z$1&lt;År1,0,Y280*(1-VLOOKUP($A281,[1]Hugst!$R$5:$W$9,MATCH(ROUNDUP((Z$1)/10,0)*10,[1]Hugst!$R$4:$W$4,0))))</f>
        <v>0</v>
      </c>
      <c r="AA281">
        <f>IF($C281-AA$1&lt;År1,0,Z280*(1-VLOOKUP($A281,[1]Hugst!$R$5:$W$9,MATCH(ROUNDUP((AA$1)/10,0)*10,[1]Hugst!$R$4:$W$4,0))))</f>
        <v>0</v>
      </c>
      <c r="AB281">
        <f>IF($C281-AB$1&lt;År1,0,AA280*(1-VLOOKUP($A281,[1]Hugst!$R$5:$W$9,MATCH(ROUNDUP((AB$1)/10,0)*10,[1]Hugst!$R$4:$W$4,0))))</f>
        <v>0</v>
      </c>
      <c r="AC281">
        <f>IF($C281-AC$1&lt;År1,0,AB280*(1-VLOOKUP($A281,[1]Hugst!$R$5:$W$9,MATCH(ROUNDUP((AC$1)/10,0)*10,[1]Hugst!$R$4:$W$4,0))))</f>
        <v>0</v>
      </c>
      <c r="AD281">
        <f>IF($C281-AD$1&lt;År1,0,AC280*(1-VLOOKUP($A281,[1]Hugst!$R$5:$W$9,MATCH(ROUNDUP((AD$1)/10,0)*10,[1]Hugst!$R$4:$W$4,0))))</f>
        <v>0</v>
      </c>
      <c r="AE281">
        <f>IF($C281-AE$1&lt;År1,0,AD280*(1-VLOOKUP($A281,[1]Hugst!$R$5:$W$9,MATCH(ROUNDUP((AE$1)/10,0)*10,[1]Hugst!$R$4:$W$4,0))))</f>
        <v>0</v>
      </c>
      <c r="AF281">
        <f>IF($C281-AF$1&lt;År1,0,AE280*(1-VLOOKUP($A281,[1]Hugst!$R$5:$W$9,MATCH(ROUNDUP((AF$1)/10,0)*10,[1]Hugst!$R$4:$W$4,0))))</f>
        <v>0</v>
      </c>
      <c r="AG281">
        <f>IF($C281-AG$1&lt;År1,0,AF280*(1-VLOOKUP($A281,[1]Hugst!$R$5:$W$9,MATCH(ROUNDUP((AG$1)/10,0)*10,[1]Hugst!$R$4:$W$4,0))))</f>
        <v>0</v>
      </c>
      <c r="AH281">
        <f>IF($C281-AH$1&lt;År1,0,AG280*(1-VLOOKUP($A281,[1]Hugst!$R$5:$W$9,MATCH(ROUNDUP((AH$1)/10,0)*10,[1]Hugst!$R$4:$W$4,0))))</f>
        <v>0</v>
      </c>
      <c r="AI281">
        <f>IF($C281-AI$1&lt;År1,0,AH280*(1-VLOOKUP($A281,[1]Hugst!$R$5:$W$9,MATCH(ROUNDUP((AI$1)/10,0)*10,[1]Hugst!$R$4:$W$4,0))))</f>
        <v>0</v>
      </c>
      <c r="AJ281">
        <f>IF($C281-AJ$1&lt;År1,0,AI280*(1-VLOOKUP($A281,[1]Hugst!$R$5:$W$9,MATCH(ROUNDUP((AJ$1)/10,0)*10,[1]Hugst!$R$4:$W$4,0))))</f>
        <v>0</v>
      </c>
    </row>
    <row r="282" spans="1:36" x14ac:dyDescent="0.25">
      <c r="A282" t="s">
        <v>180</v>
      </c>
      <c r="B282" t="s">
        <v>24</v>
      </c>
      <c r="C282">
        <v>2021</v>
      </c>
      <c r="D282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0</v>
      </c>
      <c r="E282">
        <f t="shared" ref="E282:E310" ca="1" si="7">IF(C282=2020,SUM(G282:AJ282),SUM(F281:AJ281)-SUM(G282:AJ282))</f>
        <v>0</v>
      </c>
      <c r="F282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>
        <f ca="1">IF($C282-G$1&lt;År1,0,F281*(1-VLOOKUP($A282,[1]Hugst!$R$5:$W$9,MATCH(ROUNDUP((G$1)/10,0)*10,[1]Hugst!$R$4:$W$4,0))))</f>
        <v>0</v>
      </c>
      <c r="H282">
        <f>IF($C282-H$1&lt;År1,0,G281*(1-VLOOKUP($A282,[1]Hugst!$R$5:$W$9,MATCH(ROUNDUP((H$1)/10,0)*10,[1]Hugst!$R$4:$W$4,0))))</f>
        <v>0</v>
      </c>
      <c r="I282">
        <f>IF($C282-I$1&lt;År1,0,H281*(1-VLOOKUP($A282,[1]Hugst!$R$5:$W$9,MATCH(ROUNDUP((I$1)/10,0)*10,[1]Hugst!$R$4:$W$4,0))))</f>
        <v>0</v>
      </c>
      <c r="J282">
        <f>IF($C282-J$1&lt;År1,0,I281*(1-VLOOKUP($A282,[1]Hugst!$R$5:$W$9,MATCH(ROUNDUP((J$1)/10,0)*10,[1]Hugst!$R$4:$W$4,0))))</f>
        <v>0</v>
      </c>
      <c r="K282">
        <f>IF($C282-K$1&lt;År1,0,J281*(1-VLOOKUP($A282,[1]Hugst!$R$5:$W$9,MATCH(ROUNDUP((K$1)/10,0)*10,[1]Hugst!$R$4:$W$4,0))))</f>
        <v>0</v>
      </c>
      <c r="L282">
        <f>IF($C282-L$1&lt;År1,0,K281*(1-VLOOKUP($A282,[1]Hugst!$R$5:$W$9,MATCH(ROUNDUP((L$1)/10,0)*10,[1]Hugst!$R$4:$W$4,0))))</f>
        <v>0</v>
      </c>
      <c r="M282">
        <f>IF($C282-M$1&lt;År1,0,L281*(1-VLOOKUP($A282,[1]Hugst!$R$5:$W$9,MATCH(ROUNDUP((M$1)/10,0)*10,[1]Hugst!$R$4:$W$4,0))))</f>
        <v>0</v>
      </c>
      <c r="N282">
        <f>IF($C282-N$1&lt;År1,0,M281*(1-VLOOKUP($A282,[1]Hugst!$R$5:$W$9,MATCH(ROUNDUP((N$1)/10,0)*10,[1]Hugst!$R$4:$W$4,0))))</f>
        <v>0</v>
      </c>
      <c r="O282">
        <f>IF($C282-O$1&lt;År1,0,N281*(1-VLOOKUP($A282,[1]Hugst!$R$5:$W$9,MATCH(ROUNDUP((O$1)/10,0)*10,[1]Hugst!$R$4:$W$4,0))))</f>
        <v>0</v>
      </c>
      <c r="P282">
        <f>IF($C282-P$1&lt;År1,0,O281*(1-VLOOKUP($A282,[1]Hugst!$R$5:$W$9,MATCH(ROUNDUP((P$1)/10,0)*10,[1]Hugst!$R$4:$W$4,0))))</f>
        <v>0</v>
      </c>
      <c r="Q282">
        <f>IF($C282-Q$1&lt;År1,0,P281*(1-VLOOKUP($A282,[1]Hugst!$R$5:$W$9,MATCH(ROUNDUP((Q$1)/10,0)*10,[1]Hugst!$R$4:$W$4,0))))</f>
        <v>0</v>
      </c>
      <c r="R282">
        <f>IF($C282-R$1&lt;År1,0,Q281*(1-VLOOKUP($A282,[1]Hugst!$R$5:$W$9,MATCH(ROUNDUP((R$1)/10,0)*10,[1]Hugst!$R$4:$W$4,0))))</f>
        <v>0</v>
      </c>
      <c r="S282">
        <f>IF($C282-S$1&lt;År1,0,R281*(1-VLOOKUP($A282,[1]Hugst!$R$5:$W$9,MATCH(ROUNDUP((S$1)/10,0)*10,[1]Hugst!$R$4:$W$4,0))))</f>
        <v>0</v>
      </c>
      <c r="T282">
        <f>IF($C282-T$1&lt;År1,0,S281*(1-VLOOKUP($A282,[1]Hugst!$R$5:$W$9,MATCH(ROUNDUP((T$1)/10,0)*10,[1]Hugst!$R$4:$W$4,0))))</f>
        <v>0</v>
      </c>
      <c r="U282">
        <f>IF($C282-U$1&lt;År1,0,T281*(1-VLOOKUP($A282,[1]Hugst!$R$5:$W$9,MATCH(ROUNDUP((U$1)/10,0)*10,[1]Hugst!$R$4:$W$4,0))))</f>
        <v>0</v>
      </c>
      <c r="V282">
        <f>IF($C282-V$1&lt;År1,0,U281*(1-VLOOKUP($A282,[1]Hugst!$R$5:$W$9,MATCH(ROUNDUP((V$1)/10,0)*10,[1]Hugst!$R$4:$W$4,0))))</f>
        <v>0</v>
      </c>
      <c r="W282">
        <f>IF($C282-W$1&lt;År1,0,V281*(1-VLOOKUP($A282,[1]Hugst!$R$5:$W$9,MATCH(ROUNDUP((W$1)/10,0)*10,[1]Hugst!$R$4:$W$4,0))))</f>
        <v>0</v>
      </c>
      <c r="X282">
        <f>IF($C282-X$1&lt;År1,0,W281*(1-VLOOKUP($A282,[1]Hugst!$R$5:$W$9,MATCH(ROUNDUP((X$1)/10,0)*10,[1]Hugst!$R$4:$W$4,0))))</f>
        <v>0</v>
      </c>
      <c r="Y282">
        <f>IF($C282-Y$1&lt;År1,0,X281*(1-VLOOKUP($A282,[1]Hugst!$R$5:$W$9,MATCH(ROUNDUP((Y$1)/10,0)*10,[1]Hugst!$R$4:$W$4,0))))</f>
        <v>0</v>
      </c>
      <c r="Z282">
        <f>IF($C282-Z$1&lt;År1,0,Y281*(1-VLOOKUP($A282,[1]Hugst!$R$5:$W$9,MATCH(ROUNDUP((Z$1)/10,0)*10,[1]Hugst!$R$4:$W$4,0))))</f>
        <v>0</v>
      </c>
      <c r="AA282">
        <f>IF($C282-AA$1&lt;År1,0,Z281*(1-VLOOKUP($A282,[1]Hugst!$R$5:$W$9,MATCH(ROUNDUP((AA$1)/10,0)*10,[1]Hugst!$R$4:$W$4,0))))</f>
        <v>0</v>
      </c>
      <c r="AB282">
        <f>IF($C282-AB$1&lt;År1,0,AA281*(1-VLOOKUP($A282,[1]Hugst!$R$5:$W$9,MATCH(ROUNDUP((AB$1)/10,0)*10,[1]Hugst!$R$4:$W$4,0))))</f>
        <v>0</v>
      </c>
      <c r="AC282">
        <f>IF($C282-AC$1&lt;År1,0,AB281*(1-VLOOKUP($A282,[1]Hugst!$R$5:$W$9,MATCH(ROUNDUP((AC$1)/10,0)*10,[1]Hugst!$R$4:$W$4,0))))</f>
        <v>0</v>
      </c>
      <c r="AD282">
        <f>IF($C282-AD$1&lt;År1,0,AC281*(1-VLOOKUP($A282,[1]Hugst!$R$5:$W$9,MATCH(ROUNDUP((AD$1)/10,0)*10,[1]Hugst!$R$4:$W$4,0))))</f>
        <v>0</v>
      </c>
      <c r="AE282">
        <f>IF($C282-AE$1&lt;År1,0,AD281*(1-VLOOKUP($A282,[1]Hugst!$R$5:$W$9,MATCH(ROUNDUP((AE$1)/10,0)*10,[1]Hugst!$R$4:$W$4,0))))</f>
        <v>0</v>
      </c>
      <c r="AF282">
        <f>IF($C282-AF$1&lt;År1,0,AE281*(1-VLOOKUP($A282,[1]Hugst!$R$5:$W$9,MATCH(ROUNDUP((AF$1)/10,0)*10,[1]Hugst!$R$4:$W$4,0))))</f>
        <v>0</v>
      </c>
      <c r="AG282">
        <f>IF($C282-AG$1&lt;År1,0,AF281*(1-VLOOKUP($A282,[1]Hugst!$R$5:$W$9,MATCH(ROUNDUP((AG$1)/10,0)*10,[1]Hugst!$R$4:$W$4,0))))</f>
        <v>0</v>
      </c>
      <c r="AH282">
        <f>IF($C282-AH$1&lt;År1,0,AG281*(1-VLOOKUP($A282,[1]Hugst!$R$5:$W$9,MATCH(ROUNDUP((AH$1)/10,0)*10,[1]Hugst!$R$4:$W$4,0))))</f>
        <v>0</v>
      </c>
      <c r="AI282">
        <f>IF($C282-AI$1&lt;År1,0,AH281*(1-VLOOKUP($A282,[1]Hugst!$R$5:$W$9,MATCH(ROUNDUP((AI$1)/10,0)*10,[1]Hugst!$R$4:$W$4,0))))</f>
        <v>0</v>
      </c>
      <c r="AJ282">
        <f>IF($C282-AJ$1&lt;År1,0,AI281*(1-VLOOKUP($A282,[1]Hugst!$R$5:$W$9,MATCH(ROUNDUP((AJ$1)/10,0)*10,[1]Hugst!$R$4:$W$4,0))))</f>
        <v>0</v>
      </c>
    </row>
    <row r="283" spans="1:36" x14ac:dyDescent="0.25">
      <c r="A283" t="s">
        <v>180</v>
      </c>
      <c r="B283" t="s">
        <v>24</v>
      </c>
      <c r="C283">
        <v>2022</v>
      </c>
      <c r="D283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0</v>
      </c>
      <c r="E283">
        <f t="shared" ca="1" si="7"/>
        <v>0</v>
      </c>
      <c r="F283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>
        <f ca="1">IF($C283-G$1&lt;År1,0,F282*(1-VLOOKUP($A283,[1]Hugst!$R$5:$W$9,MATCH(ROUNDUP((G$1)/10,0)*10,[1]Hugst!$R$4:$W$4,0))))</f>
        <v>0</v>
      </c>
      <c r="H283">
        <f ca="1">IF($C283-H$1&lt;År1,0,G282*(1-VLOOKUP($A283,[1]Hugst!$R$5:$W$9,MATCH(ROUNDUP((H$1)/10,0)*10,[1]Hugst!$R$4:$W$4,0))))</f>
        <v>0</v>
      </c>
      <c r="I283">
        <f>IF($C283-I$1&lt;År1,0,H282*(1-VLOOKUP($A283,[1]Hugst!$R$5:$W$9,MATCH(ROUNDUP((I$1)/10,0)*10,[1]Hugst!$R$4:$W$4,0))))</f>
        <v>0</v>
      </c>
      <c r="J283">
        <f>IF($C283-J$1&lt;År1,0,I282*(1-VLOOKUP($A283,[1]Hugst!$R$5:$W$9,MATCH(ROUNDUP((J$1)/10,0)*10,[1]Hugst!$R$4:$W$4,0))))</f>
        <v>0</v>
      </c>
      <c r="K283">
        <f>IF($C283-K$1&lt;År1,0,J282*(1-VLOOKUP($A283,[1]Hugst!$R$5:$W$9,MATCH(ROUNDUP((K$1)/10,0)*10,[1]Hugst!$R$4:$W$4,0))))</f>
        <v>0</v>
      </c>
      <c r="L283">
        <f>IF($C283-L$1&lt;År1,0,K282*(1-VLOOKUP($A283,[1]Hugst!$R$5:$W$9,MATCH(ROUNDUP((L$1)/10,0)*10,[1]Hugst!$R$4:$W$4,0))))</f>
        <v>0</v>
      </c>
      <c r="M283">
        <f>IF($C283-M$1&lt;År1,0,L282*(1-VLOOKUP($A283,[1]Hugst!$R$5:$W$9,MATCH(ROUNDUP((M$1)/10,0)*10,[1]Hugst!$R$4:$W$4,0))))</f>
        <v>0</v>
      </c>
      <c r="N283">
        <f>IF($C283-N$1&lt;År1,0,M282*(1-VLOOKUP($A283,[1]Hugst!$R$5:$W$9,MATCH(ROUNDUP((N$1)/10,0)*10,[1]Hugst!$R$4:$W$4,0))))</f>
        <v>0</v>
      </c>
      <c r="O283">
        <f>IF($C283-O$1&lt;År1,0,N282*(1-VLOOKUP($A283,[1]Hugst!$R$5:$W$9,MATCH(ROUNDUP((O$1)/10,0)*10,[1]Hugst!$R$4:$W$4,0))))</f>
        <v>0</v>
      </c>
      <c r="P283">
        <f>IF($C283-P$1&lt;År1,0,O282*(1-VLOOKUP($A283,[1]Hugst!$R$5:$W$9,MATCH(ROUNDUP((P$1)/10,0)*10,[1]Hugst!$R$4:$W$4,0))))</f>
        <v>0</v>
      </c>
      <c r="Q283">
        <f>IF($C283-Q$1&lt;År1,0,P282*(1-VLOOKUP($A283,[1]Hugst!$R$5:$W$9,MATCH(ROUNDUP((Q$1)/10,0)*10,[1]Hugst!$R$4:$W$4,0))))</f>
        <v>0</v>
      </c>
      <c r="R283">
        <f>IF($C283-R$1&lt;År1,0,Q282*(1-VLOOKUP($A283,[1]Hugst!$R$5:$W$9,MATCH(ROUNDUP((R$1)/10,0)*10,[1]Hugst!$R$4:$W$4,0))))</f>
        <v>0</v>
      </c>
      <c r="S283">
        <f>IF($C283-S$1&lt;År1,0,R282*(1-VLOOKUP($A283,[1]Hugst!$R$5:$W$9,MATCH(ROUNDUP((S$1)/10,0)*10,[1]Hugst!$R$4:$W$4,0))))</f>
        <v>0</v>
      </c>
      <c r="T283">
        <f>IF($C283-T$1&lt;År1,0,S282*(1-VLOOKUP($A283,[1]Hugst!$R$5:$W$9,MATCH(ROUNDUP((T$1)/10,0)*10,[1]Hugst!$R$4:$W$4,0))))</f>
        <v>0</v>
      </c>
      <c r="U283">
        <f>IF($C283-U$1&lt;År1,0,T282*(1-VLOOKUP($A283,[1]Hugst!$R$5:$W$9,MATCH(ROUNDUP((U$1)/10,0)*10,[1]Hugst!$R$4:$W$4,0))))</f>
        <v>0</v>
      </c>
      <c r="V283">
        <f>IF($C283-V$1&lt;År1,0,U282*(1-VLOOKUP($A283,[1]Hugst!$R$5:$W$9,MATCH(ROUNDUP((V$1)/10,0)*10,[1]Hugst!$R$4:$W$4,0))))</f>
        <v>0</v>
      </c>
      <c r="W283">
        <f>IF($C283-W$1&lt;År1,0,V282*(1-VLOOKUP($A283,[1]Hugst!$R$5:$W$9,MATCH(ROUNDUP((W$1)/10,0)*10,[1]Hugst!$R$4:$W$4,0))))</f>
        <v>0</v>
      </c>
      <c r="X283">
        <f>IF($C283-X$1&lt;År1,0,W282*(1-VLOOKUP($A283,[1]Hugst!$R$5:$W$9,MATCH(ROUNDUP((X$1)/10,0)*10,[1]Hugst!$R$4:$W$4,0))))</f>
        <v>0</v>
      </c>
      <c r="Y283">
        <f>IF($C283-Y$1&lt;År1,0,X282*(1-VLOOKUP($A283,[1]Hugst!$R$5:$W$9,MATCH(ROUNDUP((Y$1)/10,0)*10,[1]Hugst!$R$4:$W$4,0))))</f>
        <v>0</v>
      </c>
      <c r="Z283">
        <f>IF($C283-Z$1&lt;År1,0,Y282*(1-VLOOKUP($A283,[1]Hugst!$R$5:$W$9,MATCH(ROUNDUP((Z$1)/10,0)*10,[1]Hugst!$R$4:$W$4,0))))</f>
        <v>0</v>
      </c>
      <c r="AA283">
        <f>IF($C283-AA$1&lt;År1,0,Z282*(1-VLOOKUP($A283,[1]Hugst!$R$5:$W$9,MATCH(ROUNDUP((AA$1)/10,0)*10,[1]Hugst!$R$4:$W$4,0))))</f>
        <v>0</v>
      </c>
      <c r="AB283">
        <f>IF($C283-AB$1&lt;År1,0,AA282*(1-VLOOKUP($A283,[1]Hugst!$R$5:$W$9,MATCH(ROUNDUP((AB$1)/10,0)*10,[1]Hugst!$R$4:$W$4,0))))</f>
        <v>0</v>
      </c>
      <c r="AC283">
        <f>IF($C283-AC$1&lt;År1,0,AB282*(1-VLOOKUP($A283,[1]Hugst!$R$5:$W$9,MATCH(ROUNDUP((AC$1)/10,0)*10,[1]Hugst!$R$4:$W$4,0))))</f>
        <v>0</v>
      </c>
      <c r="AD283">
        <f>IF($C283-AD$1&lt;År1,0,AC282*(1-VLOOKUP($A283,[1]Hugst!$R$5:$W$9,MATCH(ROUNDUP((AD$1)/10,0)*10,[1]Hugst!$R$4:$W$4,0))))</f>
        <v>0</v>
      </c>
      <c r="AE283">
        <f>IF($C283-AE$1&lt;År1,0,AD282*(1-VLOOKUP($A283,[1]Hugst!$R$5:$W$9,MATCH(ROUNDUP((AE$1)/10,0)*10,[1]Hugst!$R$4:$W$4,0))))</f>
        <v>0</v>
      </c>
      <c r="AF283">
        <f>IF($C283-AF$1&lt;År1,0,AE282*(1-VLOOKUP($A283,[1]Hugst!$R$5:$W$9,MATCH(ROUNDUP((AF$1)/10,0)*10,[1]Hugst!$R$4:$W$4,0))))</f>
        <v>0</v>
      </c>
      <c r="AG283">
        <f>IF($C283-AG$1&lt;År1,0,AF282*(1-VLOOKUP($A283,[1]Hugst!$R$5:$W$9,MATCH(ROUNDUP((AG$1)/10,0)*10,[1]Hugst!$R$4:$W$4,0))))</f>
        <v>0</v>
      </c>
      <c r="AH283">
        <f>IF($C283-AH$1&lt;År1,0,AG282*(1-VLOOKUP($A283,[1]Hugst!$R$5:$W$9,MATCH(ROUNDUP((AH$1)/10,0)*10,[1]Hugst!$R$4:$W$4,0))))</f>
        <v>0</v>
      </c>
      <c r="AI283">
        <f>IF($C283-AI$1&lt;År1,0,AH282*(1-VLOOKUP($A283,[1]Hugst!$R$5:$W$9,MATCH(ROUNDUP((AI$1)/10,0)*10,[1]Hugst!$R$4:$W$4,0))))</f>
        <v>0</v>
      </c>
      <c r="AJ283">
        <f>IF($C283-AJ$1&lt;År1,0,AI282*(1-VLOOKUP($A283,[1]Hugst!$R$5:$W$9,MATCH(ROUNDUP((AJ$1)/10,0)*10,[1]Hugst!$R$4:$W$4,0))))</f>
        <v>0</v>
      </c>
    </row>
    <row r="284" spans="1:36" x14ac:dyDescent="0.25">
      <c r="A284" t="s">
        <v>180</v>
      </c>
      <c r="B284" t="s">
        <v>24</v>
      </c>
      <c r="C284">
        <v>2023</v>
      </c>
      <c r="D284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0</v>
      </c>
      <c r="E284">
        <f t="shared" ca="1" si="7"/>
        <v>0</v>
      </c>
      <c r="F284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>
        <f ca="1">IF($C284-G$1&lt;År1,0,F283*(1-VLOOKUP($A284,[1]Hugst!$R$5:$W$9,MATCH(ROUNDUP((G$1)/10,0)*10,[1]Hugst!$R$4:$W$4,0))))</f>
        <v>0</v>
      </c>
      <c r="H284">
        <f ca="1">IF($C284-H$1&lt;År1,0,G283*(1-VLOOKUP($A284,[1]Hugst!$R$5:$W$9,MATCH(ROUNDUP((H$1)/10,0)*10,[1]Hugst!$R$4:$W$4,0))))</f>
        <v>0</v>
      </c>
      <c r="I284">
        <f ca="1">IF($C284-I$1&lt;År1,0,H283*(1-VLOOKUP($A284,[1]Hugst!$R$5:$W$9,MATCH(ROUNDUP((I$1)/10,0)*10,[1]Hugst!$R$4:$W$4,0))))</f>
        <v>0</v>
      </c>
      <c r="J284">
        <f>IF($C284-J$1&lt;År1,0,I283*(1-VLOOKUP($A284,[1]Hugst!$R$5:$W$9,MATCH(ROUNDUP((J$1)/10,0)*10,[1]Hugst!$R$4:$W$4,0))))</f>
        <v>0</v>
      </c>
      <c r="K284">
        <f>IF($C284-K$1&lt;År1,0,J283*(1-VLOOKUP($A284,[1]Hugst!$R$5:$W$9,MATCH(ROUNDUP((K$1)/10,0)*10,[1]Hugst!$R$4:$W$4,0))))</f>
        <v>0</v>
      </c>
      <c r="L284">
        <f>IF($C284-L$1&lt;År1,0,K283*(1-VLOOKUP($A284,[1]Hugst!$R$5:$W$9,MATCH(ROUNDUP((L$1)/10,0)*10,[1]Hugst!$R$4:$W$4,0))))</f>
        <v>0</v>
      </c>
      <c r="M284">
        <f>IF($C284-M$1&lt;År1,0,L283*(1-VLOOKUP($A284,[1]Hugst!$R$5:$W$9,MATCH(ROUNDUP((M$1)/10,0)*10,[1]Hugst!$R$4:$W$4,0))))</f>
        <v>0</v>
      </c>
      <c r="N284">
        <f>IF($C284-N$1&lt;År1,0,M283*(1-VLOOKUP($A284,[1]Hugst!$R$5:$W$9,MATCH(ROUNDUP((N$1)/10,0)*10,[1]Hugst!$R$4:$W$4,0))))</f>
        <v>0</v>
      </c>
      <c r="O284">
        <f>IF($C284-O$1&lt;År1,0,N283*(1-VLOOKUP($A284,[1]Hugst!$R$5:$W$9,MATCH(ROUNDUP((O$1)/10,0)*10,[1]Hugst!$R$4:$W$4,0))))</f>
        <v>0</v>
      </c>
      <c r="P284">
        <f>IF($C284-P$1&lt;År1,0,O283*(1-VLOOKUP($A284,[1]Hugst!$R$5:$W$9,MATCH(ROUNDUP((P$1)/10,0)*10,[1]Hugst!$R$4:$W$4,0))))</f>
        <v>0</v>
      </c>
      <c r="Q284">
        <f>IF($C284-Q$1&lt;År1,0,P283*(1-VLOOKUP($A284,[1]Hugst!$R$5:$W$9,MATCH(ROUNDUP((Q$1)/10,0)*10,[1]Hugst!$R$4:$W$4,0))))</f>
        <v>0</v>
      </c>
      <c r="R284">
        <f>IF($C284-R$1&lt;År1,0,Q283*(1-VLOOKUP($A284,[1]Hugst!$R$5:$W$9,MATCH(ROUNDUP((R$1)/10,0)*10,[1]Hugst!$R$4:$W$4,0))))</f>
        <v>0</v>
      </c>
      <c r="S284">
        <f>IF($C284-S$1&lt;År1,0,R283*(1-VLOOKUP($A284,[1]Hugst!$R$5:$W$9,MATCH(ROUNDUP((S$1)/10,0)*10,[1]Hugst!$R$4:$W$4,0))))</f>
        <v>0</v>
      </c>
      <c r="T284">
        <f>IF($C284-T$1&lt;År1,0,S283*(1-VLOOKUP($A284,[1]Hugst!$R$5:$W$9,MATCH(ROUNDUP((T$1)/10,0)*10,[1]Hugst!$R$4:$W$4,0))))</f>
        <v>0</v>
      </c>
      <c r="U284">
        <f>IF($C284-U$1&lt;År1,0,T283*(1-VLOOKUP($A284,[1]Hugst!$R$5:$W$9,MATCH(ROUNDUP((U$1)/10,0)*10,[1]Hugst!$R$4:$W$4,0))))</f>
        <v>0</v>
      </c>
      <c r="V284">
        <f>IF($C284-V$1&lt;År1,0,U283*(1-VLOOKUP($A284,[1]Hugst!$R$5:$W$9,MATCH(ROUNDUP((V$1)/10,0)*10,[1]Hugst!$R$4:$W$4,0))))</f>
        <v>0</v>
      </c>
      <c r="W284">
        <f>IF($C284-W$1&lt;År1,0,V283*(1-VLOOKUP($A284,[1]Hugst!$R$5:$W$9,MATCH(ROUNDUP((W$1)/10,0)*10,[1]Hugst!$R$4:$W$4,0))))</f>
        <v>0</v>
      </c>
      <c r="X284">
        <f>IF($C284-X$1&lt;År1,0,W283*(1-VLOOKUP($A284,[1]Hugst!$R$5:$W$9,MATCH(ROUNDUP((X$1)/10,0)*10,[1]Hugst!$R$4:$W$4,0))))</f>
        <v>0</v>
      </c>
      <c r="Y284">
        <f>IF($C284-Y$1&lt;År1,0,X283*(1-VLOOKUP($A284,[1]Hugst!$R$5:$W$9,MATCH(ROUNDUP((Y$1)/10,0)*10,[1]Hugst!$R$4:$W$4,0))))</f>
        <v>0</v>
      </c>
      <c r="Z284">
        <f>IF($C284-Z$1&lt;År1,0,Y283*(1-VLOOKUP($A284,[1]Hugst!$R$5:$W$9,MATCH(ROUNDUP((Z$1)/10,0)*10,[1]Hugst!$R$4:$W$4,0))))</f>
        <v>0</v>
      </c>
      <c r="AA284">
        <f>IF($C284-AA$1&lt;År1,0,Z283*(1-VLOOKUP($A284,[1]Hugst!$R$5:$W$9,MATCH(ROUNDUP((AA$1)/10,0)*10,[1]Hugst!$R$4:$W$4,0))))</f>
        <v>0</v>
      </c>
      <c r="AB284">
        <f>IF($C284-AB$1&lt;År1,0,AA283*(1-VLOOKUP($A284,[1]Hugst!$R$5:$W$9,MATCH(ROUNDUP((AB$1)/10,0)*10,[1]Hugst!$R$4:$W$4,0))))</f>
        <v>0</v>
      </c>
      <c r="AC284">
        <f>IF($C284-AC$1&lt;År1,0,AB283*(1-VLOOKUP($A284,[1]Hugst!$R$5:$W$9,MATCH(ROUNDUP((AC$1)/10,0)*10,[1]Hugst!$R$4:$W$4,0))))</f>
        <v>0</v>
      </c>
      <c r="AD284">
        <f>IF($C284-AD$1&lt;År1,0,AC283*(1-VLOOKUP($A284,[1]Hugst!$R$5:$W$9,MATCH(ROUNDUP((AD$1)/10,0)*10,[1]Hugst!$R$4:$W$4,0))))</f>
        <v>0</v>
      </c>
      <c r="AE284">
        <f>IF($C284-AE$1&lt;År1,0,AD283*(1-VLOOKUP($A284,[1]Hugst!$R$5:$W$9,MATCH(ROUNDUP((AE$1)/10,0)*10,[1]Hugst!$R$4:$W$4,0))))</f>
        <v>0</v>
      </c>
      <c r="AF284">
        <f>IF($C284-AF$1&lt;År1,0,AE283*(1-VLOOKUP($A284,[1]Hugst!$R$5:$W$9,MATCH(ROUNDUP((AF$1)/10,0)*10,[1]Hugst!$R$4:$W$4,0))))</f>
        <v>0</v>
      </c>
      <c r="AG284">
        <f>IF($C284-AG$1&lt;År1,0,AF283*(1-VLOOKUP($A284,[1]Hugst!$R$5:$W$9,MATCH(ROUNDUP((AG$1)/10,0)*10,[1]Hugst!$R$4:$W$4,0))))</f>
        <v>0</v>
      </c>
      <c r="AH284">
        <f>IF($C284-AH$1&lt;År1,0,AG283*(1-VLOOKUP($A284,[1]Hugst!$R$5:$W$9,MATCH(ROUNDUP((AH$1)/10,0)*10,[1]Hugst!$R$4:$W$4,0))))</f>
        <v>0</v>
      </c>
      <c r="AI284">
        <f>IF($C284-AI$1&lt;År1,0,AH283*(1-VLOOKUP($A284,[1]Hugst!$R$5:$W$9,MATCH(ROUNDUP((AI$1)/10,0)*10,[1]Hugst!$R$4:$W$4,0))))</f>
        <v>0</v>
      </c>
      <c r="AJ284">
        <f>IF($C284-AJ$1&lt;År1,0,AI283*(1-VLOOKUP($A284,[1]Hugst!$R$5:$W$9,MATCH(ROUNDUP((AJ$1)/10,0)*10,[1]Hugst!$R$4:$W$4,0))))</f>
        <v>0</v>
      </c>
    </row>
    <row r="285" spans="1:36" x14ac:dyDescent="0.25">
      <c r="A285" t="s">
        <v>180</v>
      </c>
      <c r="B285" t="s">
        <v>24</v>
      </c>
      <c r="C285">
        <v>2024</v>
      </c>
      <c r="D285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0</v>
      </c>
      <c r="E285">
        <f t="shared" ca="1" si="7"/>
        <v>0</v>
      </c>
      <c r="F285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>
        <f ca="1">IF($C285-G$1&lt;År1,0,F284*(1-VLOOKUP($A285,[1]Hugst!$R$5:$W$9,MATCH(ROUNDUP((G$1)/10,0)*10,[1]Hugst!$R$4:$W$4,0))))</f>
        <v>0</v>
      </c>
      <c r="H285">
        <f ca="1">IF($C285-H$1&lt;År1,0,G284*(1-VLOOKUP($A285,[1]Hugst!$R$5:$W$9,MATCH(ROUNDUP((H$1)/10,0)*10,[1]Hugst!$R$4:$W$4,0))))</f>
        <v>0</v>
      </c>
      <c r="I285">
        <f ca="1">IF($C285-I$1&lt;År1,0,H284*(1-VLOOKUP($A285,[1]Hugst!$R$5:$W$9,MATCH(ROUNDUP((I$1)/10,0)*10,[1]Hugst!$R$4:$W$4,0))))</f>
        <v>0</v>
      </c>
      <c r="J285">
        <f ca="1">IF($C285-J$1&lt;År1,0,I284*(1-VLOOKUP($A285,[1]Hugst!$R$5:$W$9,MATCH(ROUNDUP((J$1)/10,0)*10,[1]Hugst!$R$4:$W$4,0))))</f>
        <v>0</v>
      </c>
      <c r="K285">
        <f>IF($C285-K$1&lt;År1,0,J284*(1-VLOOKUP($A285,[1]Hugst!$R$5:$W$9,MATCH(ROUNDUP((K$1)/10,0)*10,[1]Hugst!$R$4:$W$4,0))))</f>
        <v>0</v>
      </c>
      <c r="L285">
        <f>IF($C285-L$1&lt;År1,0,K284*(1-VLOOKUP($A285,[1]Hugst!$R$5:$W$9,MATCH(ROUNDUP((L$1)/10,0)*10,[1]Hugst!$R$4:$W$4,0))))</f>
        <v>0</v>
      </c>
      <c r="M285">
        <f>IF($C285-M$1&lt;År1,0,L284*(1-VLOOKUP($A285,[1]Hugst!$R$5:$W$9,MATCH(ROUNDUP((M$1)/10,0)*10,[1]Hugst!$R$4:$W$4,0))))</f>
        <v>0</v>
      </c>
      <c r="N285">
        <f>IF($C285-N$1&lt;År1,0,M284*(1-VLOOKUP($A285,[1]Hugst!$R$5:$W$9,MATCH(ROUNDUP((N$1)/10,0)*10,[1]Hugst!$R$4:$W$4,0))))</f>
        <v>0</v>
      </c>
      <c r="O285">
        <f>IF($C285-O$1&lt;År1,0,N284*(1-VLOOKUP($A285,[1]Hugst!$R$5:$W$9,MATCH(ROUNDUP((O$1)/10,0)*10,[1]Hugst!$R$4:$W$4,0))))</f>
        <v>0</v>
      </c>
      <c r="P285">
        <f>IF($C285-P$1&lt;År1,0,O284*(1-VLOOKUP($A285,[1]Hugst!$R$5:$W$9,MATCH(ROUNDUP((P$1)/10,0)*10,[1]Hugst!$R$4:$W$4,0))))</f>
        <v>0</v>
      </c>
      <c r="Q285">
        <f>IF($C285-Q$1&lt;År1,0,P284*(1-VLOOKUP($A285,[1]Hugst!$R$5:$W$9,MATCH(ROUNDUP((Q$1)/10,0)*10,[1]Hugst!$R$4:$W$4,0))))</f>
        <v>0</v>
      </c>
      <c r="R285">
        <f>IF($C285-R$1&lt;År1,0,Q284*(1-VLOOKUP($A285,[1]Hugst!$R$5:$W$9,MATCH(ROUNDUP((R$1)/10,0)*10,[1]Hugst!$R$4:$W$4,0))))</f>
        <v>0</v>
      </c>
      <c r="S285">
        <f>IF($C285-S$1&lt;År1,0,R284*(1-VLOOKUP($A285,[1]Hugst!$R$5:$W$9,MATCH(ROUNDUP((S$1)/10,0)*10,[1]Hugst!$R$4:$W$4,0))))</f>
        <v>0</v>
      </c>
      <c r="T285">
        <f>IF($C285-T$1&lt;År1,0,S284*(1-VLOOKUP($A285,[1]Hugst!$R$5:$W$9,MATCH(ROUNDUP((T$1)/10,0)*10,[1]Hugst!$R$4:$W$4,0))))</f>
        <v>0</v>
      </c>
      <c r="U285">
        <f>IF($C285-U$1&lt;År1,0,T284*(1-VLOOKUP($A285,[1]Hugst!$R$5:$W$9,MATCH(ROUNDUP((U$1)/10,0)*10,[1]Hugst!$R$4:$W$4,0))))</f>
        <v>0</v>
      </c>
      <c r="V285">
        <f>IF($C285-V$1&lt;År1,0,U284*(1-VLOOKUP($A285,[1]Hugst!$R$5:$W$9,MATCH(ROUNDUP((V$1)/10,0)*10,[1]Hugst!$R$4:$W$4,0))))</f>
        <v>0</v>
      </c>
      <c r="W285">
        <f>IF($C285-W$1&lt;År1,0,V284*(1-VLOOKUP($A285,[1]Hugst!$R$5:$W$9,MATCH(ROUNDUP((W$1)/10,0)*10,[1]Hugst!$R$4:$W$4,0))))</f>
        <v>0</v>
      </c>
      <c r="X285">
        <f>IF($C285-X$1&lt;År1,0,W284*(1-VLOOKUP($A285,[1]Hugst!$R$5:$W$9,MATCH(ROUNDUP((X$1)/10,0)*10,[1]Hugst!$R$4:$W$4,0))))</f>
        <v>0</v>
      </c>
      <c r="Y285">
        <f>IF($C285-Y$1&lt;År1,0,X284*(1-VLOOKUP($A285,[1]Hugst!$R$5:$W$9,MATCH(ROUNDUP((Y$1)/10,0)*10,[1]Hugst!$R$4:$W$4,0))))</f>
        <v>0</v>
      </c>
      <c r="Z285">
        <f>IF($C285-Z$1&lt;År1,0,Y284*(1-VLOOKUP($A285,[1]Hugst!$R$5:$W$9,MATCH(ROUNDUP((Z$1)/10,0)*10,[1]Hugst!$R$4:$W$4,0))))</f>
        <v>0</v>
      </c>
      <c r="AA285">
        <f>IF($C285-AA$1&lt;År1,0,Z284*(1-VLOOKUP($A285,[1]Hugst!$R$5:$W$9,MATCH(ROUNDUP((AA$1)/10,0)*10,[1]Hugst!$R$4:$W$4,0))))</f>
        <v>0</v>
      </c>
      <c r="AB285">
        <f>IF($C285-AB$1&lt;År1,0,AA284*(1-VLOOKUP($A285,[1]Hugst!$R$5:$W$9,MATCH(ROUNDUP((AB$1)/10,0)*10,[1]Hugst!$R$4:$W$4,0))))</f>
        <v>0</v>
      </c>
      <c r="AC285">
        <f>IF($C285-AC$1&lt;År1,0,AB284*(1-VLOOKUP($A285,[1]Hugst!$R$5:$W$9,MATCH(ROUNDUP((AC$1)/10,0)*10,[1]Hugst!$R$4:$W$4,0))))</f>
        <v>0</v>
      </c>
      <c r="AD285">
        <f>IF($C285-AD$1&lt;År1,0,AC284*(1-VLOOKUP($A285,[1]Hugst!$R$5:$W$9,MATCH(ROUNDUP((AD$1)/10,0)*10,[1]Hugst!$R$4:$W$4,0))))</f>
        <v>0</v>
      </c>
      <c r="AE285">
        <f>IF($C285-AE$1&lt;År1,0,AD284*(1-VLOOKUP($A285,[1]Hugst!$R$5:$W$9,MATCH(ROUNDUP((AE$1)/10,0)*10,[1]Hugst!$R$4:$W$4,0))))</f>
        <v>0</v>
      </c>
      <c r="AF285">
        <f>IF($C285-AF$1&lt;År1,0,AE284*(1-VLOOKUP($A285,[1]Hugst!$R$5:$W$9,MATCH(ROUNDUP((AF$1)/10,0)*10,[1]Hugst!$R$4:$W$4,0))))</f>
        <v>0</v>
      </c>
      <c r="AG285">
        <f>IF($C285-AG$1&lt;År1,0,AF284*(1-VLOOKUP($A285,[1]Hugst!$R$5:$W$9,MATCH(ROUNDUP((AG$1)/10,0)*10,[1]Hugst!$R$4:$W$4,0))))</f>
        <v>0</v>
      </c>
      <c r="AH285">
        <f>IF($C285-AH$1&lt;År1,0,AG284*(1-VLOOKUP($A285,[1]Hugst!$R$5:$W$9,MATCH(ROUNDUP((AH$1)/10,0)*10,[1]Hugst!$R$4:$W$4,0))))</f>
        <v>0</v>
      </c>
      <c r="AI285">
        <f>IF($C285-AI$1&lt;År1,0,AH284*(1-VLOOKUP($A285,[1]Hugst!$R$5:$W$9,MATCH(ROUNDUP((AI$1)/10,0)*10,[1]Hugst!$R$4:$W$4,0))))</f>
        <v>0</v>
      </c>
      <c r="AJ285">
        <f>IF($C285-AJ$1&lt;År1,0,AI284*(1-VLOOKUP($A285,[1]Hugst!$R$5:$W$9,MATCH(ROUNDUP((AJ$1)/10,0)*10,[1]Hugst!$R$4:$W$4,0))))</f>
        <v>0</v>
      </c>
    </row>
    <row r="286" spans="1:36" x14ac:dyDescent="0.25">
      <c r="A286" t="s">
        <v>180</v>
      </c>
      <c r="B286" t="s">
        <v>24</v>
      </c>
      <c r="C286">
        <v>2025</v>
      </c>
      <c r="D286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0</v>
      </c>
      <c r="E286">
        <f t="shared" ca="1" si="7"/>
        <v>0</v>
      </c>
      <c r="F286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>
        <f ca="1">IF($C286-G$1&lt;År1,0,F285*(1-VLOOKUP($A286,[1]Hugst!$R$5:$W$9,MATCH(ROUNDUP((G$1)/10,0)*10,[1]Hugst!$R$4:$W$4,0))))</f>
        <v>0</v>
      </c>
      <c r="H286">
        <f ca="1">IF($C286-H$1&lt;År1,0,G285*(1-VLOOKUP($A286,[1]Hugst!$R$5:$W$9,MATCH(ROUNDUP((H$1)/10,0)*10,[1]Hugst!$R$4:$W$4,0))))</f>
        <v>0</v>
      </c>
      <c r="I286">
        <f ca="1">IF($C286-I$1&lt;År1,0,H285*(1-VLOOKUP($A286,[1]Hugst!$R$5:$W$9,MATCH(ROUNDUP((I$1)/10,0)*10,[1]Hugst!$R$4:$W$4,0))))</f>
        <v>0</v>
      </c>
      <c r="J286">
        <f ca="1">IF($C286-J$1&lt;År1,0,I285*(1-VLOOKUP($A286,[1]Hugst!$R$5:$W$9,MATCH(ROUNDUP((J$1)/10,0)*10,[1]Hugst!$R$4:$W$4,0))))</f>
        <v>0</v>
      </c>
      <c r="K286">
        <f ca="1">IF($C286-K$1&lt;År1,0,J285*(1-VLOOKUP($A286,[1]Hugst!$R$5:$W$9,MATCH(ROUNDUP((K$1)/10,0)*10,[1]Hugst!$R$4:$W$4,0))))</f>
        <v>0</v>
      </c>
      <c r="L286">
        <f>IF($C286-L$1&lt;År1,0,K285*(1-VLOOKUP($A286,[1]Hugst!$R$5:$W$9,MATCH(ROUNDUP((L$1)/10,0)*10,[1]Hugst!$R$4:$W$4,0))))</f>
        <v>0</v>
      </c>
      <c r="M286">
        <f>IF($C286-M$1&lt;År1,0,L285*(1-VLOOKUP($A286,[1]Hugst!$R$5:$W$9,MATCH(ROUNDUP((M$1)/10,0)*10,[1]Hugst!$R$4:$W$4,0))))</f>
        <v>0</v>
      </c>
      <c r="N286">
        <f>IF($C286-N$1&lt;År1,0,M285*(1-VLOOKUP($A286,[1]Hugst!$R$5:$W$9,MATCH(ROUNDUP((N$1)/10,0)*10,[1]Hugst!$R$4:$W$4,0))))</f>
        <v>0</v>
      </c>
      <c r="O286">
        <f>IF($C286-O$1&lt;År1,0,N285*(1-VLOOKUP($A286,[1]Hugst!$R$5:$W$9,MATCH(ROUNDUP((O$1)/10,0)*10,[1]Hugst!$R$4:$W$4,0))))</f>
        <v>0</v>
      </c>
      <c r="P286">
        <f>IF($C286-P$1&lt;År1,0,O285*(1-VLOOKUP($A286,[1]Hugst!$R$5:$W$9,MATCH(ROUNDUP((P$1)/10,0)*10,[1]Hugst!$R$4:$W$4,0))))</f>
        <v>0</v>
      </c>
      <c r="Q286">
        <f>IF($C286-Q$1&lt;År1,0,P285*(1-VLOOKUP($A286,[1]Hugst!$R$5:$W$9,MATCH(ROUNDUP((Q$1)/10,0)*10,[1]Hugst!$R$4:$W$4,0))))</f>
        <v>0</v>
      </c>
      <c r="R286">
        <f>IF($C286-R$1&lt;År1,0,Q285*(1-VLOOKUP($A286,[1]Hugst!$R$5:$W$9,MATCH(ROUNDUP((R$1)/10,0)*10,[1]Hugst!$R$4:$W$4,0))))</f>
        <v>0</v>
      </c>
      <c r="S286">
        <f>IF($C286-S$1&lt;År1,0,R285*(1-VLOOKUP($A286,[1]Hugst!$R$5:$W$9,MATCH(ROUNDUP((S$1)/10,0)*10,[1]Hugst!$R$4:$W$4,0))))</f>
        <v>0</v>
      </c>
      <c r="T286">
        <f>IF($C286-T$1&lt;År1,0,S285*(1-VLOOKUP($A286,[1]Hugst!$R$5:$W$9,MATCH(ROUNDUP((T$1)/10,0)*10,[1]Hugst!$R$4:$W$4,0))))</f>
        <v>0</v>
      </c>
      <c r="U286">
        <f>IF($C286-U$1&lt;År1,0,T285*(1-VLOOKUP($A286,[1]Hugst!$R$5:$W$9,MATCH(ROUNDUP((U$1)/10,0)*10,[1]Hugst!$R$4:$W$4,0))))</f>
        <v>0</v>
      </c>
      <c r="V286">
        <f>IF($C286-V$1&lt;År1,0,U285*(1-VLOOKUP($A286,[1]Hugst!$R$5:$W$9,MATCH(ROUNDUP((V$1)/10,0)*10,[1]Hugst!$R$4:$W$4,0))))</f>
        <v>0</v>
      </c>
      <c r="W286">
        <f>IF($C286-W$1&lt;År1,0,V285*(1-VLOOKUP($A286,[1]Hugst!$R$5:$W$9,MATCH(ROUNDUP((W$1)/10,0)*10,[1]Hugst!$R$4:$W$4,0))))</f>
        <v>0</v>
      </c>
      <c r="X286">
        <f>IF($C286-X$1&lt;År1,0,W285*(1-VLOOKUP($A286,[1]Hugst!$R$5:$W$9,MATCH(ROUNDUP((X$1)/10,0)*10,[1]Hugst!$R$4:$W$4,0))))</f>
        <v>0</v>
      </c>
      <c r="Y286">
        <f>IF($C286-Y$1&lt;År1,0,X285*(1-VLOOKUP($A286,[1]Hugst!$R$5:$W$9,MATCH(ROUNDUP((Y$1)/10,0)*10,[1]Hugst!$R$4:$W$4,0))))</f>
        <v>0</v>
      </c>
      <c r="Z286">
        <f>IF($C286-Z$1&lt;År1,0,Y285*(1-VLOOKUP($A286,[1]Hugst!$R$5:$W$9,MATCH(ROUNDUP((Z$1)/10,0)*10,[1]Hugst!$R$4:$W$4,0))))</f>
        <v>0</v>
      </c>
      <c r="AA286">
        <f>IF($C286-AA$1&lt;År1,0,Z285*(1-VLOOKUP($A286,[1]Hugst!$R$5:$W$9,MATCH(ROUNDUP((AA$1)/10,0)*10,[1]Hugst!$R$4:$W$4,0))))</f>
        <v>0</v>
      </c>
      <c r="AB286">
        <f>IF($C286-AB$1&lt;År1,0,AA285*(1-VLOOKUP($A286,[1]Hugst!$R$5:$W$9,MATCH(ROUNDUP((AB$1)/10,0)*10,[1]Hugst!$R$4:$W$4,0))))</f>
        <v>0</v>
      </c>
      <c r="AC286">
        <f>IF($C286-AC$1&lt;År1,0,AB285*(1-VLOOKUP($A286,[1]Hugst!$R$5:$W$9,MATCH(ROUNDUP((AC$1)/10,0)*10,[1]Hugst!$R$4:$W$4,0))))</f>
        <v>0</v>
      </c>
      <c r="AD286">
        <f>IF($C286-AD$1&lt;År1,0,AC285*(1-VLOOKUP($A286,[1]Hugst!$R$5:$W$9,MATCH(ROUNDUP((AD$1)/10,0)*10,[1]Hugst!$R$4:$W$4,0))))</f>
        <v>0</v>
      </c>
      <c r="AE286">
        <f>IF($C286-AE$1&lt;År1,0,AD285*(1-VLOOKUP($A286,[1]Hugst!$R$5:$W$9,MATCH(ROUNDUP((AE$1)/10,0)*10,[1]Hugst!$R$4:$W$4,0))))</f>
        <v>0</v>
      </c>
      <c r="AF286">
        <f>IF($C286-AF$1&lt;År1,0,AE285*(1-VLOOKUP($A286,[1]Hugst!$R$5:$W$9,MATCH(ROUNDUP((AF$1)/10,0)*10,[1]Hugst!$R$4:$W$4,0))))</f>
        <v>0</v>
      </c>
      <c r="AG286">
        <f>IF($C286-AG$1&lt;År1,0,AF285*(1-VLOOKUP($A286,[1]Hugst!$R$5:$W$9,MATCH(ROUNDUP((AG$1)/10,0)*10,[1]Hugst!$R$4:$W$4,0))))</f>
        <v>0</v>
      </c>
      <c r="AH286">
        <f>IF($C286-AH$1&lt;År1,0,AG285*(1-VLOOKUP($A286,[1]Hugst!$R$5:$W$9,MATCH(ROUNDUP((AH$1)/10,0)*10,[1]Hugst!$R$4:$W$4,0))))</f>
        <v>0</v>
      </c>
      <c r="AI286">
        <f>IF($C286-AI$1&lt;År1,0,AH285*(1-VLOOKUP($A286,[1]Hugst!$R$5:$W$9,MATCH(ROUNDUP((AI$1)/10,0)*10,[1]Hugst!$R$4:$W$4,0))))</f>
        <v>0</v>
      </c>
      <c r="AJ286">
        <f>IF($C286-AJ$1&lt;År1,0,AI285*(1-VLOOKUP($A286,[1]Hugst!$R$5:$W$9,MATCH(ROUNDUP((AJ$1)/10,0)*10,[1]Hugst!$R$4:$W$4,0))))</f>
        <v>0</v>
      </c>
    </row>
    <row r="287" spans="1:36" x14ac:dyDescent="0.25">
      <c r="A287" t="s">
        <v>180</v>
      </c>
      <c r="B287" t="s">
        <v>24</v>
      </c>
      <c r="C287">
        <v>2026</v>
      </c>
      <c r="D287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0</v>
      </c>
      <c r="E287">
        <f t="shared" ca="1" si="7"/>
        <v>0</v>
      </c>
      <c r="F287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>
        <f ca="1">IF($C287-G$1&lt;År1,0,F286*(1-VLOOKUP($A287,[1]Hugst!$R$5:$W$9,MATCH(ROUNDUP((G$1)/10,0)*10,[1]Hugst!$R$4:$W$4,0))))</f>
        <v>0</v>
      </c>
      <c r="H287">
        <f ca="1">IF($C287-H$1&lt;År1,0,G286*(1-VLOOKUP($A287,[1]Hugst!$R$5:$W$9,MATCH(ROUNDUP((H$1)/10,0)*10,[1]Hugst!$R$4:$W$4,0))))</f>
        <v>0</v>
      </c>
      <c r="I287">
        <f ca="1">IF($C287-I$1&lt;År1,0,H286*(1-VLOOKUP($A287,[1]Hugst!$R$5:$W$9,MATCH(ROUNDUP((I$1)/10,0)*10,[1]Hugst!$R$4:$W$4,0))))</f>
        <v>0</v>
      </c>
      <c r="J287">
        <f ca="1">IF($C287-J$1&lt;År1,0,I286*(1-VLOOKUP($A287,[1]Hugst!$R$5:$W$9,MATCH(ROUNDUP((J$1)/10,0)*10,[1]Hugst!$R$4:$W$4,0))))</f>
        <v>0</v>
      </c>
      <c r="K287">
        <f ca="1">IF($C287-K$1&lt;År1,0,J286*(1-VLOOKUP($A287,[1]Hugst!$R$5:$W$9,MATCH(ROUNDUP((K$1)/10,0)*10,[1]Hugst!$R$4:$W$4,0))))</f>
        <v>0</v>
      </c>
      <c r="L287">
        <f ca="1">IF($C287-L$1&lt;År1,0,K286*(1-VLOOKUP($A287,[1]Hugst!$R$5:$W$9,MATCH(ROUNDUP((L$1)/10,0)*10,[1]Hugst!$R$4:$W$4,0))))</f>
        <v>0</v>
      </c>
      <c r="M287">
        <f>IF($C287-M$1&lt;År1,0,L286*(1-VLOOKUP($A287,[1]Hugst!$R$5:$W$9,MATCH(ROUNDUP((M$1)/10,0)*10,[1]Hugst!$R$4:$W$4,0))))</f>
        <v>0</v>
      </c>
      <c r="N287">
        <f>IF($C287-N$1&lt;År1,0,M286*(1-VLOOKUP($A287,[1]Hugst!$R$5:$W$9,MATCH(ROUNDUP((N$1)/10,0)*10,[1]Hugst!$R$4:$W$4,0))))</f>
        <v>0</v>
      </c>
      <c r="O287">
        <f>IF($C287-O$1&lt;År1,0,N286*(1-VLOOKUP($A287,[1]Hugst!$R$5:$W$9,MATCH(ROUNDUP((O$1)/10,0)*10,[1]Hugst!$R$4:$W$4,0))))</f>
        <v>0</v>
      </c>
      <c r="P287">
        <f>IF($C287-P$1&lt;År1,0,O286*(1-VLOOKUP($A287,[1]Hugst!$R$5:$W$9,MATCH(ROUNDUP((P$1)/10,0)*10,[1]Hugst!$R$4:$W$4,0))))</f>
        <v>0</v>
      </c>
      <c r="Q287">
        <f>IF($C287-Q$1&lt;År1,0,P286*(1-VLOOKUP($A287,[1]Hugst!$R$5:$W$9,MATCH(ROUNDUP((Q$1)/10,0)*10,[1]Hugst!$R$4:$W$4,0))))</f>
        <v>0</v>
      </c>
      <c r="R287">
        <f>IF($C287-R$1&lt;År1,0,Q286*(1-VLOOKUP($A287,[1]Hugst!$R$5:$W$9,MATCH(ROUNDUP((R$1)/10,0)*10,[1]Hugst!$R$4:$W$4,0))))</f>
        <v>0</v>
      </c>
      <c r="S287">
        <f>IF($C287-S$1&lt;År1,0,R286*(1-VLOOKUP($A287,[1]Hugst!$R$5:$W$9,MATCH(ROUNDUP((S$1)/10,0)*10,[1]Hugst!$R$4:$W$4,0))))</f>
        <v>0</v>
      </c>
      <c r="T287">
        <f>IF($C287-T$1&lt;År1,0,S286*(1-VLOOKUP($A287,[1]Hugst!$R$5:$W$9,MATCH(ROUNDUP((T$1)/10,0)*10,[1]Hugst!$R$4:$W$4,0))))</f>
        <v>0</v>
      </c>
      <c r="U287">
        <f>IF($C287-U$1&lt;År1,0,T286*(1-VLOOKUP($A287,[1]Hugst!$R$5:$W$9,MATCH(ROUNDUP((U$1)/10,0)*10,[1]Hugst!$R$4:$W$4,0))))</f>
        <v>0</v>
      </c>
      <c r="V287">
        <f>IF($C287-V$1&lt;År1,0,U286*(1-VLOOKUP($A287,[1]Hugst!$R$5:$W$9,MATCH(ROUNDUP((V$1)/10,0)*10,[1]Hugst!$R$4:$W$4,0))))</f>
        <v>0</v>
      </c>
      <c r="W287">
        <f>IF($C287-W$1&lt;År1,0,V286*(1-VLOOKUP($A287,[1]Hugst!$R$5:$W$9,MATCH(ROUNDUP((W$1)/10,0)*10,[1]Hugst!$R$4:$W$4,0))))</f>
        <v>0</v>
      </c>
      <c r="X287">
        <f>IF($C287-X$1&lt;År1,0,W286*(1-VLOOKUP($A287,[1]Hugst!$R$5:$W$9,MATCH(ROUNDUP((X$1)/10,0)*10,[1]Hugst!$R$4:$W$4,0))))</f>
        <v>0</v>
      </c>
      <c r="Y287">
        <f>IF($C287-Y$1&lt;År1,0,X286*(1-VLOOKUP($A287,[1]Hugst!$R$5:$W$9,MATCH(ROUNDUP((Y$1)/10,0)*10,[1]Hugst!$R$4:$W$4,0))))</f>
        <v>0</v>
      </c>
      <c r="Z287">
        <f>IF($C287-Z$1&lt;År1,0,Y286*(1-VLOOKUP($A287,[1]Hugst!$R$5:$W$9,MATCH(ROUNDUP((Z$1)/10,0)*10,[1]Hugst!$R$4:$W$4,0))))</f>
        <v>0</v>
      </c>
      <c r="AA287">
        <f>IF($C287-AA$1&lt;År1,0,Z286*(1-VLOOKUP($A287,[1]Hugst!$R$5:$W$9,MATCH(ROUNDUP((AA$1)/10,0)*10,[1]Hugst!$R$4:$W$4,0))))</f>
        <v>0</v>
      </c>
      <c r="AB287">
        <f>IF($C287-AB$1&lt;År1,0,AA286*(1-VLOOKUP($A287,[1]Hugst!$R$5:$W$9,MATCH(ROUNDUP((AB$1)/10,0)*10,[1]Hugst!$R$4:$W$4,0))))</f>
        <v>0</v>
      </c>
      <c r="AC287">
        <f>IF($C287-AC$1&lt;År1,0,AB286*(1-VLOOKUP($A287,[1]Hugst!$R$5:$W$9,MATCH(ROUNDUP((AC$1)/10,0)*10,[1]Hugst!$R$4:$W$4,0))))</f>
        <v>0</v>
      </c>
      <c r="AD287">
        <f>IF($C287-AD$1&lt;År1,0,AC286*(1-VLOOKUP($A287,[1]Hugst!$R$5:$W$9,MATCH(ROUNDUP((AD$1)/10,0)*10,[1]Hugst!$R$4:$W$4,0))))</f>
        <v>0</v>
      </c>
      <c r="AE287">
        <f>IF($C287-AE$1&lt;År1,0,AD286*(1-VLOOKUP($A287,[1]Hugst!$R$5:$W$9,MATCH(ROUNDUP((AE$1)/10,0)*10,[1]Hugst!$R$4:$W$4,0))))</f>
        <v>0</v>
      </c>
      <c r="AF287">
        <f>IF($C287-AF$1&lt;År1,0,AE286*(1-VLOOKUP($A287,[1]Hugst!$R$5:$W$9,MATCH(ROUNDUP((AF$1)/10,0)*10,[1]Hugst!$R$4:$W$4,0))))</f>
        <v>0</v>
      </c>
      <c r="AG287">
        <f>IF($C287-AG$1&lt;År1,0,AF286*(1-VLOOKUP($A287,[1]Hugst!$R$5:$W$9,MATCH(ROUNDUP((AG$1)/10,0)*10,[1]Hugst!$R$4:$W$4,0))))</f>
        <v>0</v>
      </c>
      <c r="AH287">
        <f>IF($C287-AH$1&lt;År1,0,AG286*(1-VLOOKUP($A287,[1]Hugst!$R$5:$W$9,MATCH(ROUNDUP((AH$1)/10,0)*10,[1]Hugst!$R$4:$W$4,0))))</f>
        <v>0</v>
      </c>
      <c r="AI287">
        <f>IF($C287-AI$1&lt;År1,0,AH286*(1-VLOOKUP($A287,[1]Hugst!$R$5:$W$9,MATCH(ROUNDUP((AI$1)/10,0)*10,[1]Hugst!$R$4:$W$4,0))))</f>
        <v>0</v>
      </c>
      <c r="AJ287">
        <f>IF($C287-AJ$1&lt;År1,0,AI286*(1-VLOOKUP($A287,[1]Hugst!$R$5:$W$9,MATCH(ROUNDUP((AJ$1)/10,0)*10,[1]Hugst!$R$4:$W$4,0))))</f>
        <v>0</v>
      </c>
    </row>
    <row r="288" spans="1:36" x14ac:dyDescent="0.25">
      <c r="A288" t="s">
        <v>180</v>
      </c>
      <c r="B288" t="s">
        <v>24</v>
      </c>
      <c r="C288">
        <v>2027</v>
      </c>
      <c r="D28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0</v>
      </c>
      <c r="E288">
        <f t="shared" ca="1" si="7"/>
        <v>0</v>
      </c>
      <c r="F28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>
        <f ca="1">IF($C288-G$1&lt;År1,0,F287*(1-VLOOKUP($A288,[1]Hugst!$R$5:$W$9,MATCH(ROUNDUP((G$1)/10,0)*10,[1]Hugst!$R$4:$W$4,0))))</f>
        <v>0</v>
      </c>
      <c r="H288">
        <f ca="1">IF($C288-H$1&lt;År1,0,G287*(1-VLOOKUP($A288,[1]Hugst!$R$5:$W$9,MATCH(ROUNDUP((H$1)/10,0)*10,[1]Hugst!$R$4:$W$4,0))))</f>
        <v>0</v>
      </c>
      <c r="I288">
        <f ca="1">IF($C288-I$1&lt;År1,0,H287*(1-VLOOKUP($A288,[1]Hugst!$R$5:$W$9,MATCH(ROUNDUP((I$1)/10,0)*10,[1]Hugst!$R$4:$W$4,0))))</f>
        <v>0</v>
      </c>
      <c r="J288">
        <f ca="1">IF($C288-J$1&lt;År1,0,I287*(1-VLOOKUP($A288,[1]Hugst!$R$5:$W$9,MATCH(ROUNDUP((J$1)/10,0)*10,[1]Hugst!$R$4:$W$4,0))))</f>
        <v>0</v>
      </c>
      <c r="K288">
        <f ca="1">IF($C288-K$1&lt;År1,0,J287*(1-VLOOKUP($A288,[1]Hugst!$R$5:$W$9,MATCH(ROUNDUP((K$1)/10,0)*10,[1]Hugst!$R$4:$W$4,0))))</f>
        <v>0</v>
      </c>
      <c r="L288">
        <f ca="1">IF($C288-L$1&lt;År1,0,K287*(1-VLOOKUP($A288,[1]Hugst!$R$5:$W$9,MATCH(ROUNDUP((L$1)/10,0)*10,[1]Hugst!$R$4:$W$4,0))))</f>
        <v>0</v>
      </c>
      <c r="M288">
        <f ca="1">IF($C288-M$1&lt;År1,0,L287*(1-VLOOKUP($A288,[1]Hugst!$R$5:$W$9,MATCH(ROUNDUP((M$1)/10,0)*10,[1]Hugst!$R$4:$W$4,0))))</f>
        <v>0</v>
      </c>
      <c r="N288">
        <f>IF($C288-N$1&lt;År1,0,M287*(1-VLOOKUP($A288,[1]Hugst!$R$5:$W$9,MATCH(ROUNDUP((N$1)/10,0)*10,[1]Hugst!$R$4:$W$4,0))))</f>
        <v>0</v>
      </c>
      <c r="O288">
        <f>IF($C288-O$1&lt;År1,0,N287*(1-VLOOKUP($A288,[1]Hugst!$R$5:$W$9,MATCH(ROUNDUP((O$1)/10,0)*10,[1]Hugst!$R$4:$W$4,0))))</f>
        <v>0</v>
      </c>
      <c r="P288">
        <f>IF($C288-P$1&lt;År1,0,O287*(1-VLOOKUP($A288,[1]Hugst!$R$5:$W$9,MATCH(ROUNDUP((P$1)/10,0)*10,[1]Hugst!$R$4:$W$4,0))))</f>
        <v>0</v>
      </c>
      <c r="Q288">
        <f>IF($C288-Q$1&lt;År1,0,P287*(1-VLOOKUP($A288,[1]Hugst!$R$5:$W$9,MATCH(ROUNDUP((Q$1)/10,0)*10,[1]Hugst!$R$4:$W$4,0))))</f>
        <v>0</v>
      </c>
      <c r="R288">
        <f>IF($C288-R$1&lt;År1,0,Q287*(1-VLOOKUP($A288,[1]Hugst!$R$5:$W$9,MATCH(ROUNDUP((R$1)/10,0)*10,[1]Hugst!$R$4:$W$4,0))))</f>
        <v>0</v>
      </c>
      <c r="S288">
        <f>IF($C288-S$1&lt;År1,0,R287*(1-VLOOKUP($A288,[1]Hugst!$R$5:$W$9,MATCH(ROUNDUP((S$1)/10,0)*10,[1]Hugst!$R$4:$W$4,0))))</f>
        <v>0</v>
      </c>
      <c r="T288">
        <f>IF($C288-T$1&lt;År1,0,S287*(1-VLOOKUP($A288,[1]Hugst!$R$5:$W$9,MATCH(ROUNDUP((T$1)/10,0)*10,[1]Hugst!$R$4:$W$4,0))))</f>
        <v>0</v>
      </c>
      <c r="U288">
        <f>IF($C288-U$1&lt;År1,0,T287*(1-VLOOKUP($A288,[1]Hugst!$R$5:$W$9,MATCH(ROUNDUP((U$1)/10,0)*10,[1]Hugst!$R$4:$W$4,0))))</f>
        <v>0</v>
      </c>
      <c r="V288">
        <f>IF($C288-V$1&lt;År1,0,U287*(1-VLOOKUP($A288,[1]Hugst!$R$5:$W$9,MATCH(ROUNDUP((V$1)/10,0)*10,[1]Hugst!$R$4:$W$4,0))))</f>
        <v>0</v>
      </c>
      <c r="W288">
        <f>IF($C288-W$1&lt;År1,0,V287*(1-VLOOKUP($A288,[1]Hugst!$R$5:$W$9,MATCH(ROUNDUP((W$1)/10,0)*10,[1]Hugst!$R$4:$W$4,0))))</f>
        <v>0</v>
      </c>
      <c r="X288">
        <f>IF($C288-X$1&lt;År1,0,W287*(1-VLOOKUP($A288,[1]Hugst!$R$5:$W$9,MATCH(ROUNDUP((X$1)/10,0)*10,[1]Hugst!$R$4:$W$4,0))))</f>
        <v>0</v>
      </c>
      <c r="Y288">
        <f>IF($C288-Y$1&lt;År1,0,X287*(1-VLOOKUP($A288,[1]Hugst!$R$5:$W$9,MATCH(ROUNDUP((Y$1)/10,0)*10,[1]Hugst!$R$4:$W$4,0))))</f>
        <v>0</v>
      </c>
      <c r="Z288">
        <f>IF($C288-Z$1&lt;År1,0,Y287*(1-VLOOKUP($A288,[1]Hugst!$R$5:$W$9,MATCH(ROUNDUP((Z$1)/10,0)*10,[1]Hugst!$R$4:$W$4,0))))</f>
        <v>0</v>
      </c>
      <c r="AA288">
        <f>IF($C288-AA$1&lt;År1,0,Z287*(1-VLOOKUP($A288,[1]Hugst!$R$5:$W$9,MATCH(ROUNDUP((AA$1)/10,0)*10,[1]Hugst!$R$4:$W$4,0))))</f>
        <v>0</v>
      </c>
      <c r="AB288">
        <f>IF($C288-AB$1&lt;År1,0,AA287*(1-VLOOKUP($A288,[1]Hugst!$R$5:$W$9,MATCH(ROUNDUP((AB$1)/10,0)*10,[1]Hugst!$R$4:$W$4,0))))</f>
        <v>0</v>
      </c>
      <c r="AC288">
        <f>IF($C288-AC$1&lt;År1,0,AB287*(1-VLOOKUP($A288,[1]Hugst!$R$5:$W$9,MATCH(ROUNDUP((AC$1)/10,0)*10,[1]Hugst!$R$4:$W$4,0))))</f>
        <v>0</v>
      </c>
      <c r="AD288">
        <f>IF($C288-AD$1&lt;År1,0,AC287*(1-VLOOKUP($A288,[1]Hugst!$R$5:$W$9,MATCH(ROUNDUP((AD$1)/10,0)*10,[1]Hugst!$R$4:$W$4,0))))</f>
        <v>0</v>
      </c>
      <c r="AE288">
        <f>IF($C288-AE$1&lt;År1,0,AD287*(1-VLOOKUP($A288,[1]Hugst!$R$5:$W$9,MATCH(ROUNDUP((AE$1)/10,0)*10,[1]Hugst!$R$4:$W$4,0))))</f>
        <v>0</v>
      </c>
      <c r="AF288">
        <f>IF($C288-AF$1&lt;År1,0,AE287*(1-VLOOKUP($A288,[1]Hugst!$R$5:$W$9,MATCH(ROUNDUP((AF$1)/10,0)*10,[1]Hugst!$R$4:$W$4,0))))</f>
        <v>0</v>
      </c>
      <c r="AG288">
        <f>IF($C288-AG$1&lt;År1,0,AF287*(1-VLOOKUP($A288,[1]Hugst!$R$5:$W$9,MATCH(ROUNDUP((AG$1)/10,0)*10,[1]Hugst!$R$4:$W$4,0))))</f>
        <v>0</v>
      </c>
      <c r="AH288">
        <f>IF($C288-AH$1&lt;År1,0,AG287*(1-VLOOKUP($A288,[1]Hugst!$R$5:$W$9,MATCH(ROUNDUP((AH$1)/10,0)*10,[1]Hugst!$R$4:$W$4,0))))</f>
        <v>0</v>
      </c>
      <c r="AI288">
        <f>IF($C288-AI$1&lt;År1,0,AH287*(1-VLOOKUP($A288,[1]Hugst!$R$5:$W$9,MATCH(ROUNDUP((AI$1)/10,0)*10,[1]Hugst!$R$4:$W$4,0))))</f>
        <v>0</v>
      </c>
      <c r="AJ288">
        <f>IF($C288-AJ$1&lt;År1,0,AI287*(1-VLOOKUP($A288,[1]Hugst!$R$5:$W$9,MATCH(ROUNDUP((AJ$1)/10,0)*10,[1]Hugst!$R$4:$W$4,0))))</f>
        <v>0</v>
      </c>
    </row>
    <row r="289" spans="1:36" x14ac:dyDescent="0.25">
      <c r="A289" t="s">
        <v>180</v>
      </c>
      <c r="B289" t="s">
        <v>24</v>
      </c>
      <c r="C289">
        <v>2028</v>
      </c>
      <c r="D289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0</v>
      </c>
      <c r="E289">
        <f t="shared" ca="1" si="7"/>
        <v>0</v>
      </c>
      <c r="F28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>
        <f ca="1">IF($C289-G$1&lt;År1,0,F288*(1-VLOOKUP($A289,[1]Hugst!$R$5:$W$9,MATCH(ROUNDUP((G$1)/10,0)*10,[1]Hugst!$R$4:$W$4,0))))</f>
        <v>0</v>
      </c>
      <c r="H289">
        <f ca="1">IF($C289-H$1&lt;År1,0,G288*(1-VLOOKUP($A289,[1]Hugst!$R$5:$W$9,MATCH(ROUNDUP((H$1)/10,0)*10,[1]Hugst!$R$4:$W$4,0))))</f>
        <v>0</v>
      </c>
      <c r="I289">
        <f ca="1">IF($C289-I$1&lt;År1,0,H288*(1-VLOOKUP($A289,[1]Hugst!$R$5:$W$9,MATCH(ROUNDUP((I$1)/10,0)*10,[1]Hugst!$R$4:$W$4,0))))</f>
        <v>0</v>
      </c>
      <c r="J289">
        <f ca="1">IF($C289-J$1&lt;År1,0,I288*(1-VLOOKUP($A289,[1]Hugst!$R$5:$W$9,MATCH(ROUNDUP((J$1)/10,0)*10,[1]Hugst!$R$4:$W$4,0))))</f>
        <v>0</v>
      </c>
      <c r="K289">
        <f ca="1">IF($C289-K$1&lt;År1,0,J288*(1-VLOOKUP($A289,[1]Hugst!$R$5:$W$9,MATCH(ROUNDUP((K$1)/10,0)*10,[1]Hugst!$R$4:$W$4,0))))</f>
        <v>0</v>
      </c>
      <c r="L289">
        <f ca="1">IF($C289-L$1&lt;År1,0,K288*(1-VLOOKUP($A289,[1]Hugst!$R$5:$W$9,MATCH(ROUNDUP((L$1)/10,0)*10,[1]Hugst!$R$4:$W$4,0))))</f>
        <v>0</v>
      </c>
      <c r="M289">
        <f ca="1">IF($C289-M$1&lt;År1,0,L288*(1-VLOOKUP($A289,[1]Hugst!$R$5:$W$9,MATCH(ROUNDUP((M$1)/10,0)*10,[1]Hugst!$R$4:$W$4,0))))</f>
        <v>0</v>
      </c>
      <c r="N289">
        <f ca="1">IF($C289-N$1&lt;År1,0,M288*(1-VLOOKUP($A289,[1]Hugst!$R$5:$W$9,MATCH(ROUNDUP((N$1)/10,0)*10,[1]Hugst!$R$4:$W$4,0))))</f>
        <v>0</v>
      </c>
      <c r="O289">
        <f>IF($C289-O$1&lt;År1,0,N288*(1-VLOOKUP($A289,[1]Hugst!$R$5:$W$9,MATCH(ROUNDUP((O$1)/10,0)*10,[1]Hugst!$R$4:$W$4,0))))</f>
        <v>0</v>
      </c>
      <c r="P289">
        <f>IF($C289-P$1&lt;År1,0,O288*(1-VLOOKUP($A289,[1]Hugst!$R$5:$W$9,MATCH(ROUNDUP((P$1)/10,0)*10,[1]Hugst!$R$4:$W$4,0))))</f>
        <v>0</v>
      </c>
      <c r="Q289">
        <f>IF($C289-Q$1&lt;År1,0,P288*(1-VLOOKUP($A289,[1]Hugst!$R$5:$W$9,MATCH(ROUNDUP((Q$1)/10,0)*10,[1]Hugst!$R$4:$W$4,0))))</f>
        <v>0</v>
      </c>
      <c r="R289">
        <f>IF($C289-R$1&lt;År1,0,Q288*(1-VLOOKUP($A289,[1]Hugst!$R$5:$W$9,MATCH(ROUNDUP((R$1)/10,0)*10,[1]Hugst!$R$4:$W$4,0))))</f>
        <v>0</v>
      </c>
      <c r="S289">
        <f>IF($C289-S$1&lt;År1,0,R288*(1-VLOOKUP($A289,[1]Hugst!$R$5:$W$9,MATCH(ROUNDUP((S$1)/10,0)*10,[1]Hugst!$R$4:$W$4,0))))</f>
        <v>0</v>
      </c>
      <c r="T289">
        <f>IF($C289-T$1&lt;År1,0,S288*(1-VLOOKUP($A289,[1]Hugst!$R$5:$W$9,MATCH(ROUNDUP((T$1)/10,0)*10,[1]Hugst!$R$4:$W$4,0))))</f>
        <v>0</v>
      </c>
      <c r="U289">
        <f>IF($C289-U$1&lt;År1,0,T288*(1-VLOOKUP($A289,[1]Hugst!$R$5:$W$9,MATCH(ROUNDUP((U$1)/10,0)*10,[1]Hugst!$R$4:$W$4,0))))</f>
        <v>0</v>
      </c>
      <c r="V289">
        <f>IF($C289-V$1&lt;År1,0,U288*(1-VLOOKUP($A289,[1]Hugst!$R$5:$W$9,MATCH(ROUNDUP((V$1)/10,0)*10,[1]Hugst!$R$4:$W$4,0))))</f>
        <v>0</v>
      </c>
      <c r="W289">
        <f>IF($C289-W$1&lt;År1,0,V288*(1-VLOOKUP($A289,[1]Hugst!$R$5:$W$9,MATCH(ROUNDUP((W$1)/10,0)*10,[1]Hugst!$R$4:$W$4,0))))</f>
        <v>0</v>
      </c>
      <c r="X289">
        <f>IF($C289-X$1&lt;År1,0,W288*(1-VLOOKUP($A289,[1]Hugst!$R$5:$W$9,MATCH(ROUNDUP((X$1)/10,0)*10,[1]Hugst!$R$4:$W$4,0))))</f>
        <v>0</v>
      </c>
      <c r="Y289">
        <f>IF($C289-Y$1&lt;År1,0,X288*(1-VLOOKUP($A289,[1]Hugst!$R$5:$W$9,MATCH(ROUNDUP((Y$1)/10,0)*10,[1]Hugst!$R$4:$W$4,0))))</f>
        <v>0</v>
      </c>
      <c r="Z289">
        <f>IF($C289-Z$1&lt;År1,0,Y288*(1-VLOOKUP($A289,[1]Hugst!$R$5:$W$9,MATCH(ROUNDUP((Z$1)/10,0)*10,[1]Hugst!$R$4:$W$4,0))))</f>
        <v>0</v>
      </c>
      <c r="AA289">
        <f>IF($C289-AA$1&lt;År1,0,Z288*(1-VLOOKUP($A289,[1]Hugst!$R$5:$W$9,MATCH(ROUNDUP((AA$1)/10,0)*10,[1]Hugst!$R$4:$W$4,0))))</f>
        <v>0</v>
      </c>
      <c r="AB289">
        <f>IF($C289-AB$1&lt;År1,0,AA288*(1-VLOOKUP($A289,[1]Hugst!$R$5:$W$9,MATCH(ROUNDUP((AB$1)/10,0)*10,[1]Hugst!$R$4:$W$4,0))))</f>
        <v>0</v>
      </c>
      <c r="AC289">
        <f>IF($C289-AC$1&lt;År1,0,AB288*(1-VLOOKUP($A289,[1]Hugst!$R$5:$W$9,MATCH(ROUNDUP((AC$1)/10,0)*10,[1]Hugst!$R$4:$W$4,0))))</f>
        <v>0</v>
      </c>
      <c r="AD289">
        <f>IF($C289-AD$1&lt;År1,0,AC288*(1-VLOOKUP($A289,[1]Hugst!$R$5:$W$9,MATCH(ROUNDUP((AD$1)/10,0)*10,[1]Hugst!$R$4:$W$4,0))))</f>
        <v>0</v>
      </c>
      <c r="AE289">
        <f>IF($C289-AE$1&lt;År1,0,AD288*(1-VLOOKUP($A289,[1]Hugst!$R$5:$W$9,MATCH(ROUNDUP((AE$1)/10,0)*10,[1]Hugst!$R$4:$W$4,0))))</f>
        <v>0</v>
      </c>
      <c r="AF289">
        <f>IF($C289-AF$1&lt;År1,0,AE288*(1-VLOOKUP($A289,[1]Hugst!$R$5:$W$9,MATCH(ROUNDUP((AF$1)/10,0)*10,[1]Hugst!$R$4:$W$4,0))))</f>
        <v>0</v>
      </c>
      <c r="AG289">
        <f>IF($C289-AG$1&lt;År1,0,AF288*(1-VLOOKUP($A289,[1]Hugst!$R$5:$W$9,MATCH(ROUNDUP((AG$1)/10,0)*10,[1]Hugst!$R$4:$W$4,0))))</f>
        <v>0</v>
      </c>
      <c r="AH289">
        <f>IF($C289-AH$1&lt;År1,0,AG288*(1-VLOOKUP($A289,[1]Hugst!$R$5:$W$9,MATCH(ROUNDUP((AH$1)/10,0)*10,[1]Hugst!$R$4:$W$4,0))))</f>
        <v>0</v>
      </c>
      <c r="AI289">
        <f>IF($C289-AI$1&lt;År1,0,AH288*(1-VLOOKUP($A289,[1]Hugst!$R$5:$W$9,MATCH(ROUNDUP((AI$1)/10,0)*10,[1]Hugst!$R$4:$W$4,0))))</f>
        <v>0</v>
      </c>
      <c r="AJ289">
        <f>IF($C289-AJ$1&lt;År1,0,AI288*(1-VLOOKUP($A289,[1]Hugst!$R$5:$W$9,MATCH(ROUNDUP((AJ$1)/10,0)*10,[1]Hugst!$R$4:$W$4,0))))</f>
        <v>0</v>
      </c>
    </row>
    <row r="290" spans="1:36" x14ac:dyDescent="0.25">
      <c r="A290" t="s">
        <v>180</v>
      </c>
      <c r="B290" t="s">
        <v>24</v>
      </c>
      <c r="C290">
        <v>2029</v>
      </c>
      <c r="D290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0</v>
      </c>
      <c r="E290">
        <f t="shared" ca="1" si="7"/>
        <v>0</v>
      </c>
      <c r="F290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>
        <f ca="1">IF($C290-G$1&lt;År1,0,F289*(1-VLOOKUP($A290,[1]Hugst!$R$5:$W$9,MATCH(ROUNDUP((G$1)/10,0)*10,[1]Hugst!$R$4:$W$4,0))))</f>
        <v>0</v>
      </c>
      <c r="H290">
        <f ca="1">IF($C290-H$1&lt;År1,0,G289*(1-VLOOKUP($A290,[1]Hugst!$R$5:$W$9,MATCH(ROUNDUP((H$1)/10,0)*10,[1]Hugst!$R$4:$W$4,0))))</f>
        <v>0</v>
      </c>
      <c r="I290">
        <f ca="1">IF($C290-I$1&lt;År1,0,H289*(1-VLOOKUP($A290,[1]Hugst!$R$5:$W$9,MATCH(ROUNDUP((I$1)/10,0)*10,[1]Hugst!$R$4:$W$4,0))))</f>
        <v>0</v>
      </c>
      <c r="J290">
        <f ca="1">IF($C290-J$1&lt;År1,0,I289*(1-VLOOKUP($A290,[1]Hugst!$R$5:$W$9,MATCH(ROUNDUP((J$1)/10,0)*10,[1]Hugst!$R$4:$W$4,0))))</f>
        <v>0</v>
      </c>
      <c r="K290">
        <f ca="1">IF($C290-K$1&lt;År1,0,J289*(1-VLOOKUP($A290,[1]Hugst!$R$5:$W$9,MATCH(ROUNDUP((K$1)/10,0)*10,[1]Hugst!$R$4:$W$4,0))))</f>
        <v>0</v>
      </c>
      <c r="L290">
        <f ca="1">IF($C290-L$1&lt;År1,0,K289*(1-VLOOKUP($A290,[1]Hugst!$R$5:$W$9,MATCH(ROUNDUP((L$1)/10,0)*10,[1]Hugst!$R$4:$W$4,0))))</f>
        <v>0</v>
      </c>
      <c r="M290">
        <f ca="1">IF($C290-M$1&lt;År1,0,L289*(1-VLOOKUP($A290,[1]Hugst!$R$5:$W$9,MATCH(ROUNDUP((M$1)/10,0)*10,[1]Hugst!$R$4:$W$4,0))))</f>
        <v>0</v>
      </c>
      <c r="N290">
        <f ca="1">IF($C290-N$1&lt;År1,0,M289*(1-VLOOKUP($A290,[1]Hugst!$R$5:$W$9,MATCH(ROUNDUP((N$1)/10,0)*10,[1]Hugst!$R$4:$W$4,0))))</f>
        <v>0</v>
      </c>
      <c r="O290">
        <f ca="1">IF($C290-O$1&lt;År1,0,N289*(1-VLOOKUP($A290,[1]Hugst!$R$5:$W$9,MATCH(ROUNDUP((O$1)/10,0)*10,[1]Hugst!$R$4:$W$4,0))))</f>
        <v>0</v>
      </c>
      <c r="P290">
        <f>IF($C290-P$1&lt;År1,0,O289*(1-VLOOKUP($A290,[1]Hugst!$R$5:$W$9,MATCH(ROUNDUP((P$1)/10,0)*10,[1]Hugst!$R$4:$W$4,0))))</f>
        <v>0</v>
      </c>
      <c r="Q290">
        <f>IF($C290-Q$1&lt;År1,0,P289*(1-VLOOKUP($A290,[1]Hugst!$R$5:$W$9,MATCH(ROUNDUP((Q$1)/10,0)*10,[1]Hugst!$R$4:$W$4,0))))</f>
        <v>0</v>
      </c>
      <c r="R290">
        <f>IF($C290-R$1&lt;År1,0,Q289*(1-VLOOKUP($A290,[1]Hugst!$R$5:$W$9,MATCH(ROUNDUP((R$1)/10,0)*10,[1]Hugst!$R$4:$W$4,0))))</f>
        <v>0</v>
      </c>
      <c r="S290">
        <f>IF($C290-S$1&lt;År1,0,R289*(1-VLOOKUP($A290,[1]Hugst!$R$5:$W$9,MATCH(ROUNDUP((S$1)/10,0)*10,[1]Hugst!$R$4:$W$4,0))))</f>
        <v>0</v>
      </c>
      <c r="T290">
        <f>IF($C290-T$1&lt;År1,0,S289*(1-VLOOKUP($A290,[1]Hugst!$R$5:$W$9,MATCH(ROUNDUP((T$1)/10,0)*10,[1]Hugst!$R$4:$W$4,0))))</f>
        <v>0</v>
      </c>
      <c r="U290">
        <f>IF($C290-U$1&lt;År1,0,T289*(1-VLOOKUP($A290,[1]Hugst!$R$5:$W$9,MATCH(ROUNDUP((U$1)/10,0)*10,[1]Hugst!$R$4:$W$4,0))))</f>
        <v>0</v>
      </c>
      <c r="V290">
        <f>IF($C290-V$1&lt;År1,0,U289*(1-VLOOKUP($A290,[1]Hugst!$R$5:$W$9,MATCH(ROUNDUP((V$1)/10,0)*10,[1]Hugst!$R$4:$W$4,0))))</f>
        <v>0</v>
      </c>
      <c r="W290">
        <f>IF($C290-W$1&lt;År1,0,V289*(1-VLOOKUP($A290,[1]Hugst!$R$5:$W$9,MATCH(ROUNDUP((W$1)/10,0)*10,[1]Hugst!$R$4:$W$4,0))))</f>
        <v>0</v>
      </c>
      <c r="X290">
        <f>IF($C290-X$1&lt;År1,0,W289*(1-VLOOKUP($A290,[1]Hugst!$R$5:$W$9,MATCH(ROUNDUP((X$1)/10,0)*10,[1]Hugst!$R$4:$W$4,0))))</f>
        <v>0</v>
      </c>
      <c r="Y290">
        <f>IF($C290-Y$1&lt;År1,0,X289*(1-VLOOKUP($A290,[1]Hugst!$R$5:$W$9,MATCH(ROUNDUP((Y$1)/10,0)*10,[1]Hugst!$R$4:$W$4,0))))</f>
        <v>0</v>
      </c>
      <c r="Z290">
        <f>IF($C290-Z$1&lt;År1,0,Y289*(1-VLOOKUP($A290,[1]Hugst!$R$5:$W$9,MATCH(ROUNDUP((Z$1)/10,0)*10,[1]Hugst!$R$4:$W$4,0))))</f>
        <v>0</v>
      </c>
      <c r="AA290">
        <f>IF($C290-AA$1&lt;År1,0,Z289*(1-VLOOKUP($A290,[1]Hugst!$R$5:$W$9,MATCH(ROUNDUP((AA$1)/10,0)*10,[1]Hugst!$R$4:$W$4,0))))</f>
        <v>0</v>
      </c>
      <c r="AB290">
        <f>IF($C290-AB$1&lt;År1,0,AA289*(1-VLOOKUP($A290,[1]Hugst!$R$5:$W$9,MATCH(ROUNDUP((AB$1)/10,0)*10,[1]Hugst!$R$4:$W$4,0))))</f>
        <v>0</v>
      </c>
      <c r="AC290">
        <f>IF($C290-AC$1&lt;År1,0,AB289*(1-VLOOKUP($A290,[1]Hugst!$R$5:$W$9,MATCH(ROUNDUP((AC$1)/10,0)*10,[1]Hugst!$R$4:$W$4,0))))</f>
        <v>0</v>
      </c>
      <c r="AD290">
        <f>IF($C290-AD$1&lt;År1,0,AC289*(1-VLOOKUP($A290,[1]Hugst!$R$5:$W$9,MATCH(ROUNDUP((AD$1)/10,0)*10,[1]Hugst!$R$4:$W$4,0))))</f>
        <v>0</v>
      </c>
      <c r="AE290">
        <f>IF($C290-AE$1&lt;År1,0,AD289*(1-VLOOKUP($A290,[1]Hugst!$R$5:$W$9,MATCH(ROUNDUP((AE$1)/10,0)*10,[1]Hugst!$R$4:$W$4,0))))</f>
        <v>0</v>
      </c>
      <c r="AF290">
        <f>IF($C290-AF$1&lt;År1,0,AE289*(1-VLOOKUP($A290,[1]Hugst!$R$5:$W$9,MATCH(ROUNDUP((AF$1)/10,0)*10,[1]Hugst!$R$4:$W$4,0))))</f>
        <v>0</v>
      </c>
      <c r="AG290">
        <f>IF($C290-AG$1&lt;År1,0,AF289*(1-VLOOKUP($A290,[1]Hugst!$R$5:$W$9,MATCH(ROUNDUP((AG$1)/10,0)*10,[1]Hugst!$R$4:$W$4,0))))</f>
        <v>0</v>
      </c>
      <c r="AH290">
        <f>IF($C290-AH$1&lt;År1,0,AG289*(1-VLOOKUP($A290,[1]Hugst!$R$5:$W$9,MATCH(ROUNDUP((AH$1)/10,0)*10,[1]Hugst!$R$4:$W$4,0))))</f>
        <v>0</v>
      </c>
      <c r="AI290">
        <f>IF($C290-AI$1&lt;År1,0,AH289*(1-VLOOKUP($A290,[1]Hugst!$R$5:$W$9,MATCH(ROUNDUP((AI$1)/10,0)*10,[1]Hugst!$R$4:$W$4,0))))</f>
        <v>0</v>
      </c>
      <c r="AJ290">
        <f>IF($C290-AJ$1&lt;År1,0,AI289*(1-VLOOKUP($A290,[1]Hugst!$R$5:$W$9,MATCH(ROUNDUP((AJ$1)/10,0)*10,[1]Hugst!$R$4:$W$4,0))))</f>
        <v>0</v>
      </c>
    </row>
    <row r="291" spans="1:36" x14ac:dyDescent="0.25">
      <c r="A291" t="s">
        <v>180</v>
      </c>
      <c r="B291" t="s">
        <v>24</v>
      </c>
      <c r="C291">
        <v>2030</v>
      </c>
      <c r="D291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0</v>
      </c>
      <c r="E291">
        <f t="shared" ca="1" si="7"/>
        <v>0</v>
      </c>
      <c r="F291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>
        <f ca="1">IF($C291-G$1&lt;År1,0,F290*(1-VLOOKUP($A291,[1]Hugst!$R$5:$W$9,MATCH(ROUNDUP((G$1)/10,0)*10,[1]Hugst!$R$4:$W$4,0))))</f>
        <v>0</v>
      </c>
      <c r="H291">
        <f ca="1">IF($C291-H$1&lt;År1,0,G290*(1-VLOOKUP($A291,[1]Hugst!$R$5:$W$9,MATCH(ROUNDUP((H$1)/10,0)*10,[1]Hugst!$R$4:$W$4,0))))</f>
        <v>0</v>
      </c>
      <c r="I291">
        <f ca="1">IF($C291-I$1&lt;År1,0,H290*(1-VLOOKUP($A291,[1]Hugst!$R$5:$W$9,MATCH(ROUNDUP((I$1)/10,0)*10,[1]Hugst!$R$4:$W$4,0))))</f>
        <v>0</v>
      </c>
      <c r="J291">
        <f ca="1">IF($C291-J$1&lt;År1,0,I290*(1-VLOOKUP($A291,[1]Hugst!$R$5:$W$9,MATCH(ROUNDUP((J$1)/10,0)*10,[1]Hugst!$R$4:$W$4,0))))</f>
        <v>0</v>
      </c>
      <c r="K291">
        <f ca="1">IF($C291-K$1&lt;År1,0,J290*(1-VLOOKUP($A291,[1]Hugst!$R$5:$W$9,MATCH(ROUNDUP((K$1)/10,0)*10,[1]Hugst!$R$4:$W$4,0))))</f>
        <v>0</v>
      </c>
      <c r="L291">
        <f ca="1">IF($C291-L$1&lt;År1,0,K290*(1-VLOOKUP($A291,[1]Hugst!$R$5:$W$9,MATCH(ROUNDUP((L$1)/10,0)*10,[1]Hugst!$R$4:$W$4,0))))</f>
        <v>0</v>
      </c>
      <c r="M291">
        <f ca="1">IF($C291-M$1&lt;År1,0,L290*(1-VLOOKUP($A291,[1]Hugst!$R$5:$W$9,MATCH(ROUNDUP((M$1)/10,0)*10,[1]Hugst!$R$4:$W$4,0))))</f>
        <v>0</v>
      </c>
      <c r="N291">
        <f ca="1">IF($C291-N$1&lt;År1,0,M290*(1-VLOOKUP($A291,[1]Hugst!$R$5:$W$9,MATCH(ROUNDUP((N$1)/10,0)*10,[1]Hugst!$R$4:$W$4,0))))</f>
        <v>0</v>
      </c>
      <c r="O291">
        <f ca="1">IF($C291-O$1&lt;År1,0,N290*(1-VLOOKUP($A291,[1]Hugst!$R$5:$W$9,MATCH(ROUNDUP((O$1)/10,0)*10,[1]Hugst!$R$4:$W$4,0))))</f>
        <v>0</v>
      </c>
      <c r="P291">
        <f ca="1">IF($C291-P$1&lt;År1,0,O290*(1-VLOOKUP($A291,[1]Hugst!$R$5:$W$9,MATCH(ROUNDUP((P$1)/10,0)*10,[1]Hugst!$R$4:$W$4,0))))</f>
        <v>0</v>
      </c>
      <c r="Q291">
        <f>IF($C291-Q$1&lt;År1,0,P290*(1-VLOOKUP($A291,[1]Hugst!$R$5:$W$9,MATCH(ROUNDUP((Q$1)/10,0)*10,[1]Hugst!$R$4:$W$4,0))))</f>
        <v>0</v>
      </c>
      <c r="R291">
        <f>IF($C291-R$1&lt;År1,0,Q290*(1-VLOOKUP($A291,[1]Hugst!$R$5:$W$9,MATCH(ROUNDUP((R$1)/10,0)*10,[1]Hugst!$R$4:$W$4,0))))</f>
        <v>0</v>
      </c>
      <c r="S291">
        <f>IF($C291-S$1&lt;År1,0,R290*(1-VLOOKUP($A291,[1]Hugst!$R$5:$W$9,MATCH(ROUNDUP((S$1)/10,0)*10,[1]Hugst!$R$4:$W$4,0))))</f>
        <v>0</v>
      </c>
      <c r="T291">
        <f>IF($C291-T$1&lt;År1,0,S290*(1-VLOOKUP($A291,[1]Hugst!$R$5:$W$9,MATCH(ROUNDUP((T$1)/10,0)*10,[1]Hugst!$R$4:$W$4,0))))</f>
        <v>0</v>
      </c>
      <c r="U291">
        <f>IF($C291-U$1&lt;År1,0,T290*(1-VLOOKUP($A291,[1]Hugst!$R$5:$W$9,MATCH(ROUNDUP((U$1)/10,0)*10,[1]Hugst!$R$4:$W$4,0))))</f>
        <v>0</v>
      </c>
      <c r="V291">
        <f>IF($C291-V$1&lt;År1,0,U290*(1-VLOOKUP($A291,[1]Hugst!$R$5:$W$9,MATCH(ROUNDUP((V$1)/10,0)*10,[1]Hugst!$R$4:$W$4,0))))</f>
        <v>0</v>
      </c>
      <c r="W291">
        <f>IF($C291-W$1&lt;År1,0,V290*(1-VLOOKUP($A291,[1]Hugst!$R$5:$W$9,MATCH(ROUNDUP((W$1)/10,0)*10,[1]Hugst!$R$4:$W$4,0))))</f>
        <v>0</v>
      </c>
      <c r="X291">
        <f>IF($C291-X$1&lt;År1,0,W290*(1-VLOOKUP($A291,[1]Hugst!$R$5:$W$9,MATCH(ROUNDUP((X$1)/10,0)*10,[1]Hugst!$R$4:$W$4,0))))</f>
        <v>0</v>
      </c>
      <c r="Y291">
        <f>IF($C291-Y$1&lt;År1,0,X290*(1-VLOOKUP($A291,[1]Hugst!$R$5:$W$9,MATCH(ROUNDUP((Y$1)/10,0)*10,[1]Hugst!$R$4:$W$4,0))))</f>
        <v>0</v>
      </c>
      <c r="Z291">
        <f>IF($C291-Z$1&lt;År1,0,Y290*(1-VLOOKUP($A291,[1]Hugst!$R$5:$W$9,MATCH(ROUNDUP((Z$1)/10,0)*10,[1]Hugst!$R$4:$W$4,0))))</f>
        <v>0</v>
      </c>
      <c r="AA291">
        <f>IF($C291-AA$1&lt;År1,0,Z290*(1-VLOOKUP($A291,[1]Hugst!$R$5:$W$9,MATCH(ROUNDUP((AA$1)/10,0)*10,[1]Hugst!$R$4:$W$4,0))))</f>
        <v>0</v>
      </c>
      <c r="AB291">
        <f>IF($C291-AB$1&lt;År1,0,AA290*(1-VLOOKUP($A291,[1]Hugst!$R$5:$W$9,MATCH(ROUNDUP((AB$1)/10,0)*10,[1]Hugst!$R$4:$W$4,0))))</f>
        <v>0</v>
      </c>
      <c r="AC291">
        <f>IF($C291-AC$1&lt;År1,0,AB290*(1-VLOOKUP($A291,[1]Hugst!$R$5:$W$9,MATCH(ROUNDUP((AC$1)/10,0)*10,[1]Hugst!$R$4:$W$4,0))))</f>
        <v>0</v>
      </c>
      <c r="AD291">
        <f>IF($C291-AD$1&lt;År1,0,AC290*(1-VLOOKUP($A291,[1]Hugst!$R$5:$W$9,MATCH(ROUNDUP((AD$1)/10,0)*10,[1]Hugst!$R$4:$W$4,0))))</f>
        <v>0</v>
      </c>
      <c r="AE291">
        <f>IF($C291-AE$1&lt;År1,0,AD290*(1-VLOOKUP($A291,[1]Hugst!$R$5:$W$9,MATCH(ROUNDUP((AE$1)/10,0)*10,[1]Hugst!$R$4:$W$4,0))))</f>
        <v>0</v>
      </c>
      <c r="AF291">
        <f>IF($C291-AF$1&lt;År1,0,AE290*(1-VLOOKUP($A291,[1]Hugst!$R$5:$W$9,MATCH(ROUNDUP((AF$1)/10,0)*10,[1]Hugst!$R$4:$W$4,0))))</f>
        <v>0</v>
      </c>
      <c r="AG291">
        <f>IF($C291-AG$1&lt;År1,0,AF290*(1-VLOOKUP($A291,[1]Hugst!$R$5:$W$9,MATCH(ROUNDUP((AG$1)/10,0)*10,[1]Hugst!$R$4:$W$4,0))))</f>
        <v>0</v>
      </c>
      <c r="AH291">
        <f>IF($C291-AH$1&lt;År1,0,AG290*(1-VLOOKUP($A291,[1]Hugst!$R$5:$W$9,MATCH(ROUNDUP((AH$1)/10,0)*10,[1]Hugst!$R$4:$W$4,0))))</f>
        <v>0</v>
      </c>
      <c r="AI291">
        <f>IF($C291-AI$1&lt;År1,0,AH290*(1-VLOOKUP($A291,[1]Hugst!$R$5:$W$9,MATCH(ROUNDUP((AI$1)/10,0)*10,[1]Hugst!$R$4:$W$4,0))))</f>
        <v>0</v>
      </c>
      <c r="AJ291">
        <f>IF($C291-AJ$1&lt;År1,0,AI290*(1-VLOOKUP($A291,[1]Hugst!$R$5:$W$9,MATCH(ROUNDUP((AJ$1)/10,0)*10,[1]Hugst!$R$4:$W$4,0))))</f>
        <v>0</v>
      </c>
    </row>
    <row r="292" spans="1:36" x14ac:dyDescent="0.25">
      <c r="A292" t="s">
        <v>180</v>
      </c>
      <c r="B292" t="s">
        <v>24</v>
      </c>
      <c r="C292">
        <v>2031</v>
      </c>
      <c r="D292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0</v>
      </c>
      <c r="E292">
        <f t="shared" ca="1" si="7"/>
        <v>0</v>
      </c>
      <c r="F292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>
        <f ca="1">IF($C292-G$1&lt;År1,0,F291*(1-VLOOKUP($A292,[1]Hugst!$R$5:$W$9,MATCH(ROUNDUP((G$1)/10,0)*10,[1]Hugst!$R$4:$W$4,0))))</f>
        <v>0</v>
      </c>
      <c r="H292">
        <f ca="1">IF($C292-H$1&lt;År1,0,G291*(1-VLOOKUP($A292,[1]Hugst!$R$5:$W$9,MATCH(ROUNDUP((H$1)/10,0)*10,[1]Hugst!$R$4:$W$4,0))))</f>
        <v>0</v>
      </c>
      <c r="I292">
        <f ca="1">IF($C292-I$1&lt;År1,0,H291*(1-VLOOKUP($A292,[1]Hugst!$R$5:$W$9,MATCH(ROUNDUP((I$1)/10,0)*10,[1]Hugst!$R$4:$W$4,0))))</f>
        <v>0</v>
      </c>
      <c r="J292">
        <f ca="1">IF($C292-J$1&lt;År1,0,I291*(1-VLOOKUP($A292,[1]Hugst!$R$5:$W$9,MATCH(ROUNDUP((J$1)/10,0)*10,[1]Hugst!$R$4:$W$4,0))))</f>
        <v>0</v>
      </c>
      <c r="K292">
        <f ca="1">IF($C292-K$1&lt;År1,0,J291*(1-VLOOKUP($A292,[1]Hugst!$R$5:$W$9,MATCH(ROUNDUP((K$1)/10,0)*10,[1]Hugst!$R$4:$W$4,0))))</f>
        <v>0</v>
      </c>
      <c r="L292">
        <f ca="1">IF($C292-L$1&lt;År1,0,K291*(1-VLOOKUP($A292,[1]Hugst!$R$5:$W$9,MATCH(ROUNDUP((L$1)/10,0)*10,[1]Hugst!$R$4:$W$4,0))))</f>
        <v>0</v>
      </c>
      <c r="M292">
        <f ca="1">IF($C292-M$1&lt;År1,0,L291*(1-VLOOKUP($A292,[1]Hugst!$R$5:$W$9,MATCH(ROUNDUP((M$1)/10,0)*10,[1]Hugst!$R$4:$W$4,0))))</f>
        <v>0</v>
      </c>
      <c r="N292">
        <f ca="1">IF($C292-N$1&lt;År1,0,M291*(1-VLOOKUP($A292,[1]Hugst!$R$5:$W$9,MATCH(ROUNDUP((N$1)/10,0)*10,[1]Hugst!$R$4:$W$4,0))))</f>
        <v>0</v>
      </c>
      <c r="O292">
        <f ca="1">IF($C292-O$1&lt;År1,0,N291*(1-VLOOKUP($A292,[1]Hugst!$R$5:$W$9,MATCH(ROUNDUP((O$1)/10,0)*10,[1]Hugst!$R$4:$W$4,0))))</f>
        <v>0</v>
      </c>
      <c r="P292">
        <f ca="1">IF($C292-P$1&lt;År1,0,O291*(1-VLOOKUP($A292,[1]Hugst!$R$5:$W$9,MATCH(ROUNDUP((P$1)/10,0)*10,[1]Hugst!$R$4:$W$4,0))))</f>
        <v>0</v>
      </c>
      <c r="Q292">
        <f ca="1">IF($C292-Q$1&lt;År1,0,P291*(1-VLOOKUP($A292,[1]Hugst!$R$5:$W$9,MATCH(ROUNDUP((Q$1)/10,0)*10,[1]Hugst!$R$4:$W$4,0))))</f>
        <v>0</v>
      </c>
      <c r="R292">
        <f>IF($C292-R$1&lt;År1,0,Q291*(1-VLOOKUP($A292,[1]Hugst!$R$5:$W$9,MATCH(ROUNDUP((R$1)/10,0)*10,[1]Hugst!$R$4:$W$4,0))))</f>
        <v>0</v>
      </c>
      <c r="S292">
        <f>IF($C292-S$1&lt;År1,0,R291*(1-VLOOKUP($A292,[1]Hugst!$R$5:$W$9,MATCH(ROUNDUP((S$1)/10,0)*10,[1]Hugst!$R$4:$W$4,0))))</f>
        <v>0</v>
      </c>
      <c r="T292">
        <f>IF($C292-T$1&lt;År1,0,S291*(1-VLOOKUP($A292,[1]Hugst!$R$5:$W$9,MATCH(ROUNDUP((T$1)/10,0)*10,[1]Hugst!$R$4:$W$4,0))))</f>
        <v>0</v>
      </c>
      <c r="U292">
        <f>IF($C292-U$1&lt;År1,0,T291*(1-VLOOKUP($A292,[1]Hugst!$R$5:$W$9,MATCH(ROUNDUP((U$1)/10,0)*10,[1]Hugst!$R$4:$W$4,0))))</f>
        <v>0</v>
      </c>
      <c r="V292">
        <f>IF($C292-V$1&lt;År1,0,U291*(1-VLOOKUP($A292,[1]Hugst!$R$5:$W$9,MATCH(ROUNDUP((V$1)/10,0)*10,[1]Hugst!$R$4:$W$4,0))))</f>
        <v>0</v>
      </c>
      <c r="W292">
        <f>IF($C292-W$1&lt;År1,0,V291*(1-VLOOKUP($A292,[1]Hugst!$R$5:$W$9,MATCH(ROUNDUP((W$1)/10,0)*10,[1]Hugst!$R$4:$W$4,0))))</f>
        <v>0</v>
      </c>
      <c r="X292">
        <f>IF($C292-X$1&lt;År1,0,W291*(1-VLOOKUP($A292,[1]Hugst!$R$5:$W$9,MATCH(ROUNDUP((X$1)/10,0)*10,[1]Hugst!$R$4:$W$4,0))))</f>
        <v>0</v>
      </c>
      <c r="Y292">
        <f>IF($C292-Y$1&lt;År1,0,X291*(1-VLOOKUP($A292,[1]Hugst!$R$5:$W$9,MATCH(ROUNDUP((Y$1)/10,0)*10,[1]Hugst!$R$4:$W$4,0))))</f>
        <v>0</v>
      </c>
      <c r="Z292">
        <f>IF($C292-Z$1&lt;År1,0,Y291*(1-VLOOKUP($A292,[1]Hugst!$R$5:$W$9,MATCH(ROUNDUP((Z$1)/10,0)*10,[1]Hugst!$R$4:$W$4,0))))</f>
        <v>0</v>
      </c>
      <c r="AA292">
        <f>IF($C292-AA$1&lt;År1,0,Z291*(1-VLOOKUP($A292,[1]Hugst!$R$5:$W$9,MATCH(ROUNDUP((AA$1)/10,0)*10,[1]Hugst!$R$4:$W$4,0))))</f>
        <v>0</v>
      </c>
      <c r="AB292">
        <f>IF($C292-AB$1&lt;År1,0,AA291*(1-VLOOKUP($A292,[1]Hugst!$R$5:$W$9,MATCH(ROUNDUP((AB$1)/10,0)*10,[1]Hugst!$R$4:$W$4,0))))</f>
        <v>0</v>
      </c>
      <c r="AC292">
        <f>IF($C292-AC$1&lt;År1,0,AB291*(1-VLOOKUP($A292,[1]Hugst!$R$5:$W$9,MATCH(ROUNDUP((AC$1)/10,0)*10,[1]Hugst!$R$4:$W$4,0))))</f>
        <v>0</v>
      </c>
      <c r="AD292">
        <f>IF($C292-AD$1&lt;År1,0,AC291*(1-VLOOKUP($A292,[1]Hugst!$R$5:$W$9,MATCH(ROUNDUP((AD$1)/10,0)*10,[1]Hugst!$R$4:$W$4,0))))</f>
        <v>0</v>
      </c>
      <c r="AE292">
        <f>IF($C292-AE$1&lt;År1,0,AD291*(1-VLOOKUP($A292,[1]Hugst!$R$5:$W$9,MATCH(ROUNDUP((AE$1)/10,0)*10,[1]Hugst!$R$4:$W$4,0))))</f>
        <v>0</v>
      </c>
      <c r="AF292">
        <f>IF($C292-AF$1&lt;År1,0,AE291*(1-VLOOKUP($A292,[1]Hugst!$R$5:$W$9,MATCH(ROUNDUP((AF$1)/10,0)*10,[1]Hugst!$R$4:$W$4,0))))</f>
        <v>0</v>
      </c>
      <c r="AG292">
        <f>IF($C292-AG$1&lt;År1,0,AF291*(1-VLOOKUP($A292,[1]Hugst!$R$5:$W$9,MATCH(ROUNDUP((AG$1)/10,0)*10,[1]Hugst!$R$4:$W$4,0))))</f>
        <v>0</v>
      </c>
      <c r="AH292">
        <f>IF($C292-AH$1&lt;År1,0,AG291*(1-VLOOKUP($A292,[1]Hugst!$R$5:$W$9,MATCH(ROUNDUP((AH$1)/10,0)*10,[1]Hugst!$R$4:$W$4,0))))</f>
        <v>0</v>
      </c>
      <c r="AI292">
        <f>IF($C292-AI$1&lt;År1,0,AH291*(1-VLOOKUP($A292,[1]Hugst!$R$5:$W$9,MATCH(ROUNDUP((AI$1)/10,0)*10,[1]Hugst!$R$4:$W$4,0))))</f>
        <v>0</v>
      </c>
      <c r="AJ292">
        <f>IF($C292-AJ$1&lt;År1,0,AI291*(1-VLOOKUP($A292,[1]Hugst!$R$5:$W$9,MATCH(ROUNDUP((AJ$1)/10,0)*10,[1]Hugst!$R$4:$W$4,0))))</f>
        <v>0</v>
      </c>
    </row>
    <row r="293" spans="1:36" x14ac:dyDescent="0.25">
      <c r="A293" t="s">
        <v>180</v>
      </c>
      <c r="B293" t="s">
        <v>24</v>
      </c>
      <c r="C293">
        <v>2032</v>
      </c>
      <c r="D293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0</v>
      </c>
      <c r="E293">
        <f t="shared" ca="1" si="7"/>
        <v>0</v>
      </c>
      <c r="F293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>
        <f ca="1">IF($C293-G$1&lt;År1,0,F292*(1-VLOOKUP($A293,[1]Hugst!$R$5:$W$9,MATCH(ROUNDUP((G$1)/10,0)*10,[1]Hugst!$R$4:$W$4,0))))</f>
        <v>0</v>
      </c>
      <c r="H293">
        <f ca="1">IF($C293-H$1&lt;År1,0,G292*(1-VLOOKUP($A293,[1]Hugst!$R$5:$W$9,MATCH(ROUNDUP((H$1)/10,0)*10,[1]Hugst!$R$4:$W$4,0))))</f>
        <v>0</v>
      </c>
      <c r="I293">
        <f ca="1">IF($C293-I$1&lt;År1,0,H292*(1-VLOOKUP($A293,[1]Hugst!$R$5:$W$9,MATCH(ROUNDUP((I$1)/10,0)*10,[1]Hugst!$R$4:$W$4,0))))</f>
        <v>0</v>
      </c>
      <c r="J293">
        <f ca="1">IF($C293-J$1&lt;År1,0,I292*(1-VLOOKUP($A293,[1]Hugst!$R$5:$W$9,MATCH(ROUNDUP((J$1)/10,0)*10,[1]Hugst!$R$4:$W$4,0))))</f>
        <v>0</v>
      </c>
      <c r="K293">
        <f ca="1">IF($C293-K$1&lt;År1,0,J292*(1-VLOOKUP($A293,[1]Hugst!$R$5:$W$9,MATCH(ROUNDUP((K$1)/10,0)*10,[1]Hugst!$R$4:$W$4,0))))</f>
        <v>0</v>
      </c>
      <c r="L293">
        <f ca="1">IF($C293-L$1&lt;År1,0,K292*(1-VLOOKUP($A293,[1]Hugst!$R$5:$W$9,MATCH(ROUNDUP((L$1)/10,0)*10,[1]Hugst!$R$4:$W$4,0))))</f>
        <v>0</v>
      </c>
      <c r="M293">
        <f ca="1">IF($C293-M$1&lt;År1,0,L292*(1-VLOOKUP($A293,[1]Hugst!$R$5:$W$9,MATCH(ROUNDUP((M$1)/10,0)*10,[1]Hugst!$R$4:$W$4,0))))</f>
        <v>0</v>
      </c>
      <c r="N293">
        <f ca="1">IF($C293-N$1&lt;År1,0,M292*(1-VLOOKUP($A293,[1]Hugst!$R$5:$W$9,MATCH(ROUNDUP((N$1)/10,0)*10,[1]Hugst!$R$4:$W$4,0))))</f>
        <v>0</v>
      </c>
      <c r="O293">
        <f ca="1">IF($C293-O$1&lt;År1,0,N292*(1-VLOOKUP($A293,[1]Hugst!$R$5:$W$9,MATCH(ROUNDUP((O$1)/10,0)*10,[1]Hugst!$R$4:$W$4,0))))</f>
        <v>0</v>
      </c>
      <c r="P293">
        <f ca="1">IF($C293-P$1&lt;År1,0,O292*(1-VLOOKUP($A293,[1]Hugst!$R$5:$W$9,MATCH(ROUNDUP((P$1)/10,0)*10,[1]Hugst!$R$4:$W$4,0))))</f>
        <v>0</v>
      </c>
      <c r="Q293">
        <f ca="1">IF($C293-Q$1&lt;År1,0,P292*(1-VLOOKUP($A293,[1]Hugst!$R$5:$W$9,MATCH(ROUNDUP((Q$1)/10,0)*10,[1]Hugst!$R$4:$W$4,0))))</f>
        <v>0</v>
      </c>
      <c r="R293">
        <f ca="1">IF($C293-R$1&lt;År1,0,Q292*(1-VLOOKUP($A293,[1]Hugst!$R$5:$W$9,MATCH(ROUNDUP((R$1)/10,0)*10,[1]Hugst!$R$4:$W$4,0))))</f>
        <v>0</v>
      </c>
      <c r="S293">
        <f>IF($C293-S$1&lt;År1,0,R292*(1-VLOOKUP($A293,[1]Hugst!$R$5:$W$9,MATCH(ROUNDUP((S$1)/10,0)*10,[1]Hugst!$R$4:$W$4,0))))</f>
        <v>0</v>
      </c>
      <c r="T293">
        <f>IF($C293-T$1&lt;År1,0,S292*(1-VLOOKUP($A293,[1]Hugst!$R$5:$W$9,MATCH(ROUNDUP((T$1)/10,0)*10,[1]Hugst!$R$4:$W$4,0))))</f>
        <v>0</v>
      </c>
      <c r="U293">
        <f>IF($C293-U$1&lt;År1,0,T292*(1-VLOOKUP($A293,[1]Hugst!$R$5:$W$9,MATCH(ROUNDUP((U$1)/10,0)*10,[1]Hugst!$R$4:$W$4,0))))</f>
        <v>0</v>
      </c>
      <c r="V293">
        <f>IF($C293-V$1&lt;År1,0,U292*(1-VLOOKUP($A293,[1]Hugst!$R$5:$W$9,MATCH(ROUNDUP((V$1)/10,0)*10,[1]Hugst!$R$4:$W$4,0))))</f>
        <v>0</v>
      </c>
      <c r="W293">
        <f>IF($C293-W$1&lt;År1,0,V292*(1-VLOOKUP($A293,[1]Hugst!$R$5:$W$9,MATCH(ROUNDUP((W$1)/10,0)*10,[1]Hugst!$R$4:$W$4,0))))</f>
        <v>0</v>
      </c>
      <c r="X293">
        <f>IF($C293-X$1&lt;År1,0,W292*(1-VLOOKUP($A293,[1]Hugst!$R$5:$W$9,MATCH(ROUNDUP((X$1)/10,0)*10,[1]Hugst!$R$4:$W$4,0))))</f>
        <v>0</v>
      </c>
      <c r="Y293">
        <f>IF($C293-Y$1&lt;År1,0,X292*(1-VLOOKUP($A293,[1]Hugst!$R$5:$W$9,MATCH(ROUNDUP((Y$1)/10,0)*10,[1]Hugst!$R$4:$W$4,0))))</f>
        <v>0</v>
      </c>
      <c r="Z293">
        <f>IF($C293-Z$1&lt;År1,0,Y292*(1-VLOOKUP($A293,[1]Hugst!$R$5:$W$9,MATCH(ROUNDUP((Z$1)/10,0)*10,[1]Hugst!$R$4:$W$4,0))))</f>
        <v>0</v>
      </c>
      <c r="AA293">
        <f>IF($C293-AA$1&lt;År1,0,Z292*(1-VLOOKUP($A293,[1]Hugst!$R$5:$W$9,MATCH(ROUNDUP((AA$1)/10,0)*10,[1]Hugst!$R$4:$W$4,0))))</f>
        <v>0</v>
      </c>
      <c r="AB293">
        <f>IF($C293-AB$1&lt;År1,0,AA292*(1-VLOOKUP($A293,[1]Hugst!$R$5:$W$9,MATCH(ROUNDUP((AB$1)/10,0)*10,[1]Hugst!$R$4:$W$4,0))))</f>
        <v>0</v>
      </c>
      <c r="AC293">
        <f>IF($C293-AC$1&lt;År1,0,AB292*(1-VLOOKUP($A293,[1]Hugst!$R$5:$W$9,MATCH(ROUNDUP((AC$1)/10,0)*10,[1]Hugst!$R$4:$W$4,0))))</f>
        <v>0</v>
      </c>
      <c r="AD293">
        <f>IF($C293-AD$1&lt;År1,0,AC292*(1-VLOOKUP($A293,[1]Hugst!$R$5:$W$9,MATCH(ROUNDUP((AD$1)/10,0)*10,[1]Hugst!$R$4:$W$4,0))))</f>
        <v>0</v>
      </c>
      <c r="AE293">
        <f>IF($C293-AE$1&lt;År1,0,AD292*(1-VLOOKUP($A293,[1]Hugst!$R$5:$W$9,MATCH(ROUNDUP((AE$1)/10,0)*10,[1]Hugst!$R$4:$W$4,0))))</f>
        <v>0</v>
      </c>
      <c r="AF293">
        <f>IF($C293-AF$1&lt;År1,0,AE292*(1-VLOOKUP($A293,[1]Hugst!$R$5:$W$9,MATCH(ROUNDUP((AF$1)/10,0)*10,[1]Hugst!$R$4:$W$4,0))))</f>
        <v>0</v>
      </c>
      <c r="AG293">
        <f>IF($C293-AG$1&lt;År1,0,AF292*(1-VLOOKUP($A293,[1]Hugst!$R$5:$W$9,MATCH(ROUNDUP((AG$1)/10,0)*10,[1]Hugst!$R$4:$W$4,0))))</f>
        <v>0</v>
      </c>
      <c r="AH293">
        <f>IF($C293-AH$1&lt;År1,0,AG292*(1-VLOOKUP($A293,[1]Hugst!$R$5:$W$9,MATCH(ROUNDUP((AH$1)/10,0)*10,[1]Hugst!$R$4:$W$4,0))))</f>
        <v>0</v>
      </c>
      <c r="AI293">
        <f>IF($C293-AI$1&lt;År1,0,AH292*(1-VLOOKUP($A293,[1]Hugst!$R$5:$W$9,MATCH(ROUNDUP((AI$1)/10,0)*10,[1]Hugst!$R$4:$W$4,0))))</f>
        <v>0</v>
      </c>
      <c r="AJ293">
        <f>IF($C293-AJ$1&lt;År1,0,AI292*(1-VLOOKUP($A293,[1]Hugst!$R$5:$W$9,MATCH(ROUNDUP((AJ$1)/10,0)*10,[1]Hugst!$R$4:$W$4,0))))</f>
        <v>0</v>
      </c>
    </row>
    <row r="294" spans="1:36" x14ac:dyDescent="0.25">
      <c r="A294" t="s">
        <v>180</v>
      </c>
      <c r="B294" t="s">
        <v>24</v>
      </c>
      <c r="C294">
        <v>2033</v>
      </c>
      <c r="D294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0</v>
      </c>
      <c r="E294">
        <f t="shared" ca="1" si="7"/>
        <v>0</v>
      </c>
      <c r="F294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>
        <f ca="1">IF($C294-G$1&lt;År1,0,F293*(1-VLOOKUP($A294,[1]Hugst!$R$5:$W$9,MATCH(ROUNDUP((G$1)/10,0)*10,[1]Hugst!$R$4:$W$4,0))))</f>
        <v>0</v>
      </c>
      <c r="H294">
        <f ca="1">IF($C294-H$1&lt;År1,0,G293*(1-VLOOKUP($A294,[1]Hugst!$R$5:$W$9,MATCH(ROUNDUP((H$1)/10,0)*10,[1]Hugst!$R$4:$W$4,0))))</f>
        <v>0</v>
      </c>
      <c r="I294">
        <f ca="1">IF($C294-I$1&lt;År1,0,H293*(1-VLOOKUP($A294,[1]Hugst!$R$5:$W$9,MATCH(ROUNDUP((I$1)/10,0)*10,[1]Hugst!$R$4:$W$4,0))))</f>
        <v>0</v>
      </c>
      <c r="J294">
        <f ca="1">IF($C294-J$1&lt;År1,0,I293*(1-VLOOKUP($A294,[1]Hugst!$R$5:$W$9,MATCH(ROUNDUP((J$1)/10,0)*10,[1]Hugst!$R$4:$W$4,0))))</f>
        <v>0</v>
      </c>
      <c r="K294">
        <f ca="1">IF($C294-K$1&lt;År1,0,J293*(1-VLOOKUP($A294,[1]Hugst!$R$5:$W$9,MATCH(ROUNDUP((K$1)/10,0)*10,[1]Hugst!$R$4:$W$4,0))))</f>
        <v>0</v>
      </c>
      <c r="L294">
        <f ca="1">IF($C294-L$1&lt;År1,0,K293*(1-VLOOKUP($A294,[1]Hugst!$R$5:$W$9,MATCH(ROUNDUP((L$1)/10,0)*10,[1]Hugst!$R$4:$W$4,0))))</f>
        <v>0</v>
      </c>
      <c r="M294">
        <f ca="1">IF($C294-M$1&lt;År1,0,L293*(1-VLOOKUP($A294,[1]Hugst!$R$5:$W$9,MATCH(ROUNDUP((M$1)/10,0)*10,[1]Hugst!$R$4:$W$4,0))))</f>
        <v>0</v>
      </c>
      <c r="N294">
        <f ca="1">IF($C294-N$1&lt;År1,0,M293*(1-VLOOKUP($A294,[1]Hugst!$R$5:$W$9,MATCH(ROUNDUP((N$1)/10,0)*10,[1]Hugst!$R$4:$W$4,0))))</f>
        <v>0</v>
      </c>
      <c r="O294">
        <f ca="1">IF($C294-O$1&lt;År1,0,N293*(1-VLOOKUP($A294,[1]Hugst!$R$5:$W$9,MATCH(ROUNDUP((O$1)/10,0)*10,[1]Hugst!$R$4:$W$4,0))))</f>
        <v>0</v>
      </c>
      <c r="P294">
        <f ca="1">IF($C294-P$1&lt;År1,0,O293*(1-VLOOKUP($A294,[1]Hugst!$R$5:$W$9,MATCH(ROUNDUP((P$1)/10,0)*10,[1]Hugst!$R$4:$W$4,0))))</f>
        <v>0</v>
      </c>
      <c r="Q294">
        <f ca="1">IF($C294-Q$1&lt;År1,0,P293*(1-VLOOKUP($A294,[1]Hugst!$R$5:$W$9,MATCH(ROUNDUP((Q$1)/10,0)*10,[1]Hugst!$R$4:$W$4,0))))</f>
        <v>0</v>
      </c>
      <c r="R294">
        <f ca="1">IF($C294-R$1&lt;År1,0,Q293*(1-VLOOKUP($A294,[1]Hugst!$R$5:$W$9,MATCH(ROUNDUP((R$1)/10,0)*10,[1]Hugst!$R$4:$W$4,0))))</f>
        <v>0</v>
      </c>
      <c r="S294">
        <f ca="1">IF($C294-S$1&lt;År1,0,R293*(1-VLOOKUP($A294,[1]Hugst!$R$5:$W$9,MATCH(ROUNDUP((S$1)/10,0)*10,[1]Hugst!$R$4:$W$4,0))))</f>
        <v>0</v>
      </c>
      <c r="T294">
        <f>IF($C294-T$1&lt;År1,0,S293*(1-VLOOKUP($A294,[1]Hugst!$R$5:$W$9,MATCH(ROUNDUP((T$1)/10,0)*10,[1]Hugst!$R$4:$W$4,0))))</f>
        <v>0</v>
      </c>
      <c r="U294">
        <f>IF($C294-U$1&lt;År1,0,T293*(1-VLOOKUP($A294,[1]Hugst!$R$5:$W$9,MATCH(ROUNDUP((U$1)/10,0)*10,[1]Hugst!$R$4:$W$4,0))))</f>
        <v>0</v>
      </c>
      <c r="V294">
        <f>IF($C294-V$1&lt;År1,0,U293*(1-VLOOKUP($A294,[1]Hugst!$R$5:$W$9,MATCH(ROUNDUP((V$1)/10,0)*10,[1]Hugst!$R$4:$W$4,0))))</f>
        <v>0</v>
      </c>
      <c r="W294">
        <f>IF($C294-W$1&lt;År1,0,V293*(1-VLOOKUP($A294,[1]Hugst!$R$5:$W$9,MATCH(ROUNDUP((W$1)/10,0)*10,[1]Hugst!$R$4:$W$4,0))))</f>
        <v>0</v>
      </c>
      <c r="X294">
        <f>IF($C294-X$1&lt;År1,0,W293*(1-VLOOKUP($A294,[1]Hugst!$R$5:$W$9,MATCH(ROUNDUP((X$1)/10,0)*10,[1]Hugst!$R$4:$W$4,0))))</f>
        <v>0</v>
      </c>
      <c r="Y294">
        <f>IF($C294-Y$1&lt;År1,0,X293*(1-VLOOKUP($A294,[1]Hugst!$R$5:$W$9,MATCH(ROUNDUP((Y$1)/10,0)*10,[1]Hugst!$R$4:$W$4,0))))</f>
        <v>0</v>
      </c>
      <c r="Z294">
        <f>IF($C294-Z$1&lt;År1,0,Y293*(1-VLOOKUP($A294,[1]Hugst!$R$5:$W$9,MATCH(ROUNDUP((Z$1)/10,0)*10,[1]Hugst!$R$4:$W$4,0))))</f>
        <v>0</v>
      </c>
      <c r="AA294">
        <f>IF($C294-AA$1&lt;År1,0,Z293*(1-VLOOKUP($A294,[1]Hugst!$R$5:$W$9,MATCH(ROUNDUP((AA$1)/10,0)*10,[1]Hugst!$R$4:$W$4,0))))</f>
        <v>0</v>
      </c>
      <c r="AB294">
        <f>IF($C294-AB$1&lt;År1,0,AA293*(1-VLOOKUP($A294,[1]Hugst!$R$5:$W$9,MATCH(ROUNDUP((AB$1)/10,0)*10,[1]Hugst!$R$4:$W$4,0))))</f>
        <v>0</v>
      </c>
      <c r="AC294">
        <f>IF($C294-AC$1&lt;År1,0,AB293*(1-VLOOKUP($A294,[1]Hugst!$R$5:$W$9,MATCH(ROUNDUP((AC$1)/10,0)*10,[1]Hugst!$R$4:$W$4,0))))</f>
        <v>0</v>
      </c>
      <c r="AD294">
        <f>IF($C294-AD$1&lt;År1,0,AC293*(1-VLOOKUP($A294,[1]Hugst!$R$5:$W$9,MATCH(ROUNDUP((AD$1)/10,0)*10,[1]Hugst!$R$4:$W$4,0))))</f>
        <v>0</v>
      </c>
      <c r="AE294">
        <f>IF($C294-AE$1&lt;År1,0,AD293*(1-VLOOKUP($A294,[1]Hugst!$R$5:$W$9,MATCH(ROUNDUP((AE$1)/10,0)*10,[1]Hugst!$R$4:$W$4,0))))</f>
        <v>0</v>
      </c>
      <c r="AF294">
        <f>IF($C294-AF$1&lt;År1,0,AE293*(1-VLOOKUP($A294,[1]Hugst!$R$5:$W$9,MATCH(ROUNDUP((AF$1)/10,0)*10,[1]Hugst!$R$4:$W$4,0))))</f>
        <v>0</v>
      </c>
      <c r="AG294">
        <f>IF($C294-AG$1&lt;År1,0,AF293*(1-VLOOKUP($A294,[1]Hugst!$R$5:$W$9,MATCH(ROUNDUP((AG$1)/10,0)*10,[1]Hugst!$R$4:$W$4,0))))</f>
        <v>0</v>
      </c>
      <c r="AH294">
        <f>IF($C294-AH$1&lt;År1,0,AG293*(1-VLOOKUP($A294,[1]Hugst!$R$5:$W$9,MATCH(ROUNDUP((AH$1)/10,0)*10,[1]Hugst!$R$4:$W$4,0))))</f>
        <v>0</v>
      </c>
      <c r="AI294">
        <f>IF($C294-AI$1&lt;År1,0,AH293*(1-VLOOKUP($A294,[1]Hugst!$R$5:$W$9,MATCH(ROUNDUP((AI$1)/10,0)*10,[1]Hugst!$R$4:$W$4,0))))</f>
        <v>0</v>
      </c>
      <c r="AJ294">
        <f>IF($C294-AJ$1&lt;År1,0,AI293*(1-VLOOKUP($A294,[1]Hugst!$R$5:$W$9,MATCH(ROUNDUP((AJ$1)/10,0)*10,[1]Hugst!$R$4:$W$4,0))))</f>
        <v>0</v>
      </c>
    </row>
    <row r="295" spans="1:36" x14ac:dyDescent="0.25">
      <c r="A295" t="s">
        <v>180</v>
      </c>
      <c r="B295" t="s">
        <v>24</v>
      </c>
      <c r="C295">
        <v>2034</v>
      </c>
      <c r="D295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0</v>
      </c>
      <c r="E295">
        <f t="shared" ca="1" si="7"/>
        <v>0</v>
      </c>
      <c r="F295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>
        <f ca="1">IF($C295-G$1&lt;År1,0,F294*(1-VLOOKUP($A295,[1]Hugst!$R$5:$W$9,MATCH(ROUNDUP((G$1)/10,0)*10,[1]Hugst!$R$4:$W$4,0))))</f>
        <v>0</v>
      </c>
      <c r="H295">
        <f ca="1">IF($C295-H$1&lt;År1,0,G294*(1-VLOOKUP($A295,[1]Hugst!$R$5:$W$9,MATCH(ROUNDUP((H$1)/10,0)*10,[1]Hugst!$R$4:$W$4,0))))</f>
        <v>0</v>
      </c>
      <c r="I295">
        <f ca="1">IF($C295-I$1&lt;År1,0,H294*(1-VLOOKUP($A295,[1]Hugst!$R$5:$W$9,MATCH(ROUNDUP((I$1)/10,0)*10,[1]Hugst!$R$4:$W$4,0))))</f>
        <v>0</v>
      </c>
      <c r="J295">
        <f ca="1">IF($C295-J$1&lt;År1,0,I294*(1-VLOOKUP($A295,[1]Hugst!$R$5:$W$9,MATCH(ROUNDUP((J$1)/10,0)*10,[1]Hugst!$R$4:$W$4,0))))</f>
        <v>0</v>
      </c>
      <c r="K295">
        <f ca="1">IF($C295-K$1&lt;År1,0,J294*(1-VLOOKUP($A295,[1]Hugst!$R$5:$W$9,MATCH(ROUNDUP((K$1)/10,0)*10,[1]Hugst!$R$4:$W$4,0))))</f>
        <v>0</v>
      </c>
      <c r="L295">
        <f ca="1">IF($C295-L$1&lt;År1,0,K294*(1-VLOOKUP($A295,[1]Hugst!$R$5:$W$9,MATCH(ROUNDUP((L$1)/10,0)*10,[1]Hugst!$R$4:$W$4,0))))</f>
        <v>0</v>
      </c>
      <c r="M295">
        <f ca="1">IF($C295-M$1&lt;År1,0,L294*(1-VLOOKUP($A295,[1]Hugst!$R$5:$W$9,MATCH(ROUNDUP((M$1)/10,0)*10,[1]Hugst!$R$4:$W$4,0))))</f>
        <v>0</v>
      </c>
      <c r="N295">
        <f ca="1">IF($C295-N$1&lt;År1,0,M294*(1-VLOOKUP($A295,[1]Hugst!$R$5:$W$9,MATCH(ROUNDUP((N$1)/10,0)*10,[1]Hugst!$R$4:$W$4,0))))</f>
        <v>0</v>
      </c>
      <c r="O295">
        <f ca="1">IF($C295-O$1&lt;År1,0,N294*(1-VLOOKUP($A295,[1]Hugst!$R$5:$W$9,MATCH(ROUNDUP((O$1)/10,0)*10,[1]Hugst!$R$4:$W$4,0))))</f>
        <v>0</v>
      </c>
      <c r="P295">
        <f ca="1">IF($C295-P$1&lt;År1,0,O294*(1-VLOOKUP($A295,[1]Hugst!$R$5:$W$9,MATCH(ROUNDUP((P$1)/10,0)*10,[1]Hugst!$R$4:$W$4,0))))</f>
        <v>0</v>
      </c>
      <c r="Q295">
        <f ca="1">IF($C295-Q$1&lt;År1,0,P294*(1-VLOOKUP($A295,[1]Hugst!$R$5:$W$9,MATCH(ROUNDUP((Q$1)/10,0)*10,[1]Hugst!$R$4:$W$4,0))))</f>
        <v>0</v>
      </c>
      <c r="R295">
        <f ca="1">IF($C295-R$1&lt;År1,0,Q294*(1-VLOOKUP($A295,[1]Hugst!$R$5:$W$9,MATCH(ROUNDUP((R$1)/10,0)*10,[1]Hugst!$R$4:$W$4,0))))</f>
        <v>0</v>
      </c>
      <c r="S295">
        <f ca="1">IF($C295-S$1&lt;År1,0,R294*(1-VLOOKUP($A295,[1]Hugst!$R$5:$W$9,MATCH(ROUNDUP((S$1)/10,0)*10,[1]Hugst!$R$4:$W$4,0))))</f>
        <v>0</v>
      </c>
      <c r="T295">
        <f ca="1">IF($C295-T$1&lt;År1,0,S294*(1-VLOOKUP($A295,[1]Hugst!$R$5:$W$9,MATCH(ROUNDUP((T$1)/10,0)*10,[1]Hugst!$R$4:$W$4,0))))</f>
        <v>0</v>
      </c>
      <c r="U295">
        <f>IF($C295-U$1&lt;År1,0,T294*(1-VLOOKUP($A295,[1]Hugst!$R$5:$W$9,MATCH(ROUNDUP((U$1)/10,0)*10,[1]Hugst!$R$4:$W$4,0))))</f>
        <v>0</v>
      </c>
      <c r="V295">
        <f>IF($C295-V$1&lt;År1,0,U294*(1-VLOOKUP($A295,[1]Hugst!$R$5:$W$9,MATCH(ROUNDUP((V$1)/10,0)*10,[1]Hugst!$R$4:$W$4,0))))</f>
        <v>0</v>
      </c>
      <c r="W295">
        <f>IF($C295-W$1&lt;År1,0,V294*(1-VLOOKUP($A295,[1]Hugst!$R$5:$W$9,MATCH(ROUNDUP((W$1)/10,0)*10,[1]Hugst!$R$4:$W$4,0))))</f>
        <v>0</v>
      </c>
      <c r="X295">
        <f>IF($C295-X$1&lt;År1,0,W294*(1-VLOOKUP($A295,[1]Hugst!$R$5:$W$9,MATCH(ROUNDUP((X$1)/10,0)*10,[1]Hugst!$R$4:$W$4,0))))</f>
        <v>0</v>
      </c>
      <c r="Y295">
        <f>IF($C295-Y$1&lt;År1,0,X294*(1-VLOOKUP($A295,[1]Hugst!$R$5:$W$9,MATCH(ROUNDUP((Y$1)/10,0)*10,[1]Hugst!$R$4:$W$4,0))))</f>
        <v>0</v>
      </c>
      <c r="Z295">
        <f>IF($C295-Z$1&lt;År1,0,Y294*(1-VLOOKUP($A295,[1]Hugst!$R$5:$W$9,MATCH(ROUNDUP((Z$1)/10,0)*10,[1]Hugst!$R$4:$W$4,0))))</f>
        <v>0</v>
      </c>
      <c r="AA295">
        <f>IF($C295-AA$1&lt;År1,0,Z294*(1-VLOOKUP($A295,[1]Hugst!$R$5:$W$9,MATCH(ROUNDUP((AA$1)/10,0)*10,[1]Hugst!$R$4:$W$4,0))))</f>
        <v>0</v>
      </c>
      <c r="AB295">
        <f>IF($C295-AB$1&lt;År1,0,AA294*(1-VLOOKUP($A295,[1]Hugst!$R$5:$W$9,MATCH(ROUNDUP((AB$1)/10,0)*10,[1]Hugst!$R$4:$W$4,0))))</f>
        <v>0</v>
      </c>
      <c r="AC295">
        <f>IF($C295-AC$1&lt;År1,0,AB294*(1-VLOOKUP($A295,[1]Hugst!$R$5:$W$9,MATCH(ROUNDUP((AC$1)/10,0)*10,[1]Hugst!$R$4:$W$4,0))))</f>
        <v>0</v>
      </c>
      <c r="AD295">
        <f>IF($C295-AD$1&lt;År1,0,AC294*(1-VLOOKUP($A295,[1]Hugst!$R$5:$W$9,MATCH(ROUNDUP((AD$1)/10,0)*10,[1]Hugst!$R$4:$W$4,0))))</f>
        <v>0</v>
      </c>
      <c r="AE295">
        <f>IF($C295-AE$1&lt;År1,0,AD294*(1-VLOOKUP($A295,[1]Hugst!$R$5:$W$9,MATCH(ROUNDUP((AE$1)/10,0)*10,[1]Hugst!$R$4:$W$4,0))))</f>
        <v>0</v>
      </c>
      <c r="AF295">
        <f>IF($C295-AF$1&lt;År1,0,AE294*(1-VLOOKUP($A295,[1]Hugst!$R$5:$W$9,MATCH(ROUNDUP((AF$1)/10,0)*10,[1]Hugst!$R$4:$W$4,0))))</f>
        <v>0</v>
      </c>
      <c r="AG295">
        <f>IF($C295-AG$1&lt;År1,0,AF294*(1-VLOOKUP($A295,[1]Hugst!$R$5:$W$9,MATCH(ROUNDUP((AG$1)/10,0)*10,[1]Hugst!$R$4:$W$4,0))))</f>
        <v>0</v>
      </c>
      <c r="AH295">
        <f>IF($C295-AH$1&lt;År1,0,AG294*(1-VLOOKUP($A295,[1]Hugst!$R$5:$W$9,MATCH(ROUNDUP((AH$1)/10,0)*10,[1]Hugst!$R$4:$W$4,0))))</f>
        <v>0</v>
      </c>
      <c r="AI295">
        <f>IF($C295-AI$1&lt;År1,0,AH294*(1-VLOOKUP($A295,[1]Hugst!$R$5:$W$9,MATCH(ROUNDUP((AI$1)/10,0)*10,[1]Hugst!$R$4:$W$4,0))))</f>
        <v>0</v>
      </c>
      <c r="AJ295">
        <f>IF($C295-AJ$1&lt;År1,0,AI294*(1-VLOOKUP($A295,[1]Hugst!$R$5:$W$9,MATCH(ROUNDUP((AJ$1)/10,0)*10,[1]Hugst!$R$4:$W$4,0))))</f>
        <v>0</v>
      </c>
    </row>
    <row r="296" spans="1:36" x14ac:dyDescent="0.25">
      <c r="A296" t="s">
        <v>180</v>
      </c>
      <c r="B296" t="s">
        <v>24</v>
      </c>
      <c r="C296">
        <v>2035</v>
      </c>
      <c r="D296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0</v>
      </c>
      <c r="E296">
        <f t="shared" ca="1" si="7"/>
        <v>0</v>
      </c>
      <c r="F296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>
        <f ca="1">IF($C296-G$1&lt;År1,0,F295*(1-VLOOKUP($A296,[1]Hugst!$R$5:$W$9,MATCH(ROUNDUP((G$1)/10,0)*10,[1]Hugst!$R$4:$W$4,0))))</f>
        <v>0</v>
      </c>
      <c r="H296">
        <f ca="1">IF($C296-H$1&lt;År1,0,G295*(1-VLOOKUP($A296,[1]Hugst!$R$5:$W$9,MATCH(ROUNDUP((H$1)/10,0)*10,[1]Hugst!$R$4:$W$4,0))))</f>
        <v>0</v>
      </c>
      <c r="I296">
        <f ca="1">IF($C296-I$1&lt;År1,0,H295*(1-VLOOKUP($A296,[1]Hugst!$R$5:$W$9,MATCH(ROUNDUP((I$1)/10,0)*10,[1]Hugst!$R$4:$W$4,0))))</f>
        <v>0</v>
      </c>
      <c r="J296">
        <f ca="1">IF($C296-J$1&lt;År1,0,I295*(1-VLOOKUP($A296,[1]Hugst!$R$5:$W$9,MATCH(ROUNDUP((J$1)/10,0)*10,[1]Hugst!$R$4:$W$4,0))))</f>
        <v>0</v>
      </c>
      <c r="K296">
        <f ca="1">IF($C296-K$1&lt;År1,0,J295*(1-VLOOKUP($A296,[1]Hugst!$R$5:$W$9,MATCH(ROUNDUP((K$1)/10,0)*10,[1]Hugst!$R$4:$W$4,0))))</f>
        <v>0</v>
      </c>
      <c r="L296">
        <f ca="1">IF($C296-L$1&lt;År1,0,K295*(1-VLOOKUP($A296,[1]Hugst!$R$5:$W$9,MATCH(ROUNDUP((L$1)/10,0)*10,[1]Hugst!$R$4:$W$4,0))))</f>
        <v>0</v>
      </c>
      <c r="M296">
        <f ca="1">IF($C296-M$1&lt;År1,0,L295*(1-VLOOKUP($A296,[1]Hugst!$R$5:$W$9,MATCH(ROUNDUP((M$1)/10,0)*10,[1]Hugst!$R$4:$W$4,0))))</f>
        <v>0</v>
      </c>
      <c r="N296">
        <f ca="1">IF($C296-N$1&lt;År1,0,M295*(1-VLOOKUP($A296,[1]Hugst!$R$5:$W$9,MATCH(ROUNDUP((N$1)/10,0)*10,[1]Hugst!$R$4:$W$4,0))))</f>
        <v>0</v>
      </c>
      <c r="O296">
        <f ca="1">IF($C296-O$1&lt;År1,0,N295*(1-VLOOKUP($A296,[1]Hugst!$R$5:$W$9,MATCH(ROUNDUP((O$1)/10,0)*10,[1]Hugst!$R$4:$W$4,0))))</f>
        <v>0</v>
      </c>
      <c r="P296">
        <f ca="1">IF($C296-P$1&lt;År1,0,O295*(1-VLOOKUP($A296,[1]Hugst!$R$5:$W$9,MATCH(ROUNDUP((P$1)/10,0)*10,[1]Hugst!$R$4:$W$4,0))))</f>
        <v>0</v>
      </c>
      <c r="Q296">
        <f ca="1">IF($C296-Q$1&lt;År1,0,P295*(1-VLOOKUP($A296,[1]Hugst!$R$5:$W$9,MATCH(ROUNDUP((Q$1)/10,0)*10,[1]Hugst!$R$4:$W$4,0))))</f>
        <v>0</v>
      </c>
      <c r="R296">
        <f ca="1">IF($C296-R$1&lt;År1,0,Q295*(1-VLOOKUP($A296,[1]Hugst!$R$5:$W$9,MATCH(ROUNDUP((R$1)/10,0)*10,[1]Hugst!$R$4:$W$4,0))))</f>
        <v>0</v>
      </c>
      <c r="S296">
        <f ca="1">IF($C296-S$1&lt;År1,0,R295*(1-VLOOKUP($A296,[1]Hugst!$R$5:$W$9,MATCH(ROUNDUP((S$1)/10,0)*10,[1]Hugst!$R$4:$W$4,0))))</f>
        <v>0</v>
      </c>
      <c r="T296">
        <f ca="1">IF($C296-T$1&lt;År1,0,S295*(1-VLOOKUP($A296,[1]Hugst!$R$5:$W$9,MATCH(ROUNDUP((T$1)/10,0)*10,[1]Hugst!$R$4:$W$4,0))))</f>
        <v>0</v>
      </c>
      <c r="U296">
        <f ca="1">IF($C296-U$1&lt;År1,0,T295*(1-VLOOKUP($A296,[1]Hugst!$R$5:$W$9,MATCH(ROUNDUP((U$1)/10,0)*10,[1]Hugst!$R$4:$W$4,0))))</f>
        <v>0</v>
      </c>
      <c r="V296">
        <f>IF($C296-V$1&lt;År1,0,U295*(1-VLOOKUP($A296,[1]Hugst!$R$5:$W$9,MATCH(ROUNDUP((V$1)/10,0)*10,[1]Hugst!$R$4:$W$4,0))))</f>
        <v>0</v>
      </c>
      <c r="W296">
        <f>IF($C296-W$1&lt;År1,0,V295*(1-VLOOKUP($A296,[1]Hugst!$R$5:$W$9,MATCH(ROUNDUP((W$1)/10,0)*10,[1]Hugst!$R$4:$W$4,0))))</f>
        <v>0</v>
      </c>
      <c r="X296">
        <f>IF($C296-X$1&lt;År1,0,W295*(1-VLOOKUP($A296,[1]Hugst!$R$5:$W$9,MATCH(ROUNDUP((X$1)/10,0)*10,[1]Hugst!$R$4:$W$4,0))))</f>
        <v>0</v>
      </c>
      <c r="Y296">
        <f>IF($C296-Y$1&lt;År1,0,X295*(1-VLOOKUP($A296,[1]Hugst!$R$5:$W$9,MATCH(ROUNDUP((Y$1)/10,0)*10,[1]Hugst!$R$4:$W$4,0))))</f>
        <v>0</v>
      </c>
      <c r="Z296">
        <f>IF($C296-Z$1&lt;År1,0,Y295*(1-VLOOKUP($A296,[1]Hugst!$R$5:$W$9,MATCH(ROUNDUP((Z$1)/10,0)*10,[1]Hugst!$R$4:$W$4,0))))</f>
        <v>0</v>
      </c>
      <c r="AA296">
        <f>IF($C296-AA$1&lt;År1,0,Z295*(1-VLOOKUP($A296,[1]Hugst!$R$5:$W$9,MATCH(ROUNDUP((AA$1)/10,0)*10,[1]Hugst!$R$4:$W$4,0))))</f>
        <v>0</v>
      </c>
      <c r="AB296">
        <f>IF($C296-AB$1&lt;År1,0,AA295*(1-VLOOKUP($A296,[1]Hugst!$R$5:$W$9,MATCH(ROUNDUP((AB$1)/10,0)*10,[1]Hugst!$R$4:$W$4,0))))</f>
        <v>0</v>
      </c>
      <c r="AC296">
        <f>IF($C296-AC$1&lt;År1,0,AB295*(1-VLOOKUP($A296,[1]Hugst!$R$5:$W$9,MATCH(ROUNDUP((AC$1)/10,0)*10,[1]Hugst!$R$4:$W$4,0))))</f>
        <v>0</v>
      </c>
      <c r="AD296">
        <f>IF($C296-AD$1&lt;År1,0,AC295*(1-VLOOKUP($A296,[1]Hugst!$R$5:$W$9,MATCH(ROUNDUP((AD$1)/10,0)*10,[1]Hugst!$R$4:$W$4,0))))</f>
        <v>0</v>
      </c>
      <c r="AE296">
        <f>IF($C296-AE$1&lt;År1,0,AD295*(1-VLOOKUP($A296,[1]Hugst!$R$5:$W$9,MATCH(ROUNDUP((AE$1)/10,0)*10,[1]Hugst!$R$4:$W$4,0))))</f>
        <v>0</v>
      </c>
      <c r="AF296">
        <f>IF($C296-AF$1&lt;År1,0,AE295*(1-VLOOKUP($A296,[1]Hugst!$R$5:$W$9,MATCH(ROUNDUP((AF$1)/10,0)*10,[1]Hugst!$R$4:$W$4,0))))</f>
        <v>0</v>
      </c>
      <c r="AG296">
        <f>IF($C296-AG$1&lt;År1,0,AF295*(1-VLOOKUP($A296,[1]Hugst!$R$5:$W$9,MATCH(ROUNDUP((AG$1)/10,0)*10,[1]Hugst!$R$4:$W$4,0))))</f>
        <v>0</v>
      </c>
      <c r="AH296">
        <f>IF($C296-AH$1&lt;År1,0,AG295*(1-VLOOKUP($A296,[1]Hugst!$R$5:$W$9,MATCH(ROUNDUP((AH$1)/10,0)*10,[1]Hugst!$R$4:$W$4,0))))</f>
        <v>0</v>
      </c>
      <c r="AI296">
        <f>IF($C296-AI$1&lt;År1,0,AH295*(1-VLOOKUP($A296,[1]Hugst!$R$5:$W$9,MATCH(ROUNDUP((AI$1)/10,0)*10,[1]Hugst!$R$4:$W$4,0))))</f>
        <v>0</v>
      </c>
      <c r="AJ296">
        <f>IF($C296-AJ$1&lt;År1,0,AI295*(1-VLOOKUP($A296,[1]Hugst!$R$5:$W$9,MATCH(ROUNDUP((AJ$1)/10,0)*10,[1]Hugst!$R$4:$W$4,0))))</f>
        <v>0</v>
      </c>
    </row>
    <row r="297" spans="1:36" x14ac:dyDescent="0.25">
      <c r="A297" t="s">
        <v>180</v>
      </c>
      <c r="B297" t="s">
        <v>24</v>
      </c>
      <c r="C297">
        <v>2036</v>
      </c>
      <c r="D297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0</v>
      </c>
      <c r="E297">
        <f t="shared" ca="1" si="7"/>
        <v>0</v>
      </c>
      <c r="F297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>
        <f ca="1">IF($C297-G$1&lt;År1,0,F296*(1-VLOOKUP($A297,[1]Hugst!$R$5:$W$9,MATCH(ROUNDUP((G$1)/10,0)*10,[1]Hugst!$R$4:$W$4,0))))</f>
        <v>0</v>
      </c>
      <c r="H297">
        <f ca="1">IF($C297-H$1&lt;År1,0,G296*(1-VLOOKUP($A297,[1]Hugst!$R$5:$W$9,MATCH(ROUNDUP((H$1)/10,0)*10,[1]Hugst!$R$4:$W$4,0))))</f>
        <v>0</v>
      </c>
      <c r="I297">
        <f ca="1">IF($C297-I$1&lt;År1,0,H296*(1-VLOOKUP($A297,[1]Hugst!$R$5:$W$9,MATCH(ROUNDUP((I$1)/10,0)*10,[1]Hugst!$R$4:$W$4,0))))</f>
        <v>0</v>
      </c>
      <c r="J297">
        <f ca="1">IF($C297-J$1&lt;År1,0,I296*(1-VLOOKUP($A297,[1]Hugst!$R$5:$W$9,MATCH(ROUNDUP((J$1)/10,0)*10,[1]Hugst!$R$4:$W$4,0))))</f>
        <v>0</v>
      </c>
      <c r="K297">
        <f ca="1">IF($C297-K$1&lt;År1,0,J296*(1-VLOOKUP($A297,[1]Hugst!$R$5:$W$9,MATCH(ROUNDUP((K$1)/10,0)*10,[1]Hugst!$R$4:$W$4,0))))</f>
        <v>0</v>
      </c>
      <c r="L297">
        <f ca="1">IF($C297-L$1&lt;År1,0,K296*(1-VLOOKUP($A297,[1]Hugst!$R$5:$W$9,MATCH(ROUNDUP((L$1)/10,0)*10,[1]Hugst!$R$4:$W$4,0))))</f>
        <v>0</v>
      </c>
      <c r="M297">
        <f ca="1">IF($C297-M$1&lt;År1,0,L296*(1-VLOOKUP($A297,[1]Hugst!$R$5:$W$9,MATCH(ROUNDUP((M$1)/10,0)*10,[1]Hugst!$R$4:$W$4,0))))</f>
        <v>0</v>
      </c>
      <c r="N297">
        <f ca="1">IF($C297-N$1&lt;År1,0,M296*(1-VLOOKUP($A297,[1]Hugst!$R$5:$W$9,MATCH(ROUNDUP((N$1)/10,0)*10,[1]Hugst!$R$4:$W$4,0))))</f>
        <v>0</v>
      </c>
      <c r="O297">
        <f ca="1">IF($C297-O$1&lt;År1,0,N296*(1-VLOOKUP($A297,[1]Hugst!$R$5:$W$9,MATCH(ROUNDUP((O$1)/10,0)*10,[1]Hugst!$R$4:$W$4,0))))</f>
        <v>0</v>
      </c>
      <c r="P297">
        <f ca="1">IF($C297-P$1&lt;År1,0,O296*(1-VLOOKUP($A297,[1]Hugst!$R$5:$W$9,MATCH(ROUNDUP((P$1)/10,0)*10,[1]Hugst!$R$4:$W$4,0))))</f>
        <v>0</v>
      </c>
      <c r="Q297">
        <f ca="1">IF($C297-Q$1&lt;År1,0,P296*(1-VLOOKUP($A297,[1]Hugst!$R$5:$W$9,MATCH(ROUNDUP((Q$1)/10,0)*10,[1]Hugst!$R$4:$W$4,0))))</f>
        <v>0</v>
      </c>
      <c r="R297">
        <f ca="1">IF($C297-R$1&lt;År1,0,Q296*(1-VLOOKUP($A297,[1]Hugst!$R$5:$W$9,MATCH(ROUNDUP((R$1)/10,0)*10,[1]Hugst!$R$4:$W$4,0))))</f>
        <v>0</v>
      </c>
      <c r="S297">
        <f ca="1">IF($C297-S$1&lt;År1,0,R296*(1-VLOOKUP($A297,[1]Hugst!$R$5:$W$9,MATCH(ROUNDUP((S$1)/10,0)*10,[1]Hugst!$R$4:$W$4,0))))</f>
        <v>0</v>
      </c>
      <c r="T297">
        <f ca="1">IF($C297-T$1&lt;År1,0,S296*(1-VLOOKUP($A297,[1]Hugst!$R$5:$W$9,MATCH(ROUNDUP((T$1)/10,0)*10,[1]Hugst!$R$4:$W$4,0))))</f>
        <v>0</v>
      </c>
      <c r="U297">
        <f ca="1">IF($C297-U$1&lt;År1,0,T296*(1-VLOOKUP($A297,[1]Hugst!$R$5:$W$9,MATCH(ROUNDUP((U$1)/10,0)*10,[1]Hugst!$R$4:$W$4,0))))</f>
        <v>0</v>
      </c>
      <c r="V297">
        <f ca="1">IF($C297-V$1&lt;År1,0,U296*(1-VLOOKUP($A297,[1]Hugst!$R$5:$W$9,MATCH(ROUNDUP((V$1)/10,0)*10,[1]Hugst!$R$4:$W$4,0))))</f>
        <v>0</v>
      </c>
      <c r="W297">
        <f>IF($C297-W$1&lt;År1,0,V296*(1-VLOOKUP($A297,[1]Hugst!$R$5:$W$9,MATCH(ROUNDUP((W$1)/10,0)*10,[1]Hugst!$R$4:$W$4,0))))</f>
        <v>0</v>
      </c>
      <c r="X297">
        <f>IF($C297-X$1&lt;År1,0,W296*(1-VLOOKUP($A297,[1]Hugst!$R$5:$W$9,MATCH(ROUNDUP((X$1)/10,0)*10,[1]Hugst!$R$4:$W$4,0))))</f>
        <v>0</v>
      </c>
      <c r="Y297">
        <f>IF($C297-Y$1&lt;År1,0,X296*(1-VLOOKUP($A297,[1]Hugst!$R$5:$W$9,MATCH(ROUNDUP((Y$1)/10,0)*10,[1]Hugst!$R$4:$W$4,0))))</f>
        <v>0</v>
      </c>
      <c r="Z297">
        <f>IF($C297-Z$1&lt;År1,0,Y296*(1-VLOOKUP($A297,[1]Hugst!$R$5:$W$9,MATCH(ROUNDUP((Z$1)/10,0)*10,[1]Hugst!$R$4:$W$4,0))))</f>
        <v>0</v>
      </c>
      <c r="AA297">
        <f>IF($C297-AA$1&lt;År1,0,Z296*(1-VLOOKUP($A297,[1]Hugst!$R$5:$W$9,MATCH(ROUNDUP((AA$1)/10,0)*10,[1]Hugst!$R$4:$W$4,0))))</f>
        <v>0</v>
      </c>
      <c r="AB297">
        <f>IF($C297-AB$1&lt;År1,0,AA296*(1-VLOOKUP($A297,[1]Hugst!$R$5:$W$9,MATCH(ROUNDUP((AB$1)/10,0)*10,[1]Hugst!$R$4:$W$4,0))))</f>
        <v>0</v>
      </c>
      <c r="AC297">
        <f>IF($C297-AC$1&lt;År1,0,AB296*(1-VLOOKUP($A297,[1]Hugst!$R$5:$W$9,MATCH(ROUNDUP((AC$1)/10,0)*10,[1]Hugst!$R$4:$W$4,0))))</f>
        <v>0</v>
      </c>
      <c r="AD297">
        <f>IF($C297-AD$1&lt;År1,0,AC296*(1-VLOOKUP($A297,[1]Hugst!$R$5:$W$9,MATCH(ROUNDUP((AD$1)/10,0)*10,[1]Hugst!$R$4:$W$4,0))))</f>
        <v>0</v>
      </c>
      <c r="AE297">
        <f>IF($C297-AE$1&lt;År1,0,AD296*(1-VLOOKUP($A297,[1]Hugst!$R$5:$W$9,MATCH(ROUNDUP((AE$1)/10,0)*10,[1]Hugst!$R$4:$W$4,0))))</f>
        <v>0</v>
      </c>
      <c r="AF297">
        <f>IF($C297-AF$1&lt;År1,0,AE296*(1-VLOOKUP($A297,[1]Hugst!$R$5:$W$9,MATCH(ROUNDUP((AF$1)/10,0)*10,[1]Hugst!$R$4:$W$4,0))))</f>
        <v>0</v>
      </c>
      <c r="AG297">
        <f>IF($C297-AG$1&lt;År1,0,AF296*(1-VLOOKUP($A297,[1]Hugst!$R$5:$W$9,MATCH(ROUNDUP((AG$1)/10,0)*10,[1]Hugst!$R$4:$W$4,0))))</f>
        <v>0</v>
      </c>
      <c r="AH297">
        <f>IF($C297-AH$1&lt;År1,0,AG296*(1-VLOOKUP($A297,[1]Hugst!$R$5:$W$9,MATCH(ROUNDUP((AH$1)/10,0)*10,[1]Hugst!$R$4:$W$4,0))))</f>
        <v>0</v>
      </c>
      <c r="AI297">
        <f>IF($C297-AI$1&lt;År1,0,AH296*(1-VLOOKUP($A297,[1]Hugst!$R$5:$W$9,MATCH(ROUNDUP((AI$1)/10,0)*10,[1]Hugst!$R$4:$W$4,0))))</f>
        <v>0</v>
      </c>
      <c r="AJ297">
        <f>IF($C297-AJ$1&lt;År1,0,AI296*(1-VLOOKUP($A297,[1]Hugst!$R$5:$W$9,MATCH(ROUNDUP((AJ$1)/10,0)*10,[1]Hugst!$R$4:$W$4,0))))</f>
        <v>0</v>
      </c>
    </row>
    <row r="298" spans="1:36" x14ac:dyDescent="0.25">
      <c r="A298" t="s">
        <v>180</v>
      </c>
      <c r="B298" t="s">
        <v>24</v>
      </c>
      <c r="C298">
        <v>2037</v>
      </c>
      <c r="D29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0</v>
      </c>
      <c r="E298">
        <f t="shared" ca="1" si="7"/>
        <v>0</v>
      </c>
      <c r="F29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>
        <f ca="1">IF($C298-G$1&lt;År1,0,F297*(1-VLOOKUP($A298,[1]Hugst!$R$5:$W$9,MATCH(ROUNDUP((G$1)/10,0)*10,[1]Hugst!$R$4:$W$4,0))))</f>
        <v>0</v>
      </c>
      <c r="H298">
        <f ca="1">IF($C298-H$1&lt;År1,0,G297*(1-VLOOKUP($A298,[1]Hugst!$R$5:$W$9,MATCH(ROUNDUP((H$1)/10,0)*10,[1]Hugst!$R$4:$W$4,0))))</f>
        <v>0</v>
      </c>
      <c r="I298">
        <f ca="1">IF($C298-I$1&lt;År1,0,H297*(1-VLOOKUP($A298,[1]Hugst!$R$5:$W$9,MATCH(ROUNDUP((I$1)/10,0)*10,[1]Hugst!$R$4:$W$4,0))))</f>
        <v>0</v>
      </c>
      <c r="J298">
        <f ca="1">IF($C298-J$1&lt;År1,0,I297*(1-VLOOKUP($A298,[1]Hugst!$R$5:$W$9,MATCH(ROUNDUP((J$1)/10,0)*10,[1]Hugst!$R$4:$W$4,0))))</f>
        <v>0</v>
      </c>
      <c r="K298">
        <f ca="1">IF($C298-K$1&lt;År1,0,J297*(1-VLOOKUP($A298,[1]Hugst!$R$5:$W$9,MATCH(ROUNDUP((K$1)/10,0)*10,[1]Hugst!$R$4:$W$4,0))))</f>
        <v>0</v>
      </c>
      <c r="L298">
        <f ca="1">IF($C298-L$1&lt;År1,0,K297*(1-VLOOKUP($A298,[1]Hugst!$R$5:$W$9,MATCH(ROUNDUP((L$1)/10,0)*10,[1]Hugst!$R$4:$W$4,0))))</f>
        <v>0</v>
      </c>
      <c r="M298">
        <f ca="1">IF($C298-M$1&lt;År1,0,L297*(1-VLOOKUP($A298,[1]Hugst!$R$5:$W$9,MATCH(ROUNDUP((M$1)/10,0)*10,[1]Hugst!$R$4:$W$4,0))))</f>
        <v>0</v>
      </c>
      <c r="N298">
        <f ca="1">IF($C298-N$1&lt;År1,0,M297*(1-VLOOKUP($A298,[1]Hugst!$R$5:$W$9,MATCH(ROUNDUP((N$1)/10,0)*10,[1]Hugst!$R$4:$W$4,0))))</f>
        <v>0</v>
      </c>
      <c r="O298">
        <f ca="1">IF($C298-O$1&lt;År1,0,N297*(1-VLOOKUP($A298,[1]Hugst!$R$5:$W$9,MATCH(ROUNDUP((O$1)/10,0)*10,[1]Hugst!$R$4:$W$4,0))))</f>
        <v>0</v>
      </c>
      <c r="P298">
        <f ca="1">IF($C298-P$1&lt;År1,0,O297*(1-VLOOKUP($A298,[1]Hugst!$R$5:$W$9,MATCH(ROUNDUP((P$1)/10,0)*10,[1]Hugst!$R$4:$W$4,0))))</f>
        <v>0</v>
      </c>
      <c r="Q298">
        <f ca="1">IF($C298-Q$1&lt;År1,0,P297*(1-VLOOKUP($A298,[1]Hugst!$R$5:$W$9,MATCH(ROUNDUP((Q$1)/10,0)*10,[1]Hugst!$R$4:$W$4,0))))</f>
        <v>0</v>
      </c>
      <c r="R298">
        <f ca="1">IF($C298-R$1&lt;År1,0,Q297*(1-VLOOKUP($A298,[1]Hugst!$R$5:$W$9,MATCH(ROUNDUP((R$1)/10,0)*10,[1]Hugst!$R$4:$W$4,0))))</f>
        <v>0</v>
      </c>
      <c r="S298">
        <f ca="1">IF($C298-S$1&lt;År1,0,R297*(1-VLOOKUP($A298,[1]Hugst!$R$5:$W$9,MATCH(ROUNDUP((S$1)/10,0)*10,[1]Hugst!$R$4:$W$4,0))))</f>
        <v>0</v>
      </c>
      <c r="T298">
        <f ca="1">IF($C298-T$1&lt;År1,0,S297*(1-VLOOKUP($A298,[1]Hugst!$R$5:$W$9,MATCH(ROUNDUP((T$1)/10,0)*10,[1]Hugst!$R$4:$W$4,0))))</f>
        <v>0</v>
      </c>
      <c r="U298">
        <f ca="1">IF($C298-U$1&lt;År1,0,T297*(1-VLOOKUP($A298,[1]Hugst!$R$5:$W$9,MATCH(ROUNDUP((U$1)/10,0)*10,[1]Hugst!$R$4:$W$4,0))))</f>
        <v>0</v>
      </c>
      <c r="V298">
        <f ca="1">IF($C298-V$1&lt;År1,0,U297*(1-VLOOKUP($A298,[1]Hugst!$R$5:$W$9,MATCH(ROUNDUP((V$1)/10,0)*10,[1]Hugst!$R$4:$W$4,0))))</f>
        <v>0</v>
      </c>
      <c r="W298">
        <f ca="1">IF($C298-W$1&lt;År1,0,V297*(1-VLOOKUP($A298,[1]Hugst!$R$5:$W$9,MATCH(ROUNDUP((W$1)/10,0)*10,[1]Hugst!$R$4:$W$4,0))))</f>
        <v>0</v>
      </c>
      <c r="X298">
        <f>IF($C298-X$1&lt;År1,0,W297*(1-VLOOKUP($A298,[1]Hugst!$R$5:$W$9,MATCH(ROUNDUP((X$1)/10,0)*10,[1]Hugst!$R$4:$W$4,0))))</f>
        <v>0</v>
      </c>
      <c r="Y298">
        <f>IF($C298-Y$1&lt;År1,0,X297*(1-VLOOKUP($A298,[1]Hugst!$R$5:$W$9,MATCH(ROUNDUP((Y$1)/10,0)*10,[1]Hugst!$R$4:$W$4,0))))</f>
        <v>0</v>
      </c>
      <c r="Z298">
        <f>IF($C298-Z$1&lt;År1,0,Y297*(1-VLOOKUP($A298,[1]Hugst!$R$5:$W$9,MATCH(ROUNDUP((Z$1)/10,0)*10,[1]Hugst!$R$4:$W$4,0))))</f>
        <v>0</v>
      </c>
      <c r="AA298">
        <f>IF($C298-AA$1&lt;År1,0,Z297*(1-VLOOKUP($A298,[1]Hugst!$R$5:$W$9,MATCH(ROUNDUP((AA$1)/10,0)*10,[1]Hugst!$R$4:$W$4,0))))</f>
        <v>0</v>
      </c>
      <c r="AB298">
        <f>IF($C298-AB$1&lt;År1,0,AA297*(1-VLOOKUP($A298,[1]Hugst!$R$5:$W$9,MATCH(ROUNDUP((AB$1)/10,0)*10,[1]Hugst!$R$4:$W$4,0))))</f>
        <v>0</v>
      </c>
      <c r="AC298">
        <f>IF($C298-AC$1&lt;År1,0,AB297*(1-VLOOKUP($A298,[1]Hugst!$R$5:$W$9,MATCH(ROUNDUP((AC$1)/10,0)*10,[1]Hugst!$R$4:$W$4,0))))</f>
        <v>0</v>
      </c>
      <c r="AD298">
        <f>IF($C298-AD$1&lt;År1,0,AC297*(1-VLOOKUP($A298,[1]Hugst!$R$5:$W$9,MATCH(ROUNDUP((AD$1)/10,0)*10,[1]Hugst!$R$4:$W$4,0))))</f>
        <v>0</v>
      </c>
      <c r="AE298">
        <f>IF($C298-AE$1&lt;År1,0,AD297*(1-VLOOKUP($A298,[1]Hugst!$R$5:$W$9,MATCH(ROUNDUP((AE$1)/10,0)*10,[1]Hugst!$R$4:$W$4,0))))</f>
        <v>0</v>
      </c>
      <c r="AF298">
        <f>IF($C298-AF$1&lt;År1,0,AE297*(1-VLOOKUP($A298,[1]Hugst!$R$5:$W$9,MATCH(ROUNDUP((AF$1)/10,0)*10,[1]Hugst!$R$4:$W$4,0))))</f>
        <v>0</v>
      </c>
      <c r="AG298">
        <f>IF($C298-AG$1&lt;År1,0,AF297*(1-VLOOKUP($A298,[1]Hugst!$R$5:$W$9,MATCH(ROUNDUP((AG$1)/10,0)*10,[1]Hugst!$R$4:$W$4,0))))</f>
        <v>0</v>
      </c>
      <c r="AH298">
        <f>IF($C298-AH$1&lt;År1,0,AG297*(1-VLOOKUP($A298,[1]Hugst!$R$5:$W$9,MATCH(ROUNDUP((AH$1)/10,0)*10,[1]Hugst!$R$4:$W$4,0))))</f>
        <v>0</v>
      </c>
      <c r="AI298">
        <f>IF($C298-AI$1&lt;År1,0,AH297*(1-VLOOKUP($A298,[1]Hugst!$R$5:$W$9,MATCH(ROUNDUP((AI$1)/10,0)*10,[1]Hugst!$R$4:$W$4,0))))</f>
        <v>0</v>
      </c>
      <c r="AJ298">
        <f>IF($C298-AJ$1&lt;År1,0,AI297*(1-VLOOKUP($A298,[1]Hugst!$R$5:$W$9,MATCH(ROUNDUP((AJ$1)/10,0)*10,[1]Hugst!$R$4:$W$4,0))))</f>
        <v>0</v>
      </c>
    </row>
    <row r="299" spans="1:36" x14ac:dyDescent="0.25">
      <c r="A299" t="s">
        <v>180</v>
      </c>
      <c r="B299" t="s">
        <v>24</v>
      </c>
      <c r="C299">
        <v>2038</v>
      </c>
      <c r="D299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0</v>
      </c>
      <c r="E299">
        <f t="shared" ca="1" si="7"/>
        <v>0</v>
      </c>
      <c r="F29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>
        <f ca="1">IF($C299-G$1&lt;År1,0,F298*(1-VLOOKUP($A299,[1]Hugst!$R$5:$W$9,MATCH(ROUNDUP((G$1)/10,0)*10,[1]Hugst!$R$4:$W$4,0))))</f>
        <v>0</v>
      </c>
      <c r="H299">
        <f ca="1">IF($C299-H$1&lt;År1,0,G298*(1-VLOOKUP($A299,[1]Hugst!$R$5:$W$9,MATCH(ROUNDUP((H$1)/10,0)*10,[1]Hugst!$R$4:$W$4,0))))</f>
        <v>0</v>
      </c>
      <c r="I299">
        <f ca="1">IF($C299-I$1&lt;År1,0,H298*(1-VLOOKUP($A299,[1]Hugst!$R$5:$W$9,MATCH(ROUNDUP((I$1)/10,0)*10,[1]Hugst!$R$4:$W$4,0))))</f>
        <v>0</v>
      </c>
      <c r="J299">
        <f ca="1">IF($C299-J$1&lt;År1,0,I298*(1-VLOOKUP($A299,[1]Hugst!$R$5:$W$9,MATCH(ROUNDUP((J$1)/10,0)*10,[1]Hugst!$R$4:$W$4,0))))</f>
        <v>0</v>
      </c>
      <c r="K299">
        <f ca="1">IF($C299-K$1&lt;År1,0,J298*(1-VLOOKUP($A299,[1]Hugst!$R$5:$W$9,MATCH(ROUNDUP((K$1)/10,0)*10,[1]Hugst!$R$4:$W$4,0))))</f>
        <v>0</v>
      </c>
      <c r="L299">
        <f ca="1">IF($C299-L$1&lt;År1,0,K298*(1-VLOOKUP($A299,[1]Hugst!$R$5:$W$9,MATCH(ROUNDUP((L$1)/10,0)*10,[1]Hugst!$R$4:$W$4,0))))</f>
        <v>0</v>
      </c>
      <c r="M299">
        <f ca="1">IF($C299-M$1&lt;År1,0,L298*(1-VLOOKUP($A299,[1]Hugst!$R$5:$W$9,MATCH(ROUNDUP((M$1)/10,0)*10,[1]Hugst!$R$4:$W$4,0))))</f>
        <v>0</v>
      </c>
      <c r="N299">
        <f ca="1">IF($C299-N$1&lt;År1,0,M298*(1-VLOOKUP($A299,[1]Hugst!$R$5:$W$9,MATCH(ROUNDUP((N$1)/10,0)*10,[1]Hugst!$R$4:$W$4,0))))</f>
        <v>0</v>
      </c>
      <c r="O299">
        <f ca="1">IF($C299-O$1&lt;År1,0,N298*(1-VLOOKUP($A299,[1]Hugst!$R$5:$W$9,MATCH(ROUNDUP((O$1)/10,0)*10,[1]Hugst!$R$4:$W$4,0))))</f>
        <v>0</v>
      </c>
      <c r="P299">
        <f ca="1">IF($C299-P$1&lt;År1,0,O298*(1-VLOOKUP($A299,[1]Hugst!$R$5:$W$9,MATCH(ROUNDUP((P$1)/10,0)*10,[1]Hugst!$R$4:$W$4,0))))</f>
        <v>0</v>
      </c>
      <c r="Q299">
        <f ca="1">IF($C299-Q$1&lt;År1,0,P298*(1-VLOOKUP($A299,[1]Hugst!$R$5:$W$9,MATCH(ROUNDUP((Q$1)/10,0)*10,[1]Hugst!$R$4:$W$4,0))))</f>
        <v>0</v>
      </c>
      <c r="R299">
        <f ca="1">IF($C299-R$1&lt;År1,0,Q298*(1-VLOOKUP($A299,[1]Hugst!$R$5:$W$9,MATCH(ROUNDUP((R$1)/10,0)*10,[1]Hugst!$R$4:$W$4,0))))</f>
        <v>0</v>
      </c>
      <c r="S299">
        <f ca="1">IF($C299-S$1&lt;År1,0,R298*(1-VLOOKUP($A299,[1]Hugst!$R$5:$W$9,MATCH(ROUNDUP((S$1)/10,0)*10,[1]Hugst!$R$4:$W$4,0))))</f>
        <v>0</v>
      </c>
      <c r="T299">
        <f ca="1">IF($C299-T$1&lt;År1,0,S298*(1-VLOOKUP($A299,[1]Hugst!$R$5:$W$9,MATCH(ROUNDUP((T$1)/10,0)*10,[1]Hugst!$R$4:$W$4,0))))</f>
        <v>0</v>
      </c>
      <c r="U299">
        <f ca="1">IF($C299-U$1&lt;År1,0,T298*(1-VLOOKUP($A299,[1]Hugst!$R$5:$W$9,MATCH(ROUNDUP((U$1)/10,0)*10,[1]Hugst!$R$4:$W$4,0))))</f>
        <v>0</v>
      </c>
      <c r="V299">
        <f ca="1">IF($C299-V$1&lt;År1,0,U298*(1-VLOOKUP($A299,[1]Hugst!$R$5:$W$9,MATCH(ROUNDUP((V$1)/10,0)*10,[1]Hugst!$R$4:$W$4,0))))</f>
        <v>0</v>
      </c>
      <c r="W299">
        <f ca="1">IF($C299-W$1&lt;År1,0,V298*(1-VLOOKUP($A299,[1]Hugst!$R$5:$W$9,MATCH(ROUNDUP((W$1)/10,0)*10,[1]Hugst!$R$4:$W$4,0))))</f>
        <v>0</v>
      </c>
      <c r="X299">
        <f ca="1">IF($C299-X$1&lt;År1,0,W298*(1-VLOOKUP($A299,[1]Hugst!$R$5:$W$9,MATCH(ROUNDUP((X$1)/10,0)*10,[1]Hugst!$R$4:$W$4,0))))</f>
        <v>0</v>
      </c>
      <c r="Y299">
        <f>IF($C299-Y$1&lt;År1,0,X298*(1-VLOOKUP($A299,[1]Hugst!$R$5:$W$9,MATCH(ROUNDUP((Y$1)/10,0)*10,[1]Hugst!$R$4:$W$4,0))))</f>
        <v>0</v>
      </c>
      <c r="Z299">
        <f>IF($C299-Z$1&lt;År1,0,Y298*(1-VLOOKUP($A299,[1]Hugst!$R$5:$W$9,MATCH(ROUNDUP((Z$1)/10,0)*10,[1]Hugst!$R$4:$W$4,0))))</f>
        <v>0</v>
      </c>
      <c r="AA299">
        <f>IF($C299-AA$1&lt;År1,0,Z298*(1-VLOOKUP($A299,[1]Hugst!$R$5:$W$9,MATCH(ROUNDUP((AA$1)/10,0)*10,[1]Hugst!$R$4:$W$4,0))))</f>
        <v>0</v>
      </c>
      <c r="AB299">
        <f>IF($C299-AB$1&lt;År1,0,AA298*(1-VLOOKUP($A299,[1]Hugst!$R$5:$W$9,MATCH(ROUNDUP((AB$1)/10,0)*10,[1]Hugst!$R$4:$W$4,0))))</f>
        <v>0</v>
      </c>
      <c r="AC299">
        <f>IF($C299-AC$1&lt;År1,0,AB298*(1-VLOOKUP($A299,[1]Hugst!$R$5:$W$9,MATCH(ROUNDUP((AC$1)/10,0)*10,[1]Hugst!$R$4:$W$4,0))))</f>
        <v>0</v>
      </c>
      <c r="AD299">
        <f>IF($C299-AD$1&lt;År1,0,AC298*(1-VLOOKUP($A299,[1]Hugst!$R$5:$W$9,MATCH(ROUNDUP((AD$1)/10,0)*10,[1]Hugst!$R$4:$W$4,0))))</f>
        <v>0</v>
      </c>
      <c r="AE299">
        <f>IF($C299-AE$1&lt;År1,0,AD298*(1-VLOOKUP($A299,[1]Hugst!$R$5:$W$9,MATCH(ROUNDUP((AE$1)/10,0)*10,[1]Hugst!$R$4:$W$4,0))))</f>
        <v>0</v>
      </c>
      <c r="AF299">
        <f>IF($C299-AF$1&lt;År1,0,AE298*(1-VLOOKUP($A299,[1]Hugst!$R$5:$W$9,MATCH(ROUNDUP((AF$1)/10,0)*10,[1]Hugst!$R$4:$W$4,0))))</f>
        <v>0</v>
      </c>
      <c r="AG299">
        <f>IF($C299-AG$1&lt;År1,0,AF298*(1-VLOOKUP($A299,[1]Hugst!$R$5:$W$9,MATCH(ROUNDUP((AG$1)/10,0)*10,[1]Hugst!$R$4:$W$4,0))))</f>
        <v>0</v>
      </c>
      <c r="AH299">
        <f>IF($C299-AH$1&lt;År1,0,AG298*(1-VLOOKUP($A299,[1]Hugst!$R$5:$W$9,MATCH(ROUNDUP((AH$1)/10,0)*10,[1]Hugst!$R$4:$W$4,0))))</f>
        <v>0</v>
      </c>
      <c r="AI299">
        <f>IF($C299-AI$1&lt;År1,0,AH298*(1-VLOOKUP($A299,[1]Hugst!$R$5:$W$9,MATCH(ROUNDUP((AI$1)/10,0)*10,[1]Hugst!$R$4:$W$4,0))))</f>
        <v>0</v>
      </c>
      <c r="AJ299">
        <f>IF($C299-AJ$1&lt;År1,0,AI298*(1-VLOOKUP($A299,[1]Hugst!$R$5:$W$9,MATCH(ROUNDUP((AJ$1)/10,0)*10,[1]Hugst!$R$4:$W$4,0))))</f>
        <v>0</v>
      </c>
    </row>
    <row r="300" spans="1:36" x14ac:dyDescent="0.25">
      <c r="A300" t="s">
        <v>180</v>
      </c>
      <c r="B300" t="s">
        <v>24</v>
      </c>
      <c r="C300">
        <v>2039</v>
      </c>
      <c r="D300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0</v>
      </c>
      <c r="E300">
        <f t="shared" ca="1" si="7"/>
        <v>0</v>
      </c>
      <c r="F300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>
        <f ca="1">IF($C300-G$1&lt;År1,0,F299*(1-VLOOKUP($A300,[1]Hugst!$R$5:$W$9,MATCH(ROUNDUP((G$1)/10,0)*10,[1]Hugst!$R$4:$W$4,0))))</f>
        <v>0</v>
      </c>
      <c r="H300">
        <f ca="1">IF($C300-H$1&lt;År1,0,G299*(1-VLOOKUP($A300,[1]Hugst!$R$5:$W$9,MATCH(ROUNDUP((H$1)/10,0)*10,[1]Hugst!$R$4:$W$4,0))))</f>
        <v>0</v>
      </c>
      <c r="I300">
        <f ca="1">IF($C300-I$1&lt;År1,0,H299*(1-VLOOKUP($A300,[1]Hugst!$R$5:$W$9,MATCH(ROUNDUP((I$1)/10,0)*10,[1]Hugst!$R$4:$W$4,0))))</f>
        <v>0</v>
      </c>
      <c r="J300">
        <f ca="1">IF($C300-J$1&lt;År1,0,I299*(1-VLOOKUP($A300,[1]Hugst!$R$5:$W$9,MATCH(ROUNDUP((J$1)/10,0)*10,[1]Hugst!$R$4:$W$4,0))))</f>
        <v>0</v>
      </c>
      <c r="K300">
        <f ca="1">IF($C300-K$1&lt;År1,0,J299*(1-VLOOKUP($A300,[1]Hugst!$R$5:$W$9,MATCH(ROUNDUP((K$1)/10,0)*10,[1]Hugst!$R$4:$W$4,0))))</f>
        <v>0</v>
      </c>
      <c r="L300">
        <f ca="1">IF($C300-L$1&lt;År1,0,K299*(1-VLOOKUP($A300,[1]Hugst!$R$5:$W$9,MATCH(ROUNDUP((L$1)/10,0)*10,[1]Hugst!$R$4:$W$4,0))))</f>
        <v>0</v>
      </c>
      <c r="M300">
        <f ca="1">IF($C300-M$1&lt;År1,0,L299*(1-VLOOKUP($A300,[1]Hugst!$R$5:$W$9,MATCH(ROUNDUP((M$1)/10,0)*10,[1]Hugst!$R$4:$W$4,0))))</f>
        <v>0</v>
      </c>
      <c r="N300">
        <f ca="1">IF($C300-N$1&lt;År1,0,M299*(1-VLOOKUP($A300,[1]Hugst!$R$5:$W$9,MATCH(ROUNDUP((N$1)/10,0)*10,[1]Hugst!$R$4:$W$4,0))))</f>
        <v>0</v>
      </c>
      <c r="O300">
        <f ca="1">IF($C300-O$1&lt;År1,0,N299*(1-VLOOKUP($A300,[1]Hugst!$R$5:$W$9,MATCH(ROUNDUP((O$1)/10,0)*10,[1]Hugst!$R$4:$W$4,0))))</f>
        <v>0</v>
      </c>
      <c r="P300">
        <f ca="1">IF($C300-P$1&lt;År1,0,O299*(1-VLOOKUP($A300,[1]Hugst!$R$5:$W$9,MATCH(ROUNDUP((P$1)/10,0)*10,[1]Hugst!$R$4:$W$4,0))))</f>
        <v>0</v>
      </c>
      <c r="Q300">
        <f ca="1">IF($C300-Q$1&lt;År1,0,P299*(1-VLOOKUP($A300,[1]Hugst!$R$5:$W$9,MATCH(ROUNDUP((Q$1)/10,0)*10,[1]Hugst!$R$4:$W$4,0))))</f>
        <v>0</v>
      </c>
      <c r="R300">
        <f ca="1">IF($C300-R$1&lt;År1,0,Q299*(1-VLOOKUP($A300,[1]Hugst!$R$5:$W$9,MATCH(ROUNDUP((R$1)/10,0)*10,[1]Hugst!$R$4:$W$4,0))))</f>
        <v>0</v>
      </c>
      <c r="S300">
        <f ca="1">IF($C300-S$1&lt;År1,0,R299*(1-VLOOKUP($A300,[1]Hugst!$R$5:$W$9,MATCH(ROUNDUP((S$1)/10,0)*10,[1]Hugst!$R$4:$W$4,0))))</f>
        <v>0</v>
      </c>
      <c r="T300">
        <f ca="1">IF($C300-T$1&lt;År1,0,S299*(1-VLOOKUP($A300,[1]Hugst!$R$5:$W$9,MATCH(ROUNDUP((T$1)/10,0)*10,[1]Hugst!$R$4:$W$4,0))))</f>
        <v>0</v>
      </c>
      <c r="U300">
        <f ca="1">IF($C300-U$1&lt;År1,0,T299*(1-VLOOKUP($A300,[1]Hugst!$R$5:$W$9,MATCH(ROUNDUP((U$1)/10,0)*10,[1]Hugst!$R$4:$W$4,0))))</f>
        <v>0</v>
      </c>
      <c r="V300">
        <f ca="1">IF($C300-V$1&lt;År1,0,U299*(1-VLOOKUP($A300,[1]Hugst!$R$5:$W$9,MATCH(ROUNDUP((V$1)/10,0)*10,[1]Hugst!$R$4:$W$4,0))))</f>
        <v>0</v>
      </c>
      <c r="W300">
        <f ca="1">IF($C300-W$1&lt;År1,0,V299*(1-VLOOKUP($A300,[1]Hugst!$R$5:$W$9,MATCH(ROUNDUP((W$1)/10,0)*10,[1]Hugst!$R$4:$W$4,0))))</f>
        <v>0</v>
      </c>
      <c r="X300">
        <f ca="1">IF($C300-X$1&lt;År1,0,W299*(1-VLOOKUP($A300,[1]Hugst!$R$5:$W$9,MATCH(ROUNDUP((X$1)/10,0)*10,[1]Hugst!$R$4:$W$4,0))))</f>
        <v>0</v>
      </c>
      <c r="Y300">
        <f ca="1">IF($C300-Y$1&lt;År1,0,X299*(1-VLOOKUP($A300,[1]Hugst!$R$5:$W$9,MATCH(ROUNDUP((Y$1)/10,0)*10,[1]Hugst!$R$4:$W$4,0))))</f>
        <v>0</v>
      </c>
      <c r="Z300">
        <f>IF($C300-Z$1&lt;År1,0,Y299*(1-VLOOKUP($A300,[1]Hugst!$R$5:$W$9,MATCH(ROUNDUP((Z$1)/10,0)*10,[1]Hugst!$R$4:$W$4,0))))</f>
        <v>0</v>
      </c>
      <c r="AA300">
        <f>IF($C300-AA$1&lt;År1,0,Z299*(1-VLOOKUP($A300,[1]Hugst!$R$5:$W$9,MATCH(ROUNDUP((AA$1)/10,0)*10,[1]Hugst!$R$4:$W$4,0))))</f>
        <v>0</v>
      </c>
      <c r="AB300">
        <f>IF($C300-AB$1&lt;År1,0,AA299*(1-VLOOKUP($A300,[1]Hugst!$R$5:$W$9,MATCH(ROUNDUP((AB$1)/10,0)*10,[1]Hugst!$R$4:$W$4,0))))</f>
        <v>0</v>
      </c>
      <c r="AC300">
        <f>IF($C300-AC$1&lt;År1,0,AB299*(1-VLOOKUP($A300,[1]Hugst!$R$5:$W$9,MATCH(ROUNDUP((AC$1)/10,0)*10,[1]Hugst!$R$4:$W$4,0))))</f>
        <v>0</v>
      </c>
      <c r="AD300">
        <f>IF($C300-AD$1&lt;År1,0,AC299*(1-VLOOKUP($A300,[1]Hugst!$R$5:$W$9,MATCH(ROUNDUP((AD$1)/10,0)*10,[1]Hugst!$R$4:$W$4,0))))</f>
        <v>0</v>
      </c>
      <c r="AE300">
        <f>IF($C300-AE$1&lt;År1,0,AD299*(1-VLOOKUP($A300,[1]Hugst!$R$5:$W$9,MATCH(ROUNDUP((AE$1)/10,0)*10,[1]Hugst!$R$4:$W$4,0))))</f>
        <v>0</v>
      </c>
      <c r="AF300">
        <f>IF($C300-AF$1&lt;År1,0,AE299*(1-VLOOKUP($A300,[1]Hugst!$R$5:$W$9,MATCH(ROUNDUP((AF$1)/10,0)*10,[1]Hugst!$R$4:$W$4,0))))</f>
        <v>0</v>
      </c>
      <c r="AG300">
        <f>IF($C300-AG$1&lt;År1,0,AF299*(1-VLOOKUP($A300,[1]Hugst!$R$5:$W$9,MATCH(ROUNDUP((AG$1)/10,0)*10,[1]Hugst!$R$4:$W$4,0))))</f>
        <v>0</v>
      </c>
      <c r="AH300">
        <f>IF($C300-AH$1&lt;År1,0,AG299*(1-VLOOKUP($A300,[1]Hugst!$R$5:$W$9,MATCH(ROUNDUP((AH$1)/10,0)*10,[1]Hugst!$R$4:$W$4,0))))</f>
        <v>0</v>
      </c>
      <c r="AI300">
        <f>IF($C300-AI$1&lt;År1,0,AH299*(1-VLOOKUP($A300,[1]Hugst!$R$5:$W$9,MATCH(ROUNDUP((AI$1)/10,0)*10,[1]Hugst!$R$4:$W$4,0))))</f>
        <v>0</v>
      </c>
      <c r="AJ300">
        <f>IF($C300-AJ$1&lt;År1,0,AI299*(1-VLOOKUP($A300,[1]Hugst!$R$5:$W$9,MATCH(ROUNDUP((AJ$1)/10,0)*10,[1]Hugst!$R$4:$W$4,0))))</f>
        <v>0</v>
      </c>
    </row>
    <row r="301" spans="1:36" x14ac:dyDescent="0.25">
      <c r="A301" t="s">
        <v>180</v>
      </c>
      <c r="B301" t="s">
        <v>24</v>
      </c>
      <c r="C301">
        <v>2040</v>
      </c>
      <c r="D301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0</v>
      </c>
      <c r="E301">
        <f t="shared" ca="1" si="7"/>
        <v>0</v>
      </c>
      <c r="F301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>
        <f ca="1">IF($C301-G$1&lt;År1,0,F300*(1-VLOOKUP($A301,[1]Hugst!$R$5:$W$9,MATCH(ROUNDUP((G$1)/10,0)*10,[1]Hugst!$R$4:$W$4,0))))</f>
        <v>0</v>
      </c>
      <c r="H301">
        <f ca="1">IF($C301-H$1&lt;År1,0,G300*(1-VLOOKUP($A301,[1]Hugst!$R$5:$W$9,MATCH(ROUNDUP((H$1)/10,0)*10,[1]Hugst!$R$4:$W$4,0))))</f>
        <v>0</v>
      </c>
      <c r="I301">
        <f ca="1">IF($C301-I$1&lt;År1,0,H300*(1-VLOOKUP($A301,[1]Hugst!$R$5:$W$9,MATCH(ROUNDUP((I$1)/10,0)*10,[1]Hugst!$R$4:$W$4,0))))</f>
        <v>0</v>
      </c>
      <c r="J301">
        <f ca="1">IF($C301-J$1&lt;År1,0,I300*(1-VLOOKUP($A301,[1]Hugst!$R$5:$W$9,MATCH(ROUNDUP((J$1)/10,0)*10,[1]Hugst!$R$4:$W$4,0))))</f>
        <v>0</v>
      </c>
      <c r="K301">
        <f ca="1">IF($C301-K$1&lt;År1,0,J300*(1-VLOOKUP($A301,[1]Hugst!$R$5:$W$9,MATCH(ROUNDUP((K$1)/10,0)*10,[1]Hugst!$R$4:$W$4,0))))</f>
        <v>0</v>
      </c>
      <c r="L301">
        <f ca="1">IF($C301-L$1&lt;År1,0,K300*(1-VLOOKUP($A301,[1]Hugst!$R$5:$W$9,MATCH(ROUNDUP((L$1)/10,0)*10,[1]Hugst!$R$4:$W$4,0))))</f>
        <v>0</v>
      </c>
      <c r="M301">
        <f ca="1">IF($C301-M$1&lt;År1,0,L300*(1-VLOOKUP($A301,[1]Hugst!$R$5:$W$9,MATCH(ROUNDUP((M$1)/10,0)*10,[1]Hugst!$R$4:$W$4,0))))</f>
        <v>0</v>
      </c>
      <c r="N301">
        <f ca="1">IF($C301-N$1&lt;År1,0,M300*(1-VLOOKUP($A301,[1]Hugst!$R$5:$W$9,MATCH(ROUNDUP((N$1)/10,0)*10,[1]Hugst!$R$4:$W$4,0))))</f>
        <v>0</v>
      </c>
      <c r="O301">
        <f ca="1">IF($C301-O$1&lt;År1,0,N300*(1-VLOOKUP($A301,[1]Hugst!$R$5:$W$9,MATCH(ROUNDUP((O$1)/10,0)*10,[1]Hugst!$R$4:$W$4,0))))</f>
        <v>0</v>
      </c>
      <c r="P301">
        <f ca="1">IF($C301-P$1&lt;År1,0,O300*(1-VLOOKUP($A301,[1]Hugst!$R$5:$W$9,MATCH(ROUNDUP((P$1)/10,0)*10,[1]Hugst!$R$4:$W$4,0))))</f>
        <v>0</v>
      </c>
      <c r="Q301">
        <f ca="1">IF($C301-Q$1&lt;År1,0,P300*(1-VLOOKUP($A301,[1]Hugst!$R$5:$W$9,MATCH(ROUNDUP((Q$1)/10,0)*10,[1]Hugst!$R$4:$W$4,0))))</f>
        <v>0</v>
      </c>
      <c r="R301">
        <f ca="1">IF($C301-R$1&lt;År1,0,Q300*(1-VLOOKUP($A301,[1]Hugst!$R$5:$W$9,MATCH(ROUNDUP((R$1)/10,0)*10,[1]Hugst!$R$4:$W$4,0))))</f>
        <v>0</v>
      </c>
      <c r="S301">
        <f ca="1">IF($C301-S$1&lt;År1,0,R300*(1-VLOOKUP($A301,[1]Hugst!$R$5:$W$9,MATCH(ROUNDUP((S$1)/10,0)*10,[1]Hugst!$R$4:$W$4,0))))</f>
        <v>0</v>
      </c>
      <c r="T301">
        <f ca="1">IF($C301-T$1&lt;År1,0,S300*(1-VLOOKUP($A301,[1]Hugst!$R$5:$W$9,MATCH(ROUNDUP((T$1)/10,0)*10,[1]Hugst!$R$4:$W$4,0))))</f>
        <v>0</v>
      </c>
      <c r="U301">
        <f ca="1">IF($C301-U$1&lt;År1,0,T300*(1-VLOOKUP($A301,[1]Hugst!$R$5:$W$9,MATCH(ROUNDUP((U$1)/10,0)*10,[1]Hugst!$R$4:$W$4,0))))</f>
        <v>0</v>
      </c>
      <c r="V301">
        <f ca="1">IF($C301-V$1&lt;År1,0,U300*(1-VLOOKUP($A301,[1]Hugst!$R$5:$W$9,MATCH(ROUNDUP((V$1)/10,0)*10,[1]Hugst!$R$4:$W$4,0))))</f>
        <v>0</v>
      </c>
      <c r="W301">
        <f ca="1">IF($C301-W$1&lt;År1,0,V300*(1-VLOOKUP($A301,[1]Hugst!$R$5:$W$9,MATCH(ROUNDUP((W$1)/10,0)*10,[1]Hugst!$R$4:$W$4,0))))</f>
        <v>0</v>
      </c>
      <c r="X301">
        <f ca="1">IF($C301-X$1&lt;År1,0,W300*(1-VLOOKUP($A301,[1]Hugst!$R$5:$W$9,MATCH(ROUNDUP((X$1)/10,0)*10,[1]Hugst!$R$4:$W$4,0))))</f>
        <v>0</v>
      </c>
      <c r="Y301">
        <f ca="1">IF($C301-Y$1&lt;År1,0,X300*(1-VLOOKUP($A301,[1]Hugst!$R$5:$W$9,MATCH(ROUNDUP((Y$1)/10,0)*10,[1]Hugst!$R$4:$W$4,0))))</f>
        <v>0</v>
      </c>
      <c r="Z301">
        <f ca="1">IF($C301-Z$1&lt;År1,0,Y300*(1-VLOOKUP($A301,[1]Hugst!$R$5:$W$9,MATCH(ROUNDUP((Z$1)/10,0)*10,[1]Hugst!$R$4:$W$4,0))))</f>
        <v>0</v>
      </c>
      <c r="AA301">
        <f>IF($C301-AA$1&lt;År1,0,Z300*(1-VLOOKUP($A301,[1]Hugst!$R$5:$W$9,MATCH(ROUNDUP((AA$1)/10,0)*10,[1]Hugst!$R$4:$W$4,0))))</f>
        <v>0</v>
      </c>
      <c r="AB301">
        <f>IF($C301-AB$1&lt;År1,0,AA300*(1-VLOOKUP($A301,[1]Hugst!$R$5:$W$9,MATCH(ROUNDUP((AB$1)/10,0)*10,[1]Hugst!$R$4:$W$4,0))))</f>
        <v>0</v>
      </c>
      <c r="AC301">
        <f>IF($C301-AC$1&lt;År1,0,AB300*(1-VLOOKUP($A301,[1]Hugst!$R$5:$W$9,MATCH(ROUNDUP((AC$1)/10,0)*10,[1]Hugst!$R$4:$W$4,0))))</f>
        <v>0</v>
      </c>
      <c r="AD301">
        <f>IF($C301-AD$1&lt;År1,0,AC300*(1-VLOOKUP($A301,[1]Hugst!$R$5:$W$9,MATCH(ROUNDUP((AD$1)/10,0)*10,[1]Hugst!$R$4:$W$4,0))))</f>
        <v>0</v>
      </c>
      <c r="AE301">
        <f>IF($C301-AE$1&lt;År1,0,AD300*(1-VLOOKUP($A301,[1]Hugst!$R$5:$W$9,MATCH(ROUNDUP((AE$1)/10,0)*10,[1]Hugst!$R$4:$W$4,0))))</f>
        <v>0</v>
      </c>
      <c r="AF301">
        <f>IF($C301-AF$1&lt;År1,0,AE300*(1-VLOOKUP($A301,[1]Hugst!$R$5:$W$9,MATCH(ROUNDUP((AF$1)/10,0)*10,[1]Hugst!$R$4:$W$4,0))))</f>
        <v>0</v>
      </c>
      <c r="AG301">
        <f>IF($C301-AG$1&lt;År1,0,AF300*(1-VLOOKUP($A301,[1]Hugst!$R$5:$W$9,MATCH(ROUNDUP((AG$1)/10,0)*10,[1]Hugst!$R$4:$W$4,0))))</f>
        <v>0</v>
      </c>
      <c r="AH301">
        <f>IF($C301-AH$1&lt;År1,0,AG300*(1-VLOOKUP($A301,[1]Hugst!$R$5:$W$9,MATCH(ROUNDUP((AH$1)/10,0)*10,[1]Hugst!$R$4:$W$4,0))))</f>
        <v>0</v>
      </c>
      <c r="AI301">
        <f>IF($C301-AI$1&lt;År1,0,AH300*(1-VLOOKUP($A301,[1]Hugst!$R$5:$W$9,MATCH(ROUNDUP((AI$1)/10,0)*10,[1]Hugst!$R$4:$W$4,0))))</f>
        <v>0</v>
      </c>
      <c r="AJ301">
        <f>IF($C301-AJ$1&lt;År1,0,AI300*(1-VLOOKUP($A301,[1]Hugst!$R$5:$W$9,MATCH(ROUNDUP((AJ$1)/10,0)*10,[1]Hugst!$R$4:$W$4,0))))</f>
        <v>0</v>
      </c>
    </row>
    <row r="302" spans="1:36" x14ac:dyDescent="0.25">
      <c r="A302" t="s">
        <v>180</v>
      </c>
      <c r="B302" t="s">
        <v>24</v>
      </c>
      <c r="C302">
        <v>2041</v>
      </c>
      <c r="D302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0</v>
      </c>
      <c r="E302">
        <f t="shared" ca="1" si="7"/>
        <v>0</v>
      </c>
      <c r="F302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>
        <f ca="1">IF($C302-G$1&lt;År1,0,F301*(1-VLOOKUP($A302,[1]Hugst!$R$5:$W$9,MATCH(ROUNDUP((G$1)/10,0)*10,[1]Hugst!$R$4:$W$4,0))))</f>
        <v>0</v>
      </c>
      <c r="H302">
        <f ca="1">IF($C302-H$1&lt;År1,0,G301*(1-VLOOKUP($A302,[1]Hugst!$R$5:$W$9,MATCH(ROUNDUP((H$1)/10,0)*10,[1]Hugst!$R$4:$W$4,0))))</f>
        <v>0</v>
      </c>
      <c r="I302">
        <f ca="1">IF($C302-I$1&lt;År1,0,H301*(1-VLOOKUP($A302,[1]Hugst!$R$5:$W$9,MATCH(ROUNDUP((I$1)/10,0)*10,[1]Hugst!$R$4:$W$4,0))))</f>
        <v>0</v>
      </c>
      <c r="J302">
        <f ca="1">IF($C302-J$1&lt;År1,0,I301*(1-VLOOKUP($A302,[1]Hugst!$R$5:$W$9,MATCH(ROUNDUP((J$1)/10,0)*10,[1]Hugst!$R$4:$W$4,0))))</f>
        <v>0</v>
      </c>
      <c r="K302">
        <f ca="1">IF($C302-K$1&lt;År1,0,J301*(1-VLOOKUP($A302,[1]Hugst!$R$5:$W$9,MATCH(ROUNDUP((K$1)/10,0)*10,[1]Hugst!$R$4:$W$4,0))))</f>
        <v>0</v>
      </c>
      <c r="L302">
        <f ca="1">IF($C302-L$1&lt;År1,0,K301*(1-VLOOKUP($A302,[1]Hugst!$R$5:$W$9,MATCH(ROUNDUP((L$1)/10,0)*10,[1]Hugst!$R$4:$W$4,0))))</f>
        <v>0</v>
      </c>
      <c r="M302">
        <f ca="1">IF($C302-M$1&lt;År1,0,L301*(1-VLOOKUP($A302,[1]Hugst!$R$5:$W$9,MATCH(ROUNDUP((M$1)/10,0)*10,[1]Hugst!$R$4:$W$4,0))))</f>
        <v>0</v>
      </c>
      <c r="N302">
        <f ca="1">IF($C302-N$1&lt;År1,0,M301*(1-VLOOKUP($A302,[1]Hugst!$R$5:$W$9,MATCH(ROUNDUP((N$1)/10,0)*10,[1]Hugst!$R$4:$W$4,0))))</f>
        <v>0</v>
      </c>
      <c r="O302">
        <f ca="1">IF($C302-O$1&lt;År1,0,N301*(1-VLOOKUP($A302,[1]Hugst!$R$5:$W$9,MATCH(ROUNDUP((O$1)/10,0)*10,[1]Hugst!$R$4:$W$4,0))))</f>
        <v>0</v>
      </c>
      <c r="P302">
        <f ca="1">IF($C302-P$1&lt;År1,0,O301*(1-VLOOKUP($A302,[1]Hugst!$R$5:$W$9,MATCH(ROUNDUP((P$1)/10,0)*10,[1]Hugst!$R$4:$W$4,0))))</f>
        <v>0</v>
      </c>
      <c r="Q302">
        <f ca="1">IF($C302-Q$1&lt;År1,0,P301*(1-VLOOKUP($A302,[1]Hugst!$R$5:$W$9,MATCH(ROUNDUP((Q$1)/10,0)*10,[1]Hugst!$R$4:$W$4,0))))</f>
        <v>0</v>
      </c>
      <c r="R302">
        <f ca="1">IF($C302-R$1&lt;År1,0,Q301*(1-VLOOKUP($A302,[1]Hugst!$R$5:$W$9,MATCH(ROUNDUP((R$1)/10,0)*10,[1]Hugst!$R$4:$W$4,0))))</f>
        <v>0</v>
      </c>
      <c r="S302">
        <f ca="1">IF($C302-S$1&lt;År1,0,R301*(1-VLOOKUP($A302,[1]Hugst!$R$5:$W$9,MATCH(ROUNDUP((S$1)/10,0)*10,[1]Hugst!$R$4:$W$4,0))))</f>
        <v>0</v>
      </c>
      <c r="T302">
        <f ca="1">IF($C302-T$1&lt;År1,0,S301*(1-VLOOKUP($A302,[1]Hugst!$R$5:$W$9,MATCH(ROUNDUP((T$1)/10,0)*10,[1]Hugst!$R$4:$W$4,0))))</f>
        <v>0</v>
      </c>
      <c r="U302">
        <f ca="1">IF($C302-U$1&lt;År1,0,T301*(1-VLOOKUP($A302,[1]Hugst!$R$5:$W$9,MATCH(ROUNDUP((U$1)/10,0)*10,[1]Hugst!$R$4:$W$4,0))))</f>
        <v>0</v>
      </c>
      <c r="V302">
        <f ca="1">IF($C302-V$1&lt;År1,0,U301*(1-VLOOKUP($A302,[1]Hugst!$R$5:$W$9,MATCH(ROUNDUP((V$1)/10,0)*10,[1]Hugst!$R$4:$W$4,0))))</f>
        <v>0</v>
      </c>
      <c r="W302">
        <f ca="1">IF($C302-W$1&lt;År1,0,V301*(1-VLOOKUP($A302,[1]Hugst!$R$5:$W$9,MATCH(ROUNDUP((W$1)/10,0)*10,[1]Hugst!$R$4:$W$4,0))))</f>
        <v>0</v>
      </c>
      <c r="X302">
        <f ca="1">IF($C302-X$1&lt;År1,0,W301*(1-VLOOKUP($A302,[1]Hugst!$R$5:$W$9,MATCH(ROUNDUP((X$1)/10,0)*10,[1]Hugst!$R$4:$W$4,0))))</f>
        <v>0</v>
      </c>
      <c r="Y302">
        <f ca="1">IF($C302-Y$1&lt;År1,0,X301*(1-VLOOKUP($A302,[1]Hugst!$R$5:$W$9,MATCH(ROUNDUP((Y$1)/10,0)*10,[1]Hugst!$R$4:$W$4,0))))</f>
        <v>0</v>
      </c>
      <c r="Z302">
        <f ca="1">IF($C302-Z$1&lt;År1,0,Y301*(1-VLOOKUP($A302,[1]Hugst!$R$5:$W$9,MATCH(ROUNDUP((Z$1)/10,0)*10,[1]Hugst!$R$4:$W$4,0))))</f>
        <v>0</v>
      </c>
      <c r="AA302">
        <f ca="1">IF($C302-AA$1&lt;År1,0,Z301*(1-VLOOKUP($A302,[1]Hugst!$R$5:$W$9,MATCH(ROUNDUP((AA$1)/10,0)*10,[1]Hugst!$R$4:$W$4,0))))</f>
        <v>0</v>
      </c>
      <c r="AB302">
        <f>IF($C302-AB$1&lt;År1,0,AA301*(1-VLOOKUP($A302,[1]Hugst!$R$5:$W$9,MATCH(ROUNDUP((AB$1)/10,0)*10,[1]Hugst!$R$4:$W$4,0))))</f>
        <v>0</v>
      </c>
      <c r="AC302">
        <f>IF($C302-AC$1&lt;År1,0,AB301*(1-VLOOKUP($A302,[1]Hugst!$R$5:$W$9,MATCH(ROUNDUP((AC$1)/10,0)*10,[1]Hugst!$R$4:$W$4,0))))</f>
        <v>0</v>
      </c>
      <c r="AD302">
        <f>IF($C302-AD$1&lt;År1,0,AC301*(1-VLOOKUP($A302,[1]Hugst!$R$5:$W$9,MATCH(ROUNDUP((AD$1)/10,0)*10,[1]Hugst!$R$4:$W$4,0))))</f>
        <v>0</v>
      </c>
      <c r="AE302">
        <f>IF($C302-AE$1&lt;År1,0,AD301*(1-VLOOKUP($A302,[1]Hugst!$R$5:$W$9,MATCH(ROUNDUP((AE$1)/10,0)*10,[1]Hugst!$R$4:$W$4,0))))</f>
        <v>0</v>
      </c>
      <c r="AF302">
        <f>IF($C302-AF$1&lt;År1,0,AE301*(1-VLOOKUP($A302,[1]Hugst!$R$5:$W$9,MATCH(ROUNDUP((AF$1)/10,0)*10,[1]Hugst!$R$4:$W$4,0))))</f>
        <v>0</v>
      </c>
      <c r="AG302">
        <f>IF($C302-AG$1&lt;År1,0,AF301*(1-VLOOKUP($A302,[1]Hugst!$R$5:$W$9,MATCH(ROUNDUP((AG$1)/10,0)*10,[1]Hugst!$R$4:$W$4,0))))</f>
        <v>0</v>
      </c>
      <c r="AH302">
        <f>IF($C302-AH$1&lt;År1,0,AG301*(1-VLOOKUP($A302,[1]Hugst!$R$5:$W$9,MATCH(ROUNDUP((AH$1)/10,0)*10,[1]Hugst!$R$4:$W$4,0))))</f>
        <v>0</v>
      </c>
      <c r="AI302">
        <f>IF($C302-AI$1&lt;År1,0,AH301*(1-VLOOKUP($A302,[1]Hugst!$R$5:$W$9,MATCH(ROUNDUP((AI$1)/10,0)*10,[1]Hugst!$R$4:$W$4,0))))</f>
        <v>0</v>
      </c>
      <c r="AJ302">
        <f>IF($C302-AJ$1&lt;År1,0,AI301*(1-VLOOKUP($A302,[1]Hugst!$R$5:$W$9,MATCH(ROUNDUP((AJ$1)/10,0)*10,[1]Hugst!$R$4:$W$4,0))))</f>
        <v>0</v>
      </c>
    </row>
    <row r="303" spans="1:36" x14ac:dyDescent="0.25">
      <c r="A303" t="s">
        <v>180</v>
      </c>
      <c r="B303" t="s">
        <v>24</v>
      </c>
      <c r="C303">
        <v>2042</v>
      </c>
      <c r="D303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0</v>
      </c>
      <c r="E303">
        <f t="shared" ca="1" si="7"/>
        <v>0</v>
      </c>
      <c r="F303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>
        <f ca="1">IF($C303-G$1&lt;År1,0,F302*(1-VLOOKUP($A303,[1]Hugst!$R$5:$W$9,MATCH(ROUNDUP((G$1)/10,0)*10,[1]Hugst!$R$4:$W$4,0))))</f>
        <v>0</v>
      </c>
      <c r="H303">
        <f ca="1">IF($C303-H$1&lt;År1,0,G302*(1-VLOOKUP($A303,[1]Hugst!$R$5:$W$9,MATCH(ROUNDUP((H$1)/10,0)*10,[1]Hugst!$R$4:$W$4,0))))</f>
        <v>0</v>
      </c>
      <c r="I303">
        <f ca="1">IF($C303-I$1&lt;År1,0,H302*(1-VLOOKUP($A303,[1]Hugst!$R$5:$W$9,MATCH(ROUNDUP((I$1)/10,0)*10,[1]Hugst!$R$4:$W$4,0))))</f>
        <v>0</v>
      </c>
      <c r="J303">
        <f ca="1">IF($C303-J$1&lt;År1,0,I302*(1-VLOOKUP($A303,[1]Hugst!$R$5:$W$9,MATCH(ROUNDUP((J$1)/10,0)*10,[1]Hugst!$R$4:$W$4,0))))</f>
        <v>0</v>
      </c>
      <c r="K303">
        <f ca="1">IF($C303-K$1&lt;År1,0,J302*(1-VLOOKUP($A303,[1]Hugst!$R$5:$W$9,MATCH(ROUNDUP((K$1)/10,0)*10,[1]Hugst!$R$4:$W$4,0))))</f>
        <v>0</v>
      </c>
      <c r="L303">
        <f ca="1">IF($C303-L$1&lt;År1,0,K302*(1-VLOOKUP($A303,[1]Hugst!$R$5:$W$9,MATCH(ROUNDUP((L$1)/10,0)*10,[1]Hugst!$R$4:$W$4,0))))</f>
        <v>0</v>
      </c>
      <c r="M303">
        <f ca="1">IF($C303-M$1&lt;År1,0,L302*(1-VLOOKUP($A303,[1]Hugst!$R$5:$W$9,MATCH(ROUNDUP((M$1)/10,0)*10,[1]Hugst!$R$4:$W$4,0))))</f>
        <v>0</v>
      </c>
      <c r="N303">
        <f ca="1">IF($C303-N$1&lt;År1,0,M302*(1-VLOOKUP($A303,[1]Hugst!$R$5:$W$9,MATCH(ROUNDUP((N$1)/10,0)*10,[1]Hugst!$R$4:$W$4,0))))</f>
        <v>0</v>
      </c>
      <c r="O303">
        <f ca="1">IF($C303-O$1&lt;År1,0,N302*(1-VLOOKUP($A303,[1]Hugst!$R$5:$W$9,MATCH(ROUNDUP((O$1)/10,0)*10,[1]Hugst!$R$4:$W$4,0))))</f>
        <v>0</v>
      </c>
      <c r="P303">
        <f ca="1">IF($C303-P$1&lt;År1,0,O302*(1-VLOOKUP($A303,[1]Hugst!$R$5:$W$9,MATCH(ROUNDUP((P$1)/10,0)*10,[1]Hugst!$R$4:$W$4,0))))</f>
        <v>0</v>
      </c>
      <c r="Q303">
        <f ca="1">IF($C303-Q$1&lt;År1,0,P302*(1-VLOOKUP($A303,[1]Hugst!$R$5:$W$9,MATCH(ROUNDUP((Q$1)/10,0)*10,[1]Hugst!$R$4:$W$4,0))))</f>
        <v>0</v>
      </c>
      <c r="R303">
        <f ca="1">IF($C303-R$1&lt;År1,0,Q302*(1-VLOOKUP($A303,[1]Hugst!$R$5:$W$9,MATCH(ROUNDUP((R$1)/10,0)*10,[1]Hugst!$R$4:$W$4,0))))</f>
        <v>0</v>
      </c>
      <c r="S303">
        <f ca="1">IF($C303-S$1&lt;År1,0,R302*(1-VLOOKUP($A303,[1]Hugst!$R$5:$W$9,MATCH(ROUNDUP((S$1)/10,0)*10,[1]Hugst!$R$4:$W$4,0))))</f>
        <v>0</v>
      </c>
      <c r="T303">
        <f ca="1">IF($C303-T$1&lt;År1,0,S302*(1-VLOOKUP($A303,[1]Hugst!$R$5:$W$9,MATCH(ROUNDUP((T$1)/10,0)*10,[1]Hugst!$R$4:$W$4,0))))</f>
        <v>0</v>
      </c>
      <c r="U303">
        <f ca="1">IF($C303-U$1&lt;År1,0,T302*(1-VLOOKUP($A303,[1]Hugst!$R$5:$W$9,MATCH(ROUNDUP((U$1)/10,0)*10,[1]Hugst!$R$4:$W$4,0))))</f>
        <v>0</v>
      </c>
      <c r="V303">
        <f ca="1">IF($C303-V$1&lt;År1,0,U302*(1-VLOOKUP($A303,[1]Hugst!$R$5:$W$9,MATCH(ROUNDUP((V$1)/10,0)*10,[1]Hugst!$R$4:$W$4,0))))</f>
        <v>0</v>
      </c>
      <c r="W303">
        <f ca="1">IF($C303-W$1&lt;År1,0,V302*(1-VLOOKUP($A303,[1]Hugst!$R$5:$W$9,MATCH(ROUNDUP((W$1)/10,0)*10,[1]Hugst!$R$4:$W$4,0))))</f>
        <v>0</v>
      </c>
      <c r="X303">
        <f ca="1">IF($C303-X$1&lt;År1,0,W302*(1-VLOOKUP($A303,[1]Hugst!$R$5:$W$9,MATCH(ROUNDUP((X$1)/10,0)*10,[1]Hugst!$R$4:$W$4,0))))</f>
        <v>0</v>
      </c>
      <c r="Y303">
        <f ca="1">IF($C303-Y$1&lt;År1,0,X302*(1-VLOOKUP($A303,[1]Hugst!$R$5:$W$9,MATCH(ROUNDUP((Y$1)/10,0)*10,[1]Hugst!$R$4:$W$4,0))))</f>
        <v>0</v>
      </c>
      <c r="Z303">
        <f ca="1">IF($C303-Z$1&lt;År1,0,Y302*(1-VLOOKUP($A303,[1]Hugst!$R$5:$W$9,MATCH(ROUNDUP((Z$1)/10,0)*10,[1]Hugst!$R$4:$W$4,0))))</f>
        <v>0</v>
      </c>
      <c r="AA303">
        <f ca="1">IF($C303-AA$1&lt;År1,0,Z302*(1-VLOOKUP($A303,[1]Hugst!$R$5:$W$9,MATCH(ROUNDUP((AA$1)/10,0)*10,[1]Hugst!$R$4:$W$4,0))))</f>
        <v>0</v>
      </c>
      <c r="AB303">
        <f ca="1">IF($C303-AB$1&lt;År1,0,AA302*(1-VLOOKUP($A303,[1]Hugst!$R$5:$W$9,MATCH(ROUNDUP((AB$1)/10,0)*10,[1]Hugst!$R$4:$W$4,0))))</f>
        <v>0</v>
      </c>
      <c r="AC303">
        <f>IF($C303-AC$1&lt;År1,0,AB302*(1-VLOOKUP($A303,[1]Hugst!$R$5:$W$9,MATCH(ROUNDUP((AC$1)/10,0)*10,[1]Hugst!$R$4:$W$4,0))))</f>
        <v>0</v>
      </c>
      <c r="AD303">
        <f>IF($C303-AD$1&lt;År1,0,AC302*(1-VLOOKUP($A303,[1]Hugst!$R$5:$W$9,MATCH(ROUNDUP((AD$1)/10,0)*10,[1]Hugst!$R$4:$W$4,0))))</f>
        <v>0</v>
      </c>
      <c r="AE303">
        <f>IF($C303-AE$1&lt;År1,0,AD302*(1-VLOOKUP($A303,[1]Hugst!$R$5:$W$9,MATCH(ROUNDUP((AE$1)/10,0)*10,[1]Hugst!$R$4:$W$4,0))))</f>
        <v>0</v>
      </c>
      <c r="AF303">
        <f>IF($C303-AF$1&lt;År1,0,AE302*(1-VLOOKUP($A303,[1]Hugst!$R$5:$W$9,MATCH(ROUNDUP((AF$1)/10,0)*10,[1]Hugst!$R$4:$W$4,0))))</f>
        <v>0</v>
      </c>
      <c r="AG303">
        <f>IF($C303-AG$1&lt;År1,0,AF302*(1-VLOOKUP($A303,[1]Hugst!$R$5:$W$9,MATCH(ROUNDUP((AG$1)/10,0)*10,[1]Hugst!$R$4:$W$4,0))))</f>
        <v>0</v>
      </c>
      <c r="AH303">
        <f>IF($C303-AH$1&lt;År1,0,AG302*(1-VLOOKUP($A303,[1]Hugst!$R$5:$W$9,MATCH(ROUNDUP((AH$1)/10,0)*10,[1]Hugst!$R$4:$W$4,0))))</f>
        <v>0</v>
      </c>
      <c r="AI303">
        <f>IF($C303-AI$1&lt;År1,0,AH302*(1-VLOOKUP($A303,[1]Hugst!$R$5:$W$9,MATCH(ROUNDUP((AI$1)/10,0)*10,[1]Hugst!$R$4:$W$4,0))))</f>
        <v>0</v>
      </c>
      <c r="AJ303">
        <f>IF($C303-AJ$1&lt;År1,0,AI302*(1-VLOOKUP($A303,[1]Hugst!$R$5:$W$9,MATCH(ROUNDUP((AJ$1)/10,0)*10,[1]Hugst!$R$4:$W$4,0))))</f>
        <v>0</v>
      </c>
    </row>
    <row r="304" spans="1:36" x14ac:dyDescent="0.25">
      <c r="A304" t="s">
        <v>180</v>
      </c>
      <c r="B304" t="s">
        <v>24</v>
      </c>
      <c r="C304">
        <v>2043</v>
      </c>
      <c r="D304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0</v>
      </c>
      <c r="E304">
        <f t="shared" ca="1" si="7"/>
        <v>0</v>
      </c>
      <c r="F304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>
        <f ca="1">IF($C304-G$1&lt;År1,0,F303*(1-VLOOKUP($A304,[1]Hugst!$R$5:$W$9,MATCH(ROUNDUP((G$1)/10,0)*10,[1]Hugst!$R$4:$W$4,0))))</f>
        <v>0</v>
      </c>
      <c r="H304">
        <f ca="1">IF($C304-H$1&lt;År1,0,G303*(1-VLOOKUP($A304,[1]Hugst!$R$5:$W$9,MATCH(ROUNDUP((H$1)/10,0)*10,[1]Hugst!$R$4:$W$4,0))))</f>
        <v>0</v>
      </c>
      <c r="I304">
        <f ca="1">IF($C304-I$1&lt;År1,0,H303*(1-VLOOKUP($A304,[1]Hugst!$R$5:$W$9,MATCH(ROUNDUP((I$1)/10,0)*10,[1]Hugst!$R$4:$W$4,0))))</f>
        <v>0</v>
      </c>
      <c r="J304">
        <f ca="1">IF($C304-J$1&lt;År1,0,I303*(1-VLOOKUP($A304,[1]Hugst!$R$5:$W$9,MATCH(ROUNDUP((J$1)/10,0)*10,[1]Hugst!$R$4:$W$4,0))))</f>
        <v>0</v>
      </c>
      <c r="K304">
        <f ca="1">IF($C304-K$1&lt;År1,0,J303*(1-VLOOKUP($A304,[1]Hugst!$R$5:$W$9,MATCH(ROUNDUP((K$1)/10,0)*10,[1]Hugst!$R$4:$W$4,0))))</f>
        <v>0</v>
      </c>
      <c r="L304">
        <f ca="1">IF($C304-L$1&lt;År1,0,K303*(1-VLOOKUP($A304,[1]Hugst!$R$5:$W$9,MATCH(ROUNDUP((L$1)/10,0)*10,[1]Hugst!$R$4:$W$4,0))))</f>
        <v>0</v>
      </c>
      <c r="M304">
        <f ca="1">IF($C304-M$1&lt;År1,0,L303*(1-VLOOKUP($A304,[1]Hugst!$R$5:$W$9,MATCH(ROUNDUP((M$1)/10,0)*10,[1]Hugst!$R$4:$W$4,0))))</f>
        <v>0</v>
      </c>
      <c r="N304">
        <f ca="1">IF($C304-N$1&lt;År1,0,M303*(1-VLOOKUP($A304,[1]Hugst!$R$5:$W$9,MATCH(ROUNDUP((N$1)/10,0)*10,[1]Hugst!$R$4:$W$4,0))))</f>
        <v>0</v>
      </c>
      <c r="O304">
        <f ca="1">IF($C304-O$1&lt;År1,0,N303*(1-VLOOKUP($A304,[1]Hugst!$R$5:$W$9,MATCH(ROUNDUP((O$1)/10,0)*10,[1]Hugst!$R$4:$W$4,0))))</f>
        <v>0</v>
      </c>
      <c r="P304">
        <f ca="1">IF($C304-P$1&lt;År1,0,O303*(1-VLOOKUP($A304,[1]Hugst!$R$5:$W$9,MATCH(ROUNDUP((P$1)/10,0)*10,[1]Hugst!$R$4:$W$4,0))))</f>
        <v>0</v>
      </c>
      <c r="Q304">
        <f ca="1">IF($C304-Q$1&lt;År1,0,P303*(1-VLOOKUP($A304,[1]Hugst!$R$5:$W$9,MATCH(ROUNDUP((Q$1)/10,0)*10,[1]Hugst!$R$4:$W$4,0))))</f>
        <v>0</v>
      </c>
      <c r="R304">
        <f ca="1">IF($C304-R$1&lt;År1,0,Q303*(1-VLOOKUP($A304,[1]Hugst!$R$5:$W$9,MATCH(ROUNDUP((R$1)/10,0)*10,[1]Hugst!$R$4:$W$4,0))))</f>
        <v>0</v>
      </c>
      <c r="S304">
        <f ca="1">IF($C304-S$1&lt;År1,0,R303*(1-VLOOKUP($A304,[1]Hugst!$R$5:$W$9,MATCH(ROUNDUP((S$1)/10,0)*10,[1]Hugst!$R$4:$W$4,0))))</f>
        <v>0</v>
      </c>
      <c r="T304">
        <f ca="1">IF($C304-T$1&lt;År1,0,S303*(1-VLOOKUP($A304,[1]Hugst!$R$5:$W$9,MATCH(ROUNDUP((T$1)/10,0)*10,[1]Hugst!$R$4:$W$4,0))))</f>
        <v>0</v>
      </c>
      <c r="U304">
        <f ca="1">IF($C304-U$1&lt;År1,0,T303*(1-VLOOKUP($A304,[1]Hugst!$R$5:$W$9,MATCH(ROUNDUP((U$1)/10,0)*10,[1]Hugst!$R$4:$W$4,0))))</f>
        <v>0</v>
      </c>
      <c r="V304">
        <f ca="1">IF($C304-V$1&lt;År1,0,U303*(1-VLOOKUP($A304,[1]Hugst!$R$5:$W$9,MATCH(ROUNDUP((V$1)/10,0)*10,[1]Hugst!$R$4:$W$4,0))))</f>
        <v>0</v>
      </c>
      <c r="W304">
        <f ca="1">IF($C304-W$1&lt;År1,0,V303*(1-VLOOKUP($A304,[1]Hugst!$R$5:$W$9,MATCH(ROUNDUP((W$1)/10,0)*10,[1]Hugst!$R$4:$W$4,0))))</f>
        <v>0</v>
      </c>
      <c r="X304">
        <f ca="1">IF($C304-X$1&lt;År1,0,W303*(1-VLOOKUP($A304,[1]Hugst!$R$5:$W$9,MATCH(ROUNDUP((X$1)/10,0)*10,[1]Hugst!$R$4:$W$4,0))))</f>
        <v>0</v>
      </c>
      <c r="Y304">
        <f ca="1">IF($C304-Y$1&lt;År1,0,X303*(1-VLOOKUP($A304,[1]Hugst!$R$5:$W$9,MATCH(ROUNDUP((Y$1)/10,0)*10,[1]Hugst!$R$4:$W$4,0))))</f>
        <v>0</v>
      </c>
      <c r="Z304">
        <f ca="1">IF($C304-Z$1&lt;År1,0,Y303*(1-VLOOKUP($A304,[1]Hugst!$R$5:$W$9,MATCH(ROUNDUP((Z$1)/10,0)*10,[1]Hugst!$R$4:$W$4,0))))</f>
        <v>0</v>
      </c>
      <c r="AA304">
        <f ca="1">IF($C304-AA$1&lt;År1,0,Z303*(1-VLOOKUP($A304,[1]Hugst!$R$5:$W$9,MATCH(ROUNDUP((AA$1)/10,0)*10,[1]Hugst!$R$4:$W$4,0))))</f>
        <v>0</v>
      </c>
      <c r="AB304">
        <f ca="1">IF($C304-AB$1&lt;År1,0,AA303*(1-VLOOKUP($A304,[1]Hugst!$R$5:$W$9,MATCH(ROUNDUP((AB$1)/10,0)*10,[1]Hugst!$R$4:$W$4,0))))</f>
        <v>0</v>
      </c>
      <c r="AC304">
        <f ca="1">IF($C304-AC$1&lt;År1,0,AB303*(1-VLOOKUP($A304,[1]Hugst!$R$5:$W$9,MATCH(ROUNDUP((AC$1)/10,0)*10,[1]Hugst!$R$4:$W$4,0))))</f>
        <v>0</v>
      </c>
      <c r="AD304">
        <f>IF($C304-AD$1&lt;År1,0,AC303*(1-VLOOKUP($A304,[1]Hugst!$R$5:$W$9,MATCH(ROUNDUP((AD$1)/10,0)*10,[1]Hugst!$R$4:$W$4,0))))</f>
        <v>0</v>
      </c>
      <c r="AE304">
        <f>IF($C304-AE$1&lt;År1,0,AD303*(1-VLOOKUP($A304,[1]Hugst!$R$5:$W$9,MATCH(ROUNDUP((AE$1)/10,0)*10,[1]Hugst!$R$4:$W$4,0))))</f>
        <v>0</v>
      </c>
      <c r="AF304">
        <f>IF($C304-AF$1&lt;År1,0,AE303*(1-VLOOKUP($A304,[1]Hugst!$R$5:$W$9,MATCH(ROUNDUP((AF$1)/10,0)*10,[1]Hugst!$R$4:$W$4,0))))</f>
        <v>0</v>
      </c>
      <c r="AG304">
        <f>IF($C304-AG$1&lt;År1,0,AF303*(1-VLOOKUP($A304,[1]Hugst!$R$5:$W$9,MATCH(ROUNDUP((AG$1)/10,0)*10,[1]Hugst!$R$4:$W$4,0))))</f>
        <v>0</v>
      </c>
      <c r="AH304">
        <f>IF($C304-AH$1&lt;År1,0,AG303*(1-VLOOKUP($A304,[1]Hugst!$R$5:$W$9,MATCH(ROUNDUP((AH$1)/10,0)*10,[1]Hugst!$R$4:$W$4,0))))</f>
        <v>0</v>
      </c>
      <c r="AI304">
        <f>IF($C304-AI$1&lt;År1,0,AH303*(1-VLOOKUP($A304,[1]Hugst!$R$5:$W$9,MATCH(ROUNDUP((AI$1)/10,0)*10,[1]Hugst!$R$4:$W$4,0))))</f>
        <v>0</v>
      </c>
      <c r="AJ304">
        <f>IF($C304-AJ$1&lt;År1,0,AI303*(1-VLOOKUP($A304,[1]Hugst!$R$5:$W$9,MATCH(ROUNDUP((AJ$1)/10,0)*10,[1]Hugst!$R$4:$W$4,0))))</f>
        <v>0</v>
      </c>
    </row>
    <row r="305" spans="1:36" x14ac:dyDescent="0.25">
      <c r="A305" t="s">
        <v>180</v>
      </c>
      <c r="B305" t="s">
        <v>24</v>
      </c>
      <c r="C305">
        <v>2044</v>
      </c>
      <c r="D305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0</v>
      </c>
      <c r="E305">
        <f t="shared" ca="1" si="7"/>
        <v>0</v>
      </c>
      <c r="F305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>
        <f ca="1">IF($C305-G$1&lt;År1,0,F304*(1-VLOOKUP($A305,[1]Hugst!$R$5:$W$9,MATCH(ROUNDUP((G$1)/10,0)*10,[1]Hugst!$R$4:$W$4,0))))</f>
        <v>0</v>
      </c>
      <c r="H305">
        <f ca="1">IF($C305-H$1&lt;År1,0,G304*(1-VLOOKUP($A305,[1]Hugst!$R$5:$W$9,MATCH(ROUNDUP((H$1)/10,0)*10,[1]Hugst!$R$4:$W$4,0))))</f>
        <v>0</v>
      </c>
      <c r="I305">
        <f ca="1">IF($C305-I$1&lt;År1,0,H304*(1-VLOOKUP($A305,[1]Hugst!$R$5:$W$9,MATCH(ROUNDUP((I$1)/10,0)*10,[1]Hugst!$R$4:$W$4,0))))</f>
        <v>0</v>
      </c>
      <c r="J305">
        <f ca="1">IF($C305-J$1&lt;År1,0,I304*(1-VLOOKUP($A305,[1]Hugst!$R$5:$W$9,MATCH(ROUNDUP((J$1)/10,0)*10,[1]Hugst!$R$4:$W$4,0))))</f>
        <v>0</v>
      </c>
      <c r="K305">
        <f ca="1">IF($C305-K$1&lt;År1,0,J304*(1-VLOOKUP($A305,[1]Hugst!$R$5:$W$9,MATCH(ROUNDUP((K$1)/10,0)*10,[1]Hugst!$R$4:$W$4,0))))</f>
        <v>0</v>
      </c>
      <c r="L305">
        <f ca="1">IF($C305-L$1&lt;År1,0,K304*(1-VLOOKUP($A305,[1]Hugst!$R$5:$W$9,MATCH(ROUNDUP((L$1)/10,0)*10,[1]Hugst!$R$4:$W$4,0))))</f>
        <v>0</v>
      </c>
      <c r="M305">
        <f ca="1">IF($C305-M$1&lt;År1,0,L304*(1-VLOOKUP($A305,[1]Hugst!$R$5:$W$9,MATCH(ROUNDUP((M$1)/10,0)*10,[1]Hugst!$R$4:$W$4,0))))</f>
        <v>0</v>
      </c>
      <c r="N305">
        <f ca="1">IF($C305-N$1&lt;År1,0,M304*(1-VLOOKUP($A305,[1]Hugst!$R$5:$W$9,MATCH(ROUNDUP((N$1)/10,0)*10,[1]Hugst!$R$4:$W$4,0))))</f>
        <v>0</v>
      </c>
      <c r="O305">
        <f ca="1">IF($C305-O$1&lt;År1,0,N304*(1-VLOOKUP($A305,[1]Hugst!$R$5:$W$9,MATCH(ROUNDUP((O$1)/10,0)*10,[1]Hugst!$R$4:$W$4,0))))</f>
        <v>0</v>
      </c>
      <c r="P305">
        <f ca="1">IF($C305-P$1&lt;År1,0,O304*(1-VLOOKUP($A305,[1]Hugst!$R$5:$W$9,MATCH(ROUNDUP((P$1)/10,0)*10,[1]Hugst!$R$4:$W$4,0))))</f>
        <v>0</v>
      </c>
      <c r="Q305">
        <f ca="1">IF($C305-Q$1&lt;År1,0,P304*(1-VLOOKUP($A305,[1]Hugst!$R$5:$W$9,MATCH(ROUNDUP((Q$1)/10,0)*10,[1]Hugst!$R$4:$W$4,0))))</f>
        <v>0</v>
      </c>
      <c r="R305">
        <f ca="1">IF($C305-R$1&lt;År1,0,Q304*(1-VLOOKUP($A305,[1]Hugst!$R$5:$W$9,MATCH(ROUNDUP((R$1)/10,0)*10,[1]Hugst!$R$4:$W$4,0))))</f>
        <v>0</v>
      </c>
      <c r="S305">
        <f ca="1">IF($C305-S$1&lt;År1,0,R304*(1-VLOOKUP($A305,[1]Hugst!$R$5:$W$9,MATCH(ROUNDUP((S$1)/10,0)*10,[1]Hugst!$R$4:$W$4,0))))</f>
        <v>0</v>
      </c>
      <c r="T305">
        <f ca="1">IF($C305-T$1&lt;År1,0,S304*(1-VLOOKUP($A305,[1]Hugst!$R$5:$W$9,MATCH(ROUNDUP((T$1)/10,0)*10,[1]Hugst!$R$4:$W$4,0))))</f>
        <v>0</v>
      </c>
      <c r="U305">
        <f ca="1">IF($C305-U$1&lt;År1,0,T304*(1-VLOOKUP($A305,[1]Hugst!$R$5:$W$9,MATCH(ROUNDUP((U$1)/10,0)*10,[1]Hugst!$R$4:$W$4,0))))</f>
        <v>0</v>
      </c>
      <c r="V305">
        <f ca="1">IF($C305-V$1&lt;År1,0,U304*(1-VLOOKUP($A305,[1]Hugst!$R$5:$W$9,MATCH(ROUNDUP((V$1)/10,0)*10,[1]Hugst!$R$4:$W$4,0))))</f>
        <v>0</v>
      </c>
      <c r="W305">
        <f ca="1">IF($C305-W$1&lt;År1,0,V304*(1-VLOOKUP($A305,[1]Hugst!$R$5:$W$9,MATCH(ROUNDUP((W$1)/10,0)*10,[1]Hugst!$R$4:$W$4,0))))</f>
        <v>0</v>
      </c>
      <c r="X305">
        <f ca="1">IF($C305-X$1&lt;År1,0,W304*(1-VLOOKUP($A305,[1]Hugst!$R$5:$W$9,MATCH(ROUNDUP((X$1)/10,0)*10,[1]Hugst!$R$4:$W$4,0))))</f>
        <v>0</v>
      </c>
      <c r="Y305">
        <f ca="1">IF($C305-Y$1&lt;År1,0,X304*(1-VLOOKUP($A305,[1]Hugst!$R$5:$W$9,MATCH(ROUNDUP((Y$1)/10,0)*10,[1]Hugst!$R$4:$W$4,0))))</f>
        <v>0</v>
      </c>
      <c r="Z305">
        <f ca="1">IF($C305-Z$1&lt;År1,0,Y304*(1-VLOOKUP($A305,[1]Hugst!$R$5:$W$9,MATCH(ROUNDUP((Z$1)/10,0)*10,[1]Hugst!$R$4:$W$4,0))))</f>
        <v>0</v>
      </c>
      <c r="AA305">
        <f ca="1">IF($C305-AA$1&lt;År1,0,Z304*(1-VLOOKUP($A305,[1]Hugst!$R$5:$W$9,MATCH(ROUNDUP((AA$1)/10,0)*10,[1]Hugst!$R$4:$W$4,0))))</f>
        <v>0</v>
      </c>
      <c r="AB305">
        <f ca="1">IF($C305-AB$1&lt;År1,0,AA304*(1-VLOOKUP($A305,[1]Hugst!$R$5:$W$9,MATCH(ROUNDUP((AB$1)/10,0)*10,[1]Hugst!$R$4:$W$4,0))))</f>
        <v>0</v>
      </c>
      <c r="AC305">
        <f ca="1">IF($C305-AC$1&lt;År1,0,AB304*(1-VLOOKUP($A305,[1]Hugst!$R$5:$W$9,MATCH(ROUNDUP((AC$1)/10,0)*10,[1]Hugst!$R$4:$W$4,0))))</f>
        <v>0</v>
      </c>
      <c r="AD305">
        <f ca="1">IF($C305-AD$1&lt;År1,0,AC304*(1-VLOOKUP($A305,[1]Hugst!$R$5:$W$9,MATCH(ROUNDUP((AD$1)/10,0)*10,[1]Hugst!$R$4:$W$4,0))))</f>
        <v>0</v>
      </c>
      <c r="AE305">
        <f>IF($C305-AE$1&lt;År1,0,AD304*(1-VLOOKUP($A305,[1]Hugst!$R$5:$W$9,MATCH(ROUNDUP((AE$1)/10,0)*10,[1]Hugst!$R$4:$W$4,0))))</f>
        <v>0</v>
      </c>
      <c r="AF305">
        <f>IF($C305-AF$1&lt;År1,0,AE304*(1-VLOOKUP($A305,[1]Hugst!$R$5:$W$9,MATCH(ROUNDUP((AF$1)/10,0)*10,[1]Hugst!$R$4:$W$4,0))))</f>
        <v>0</v>
      </c>
      <c r="AG305">
        <f>IF($C305-AG$1&lt;År1,0,AF304*(1-VLOOKUP($A305,[1]Hugst!$R$5:$W$9,MATCH(ROUNDUP((AG$1)/10,0)*10,[1]Hugst!$R$4:$W$4,0))))</f>
        <v>0</v>
      </c>
      <c r="AH305">
        <f>IF($C305-AH$1&lt;År1,0,AG304*(1-VLOOKUP($A305,[1]Hugst!$R$5:$W$9,MATCH(ROUNDUP((AH$1)/10,0)*10,[1]Hugst!$R$4:$W$4,0))))</f>
        <v>0</v>
      </c>
      <c r="AI305">
        <f>IF($C305-AI$1&lt;År1,0,AH304*(1-VLOOKUP($A305,[1]Hugst!$R$5:$W$9,MATCH(ROUNDUP((AI$1)/10,0)*10,[1]Hugst!$R$4:$W$4,0))))</f>
        <v>0</v>
      </c>
      <c r="AJ305">
        <f>IF($C305-AJ$1&lt;År1,0,AI304*(1-VLOOKUP($A305,[1]Hugst!$R$5:$W$9,MATCH(ROUNDUP((AJ$1)/10,0)*10,[1]Hugst!$R$4:$W$4,0))))</f>
        <v>0</v>
      </c>
    </row>
    <row r="306" spans="1:36" x14ac:dyDescent="0.25">
      <c r="A306" t="s">
        <v>180</v>
      </c>
      <c r="B306" t="s">
        <v>24</v>
      </c>
      <c r="C306">
        <v>2045</v>
      </c>
      <c r="D306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0</v>
      </c>
      <c r="E306">
        <f t="shared" ca="1" si="7"/>
        <v>0</v>
      </c>
      <c r="F306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>
        <f ca="1">IF($C306-G$1&lt;År1,0,F305*(1-VLOOKUP($A306,[1]Hugst!$R$5:$W$9,MATCH(ROUNDUP((G$1)/10,0)*10,[1]Hugst!$R$4:$W$4,0))))</f>
        <v>0</v>
      </c>
      <c r="H306">
        <f ca="1">IF($C306-H$1&lt;År1,0,G305*(1-VLOOKUP($A306,[1]Hugst!$R$5:$W$9,MATCH(ROUNDUP((H$1)/10,0)*10,[1]Hugst!$R$4:$W$4,0))))</f>
        <v>0</v>
      </c>
      <c r="I306">
        <f ca="1">IF($C306-I$1&lt;År1,0,H305*(1-VLOOKUP($A306,[1]Hugst!$R$5:$W$9,MATCH(ROUNDUP((I$1)/10,0)*10,[1]Hugst!$R$4:$W$4,0))))</f>
        <v>0</v>
      </c>
      <c r="J306">
        <f ca="1">IF($C306-J$1&lt;År1,0,I305*(1-VLOOKUP($A306,[1]Hugst!$R$5:$W$9,MATCH(ROUNDUP((J$1)/10,0)*10,[1]Hugst!$R$4:$W$4,0))))</f>
        <v>0</v>
      </c>
      <c r="K306">
        <f ca="1">IF($C306-K$1&lt;År1,0,J305*(1-VLOOKUP($A306,[1]Hugst!$R$5:$W$9,MATCH(ROUNDUP((K$1)/10,0)*10,[1]Hugst!$R$4:$W$4,0))))</f>
        <v>0</v>
      </c>
      <c r="L306">
        <f ca="1">IF($C306-L$1&lt;År1,0,K305*(1-VLOOKUP($A306,[1]Hugst!$R$5:$W$9,MATCH(ROUNDUP((L$1)/10,0)*10,[1]Hugst!$R$4:$W$4,0))))</f>
        <v>0</v>
      </c>
      <c r="M306">
        <f ca="1">IF($C306-M$1&lt;År1,0,L305*(1-VLOOKUP($A306,[1]Hugst!$R$5:$W$9,MATCH(ROUNDUP((M$1)/10,0)*10,[1]Hugst!$R$4:$W$4,0))))</f>
        <v>0</v>
      </c>
      <c r="N306">
        <f ca="1">IF($C306-N$1&lt;År1,0,M305*(1-VLOOKUP($A306,[1]Hugst!$R$5:$W$9,MATCH(ROUNDUP((N$1)/10,0)*10,[1]Hugst!$R$4:$W$4,0))))</f>
        <v>0</v>
      </c>
      <c r="O306">
        <f ca="1">IF($C306-O$1&lt;År1,0,N305*(1-VLOOKUP($A306,[1]Hugst!$R$5:$W$9,MATCH(ROUNDUP((O$1)/10,0)*10,[1]Hugst!$R$4:$W$4,0))))</f>
        <v>0</v>
      </c>
      <c r="P306">
        <f ca="1">IF($C306-P$1&lt;År1,0,O305*(1-VLOOKUP($A306,[1]Hugst!$R$5:$W$9,MATCH(ROUNDUP((P$1)/10,0)*10,[1]Hugst!$R$4:$W$4,0))))</f>
        <v>0</v>
      </c>
      <c r="Q306">
        <f ca="1">IF($C306-Q$1&lt;År1,0,P305*(1-VLOOKUP($A306,[1]Hugst!$R$5:$W$9,MATCH(ROUNDUP((Q$1)/10,0)*10,[1]Hugst!$R$4:$W$4,0))))</f>
        <v>0</v>
      </c>
      <c r="R306">
        <f ca="1">IF($C306-R$1&lt;År1,0,Q305*(1-VLOOKUP($A306,[1]Hugst!$R$5:$W$9,MATCH(ROUNDUP((R$1)/10,0)*10,[1]Hugst!$R$4:$W$4,0))))</f>
        <v>0</v>
      </c>
      <c r="S306">
        <f ca="1">IF($C306-S$1&lt;År1,0,R305*(1-VLOOKUP($A306,[1]Hugst!$R$5:$W$9,MATCH(ROUNDUP((S$1)/10,0)*10,[1]Hugst!$R$4:$W$4,0))))</f>
        <v>0</v>
      </c>
      <c r="T306">
        <f ca="1">IF($C306-T$1&lt;År1,0,S305*(1-VLOOKUP($A306,[1]Hugst!$R$5:$W$9,MATCH(ROUNDUP((T$1)/10,0)*10,[1]Hugst!$R$4:$W$4,0))))</f>
        <v>0</v>
      </c>
      <c r="U306">
        <f ca="1">IF($C306-U$1&lt;År1,0,T305*(1-VLOOKUP($A306,[1]Hugst!$R$5:$W$9,MATCH(ROUNDUP((U$1)/10,0)*10,[1]Hugst!$R$4:$W$4,0))))</f>
        <v>0</v>
      </c>
      <c r="V306">
        <f ca="1">IF($C306-V$1&lt;År1,0,U305*(1-VLOOKUP($A306,[1]Hugst!$R$5:$W$9,MATCH(ROUNDUP((V$1)/10,0)*10,[1]Hugst!$R$4:$W$4,0))))</f>
        <v>0</v>
      </c>
      <c r="W306">
        <f ca="1">IF($C306-W$1&lt;År1,0,V305*(1-VLOOKUP($A306,[1]Hugst!$R$5:$W$9,MATCH(ROUNDUP((W$1)/10,0)*10,[1]Hugst!$R$4:$W$4,0))))</f>
        <v>0</v>
      </c>
      <c r="X306">
        <f ca="1">IF($C306-X$1&lt;År1,0,W305*(1-VLOOKUP($A306,[1]Hugst!$R$5:$W$9,MATCH(ROUNDUP((X$1)/10,0)*10,[1]Hugst!$R$4:$W$4,0))))</f>
        <v>0</v>
      </c>
      <c r="Y306">
        <f ca="1">IF($C306-Y$1&lt;År1,0,X305*(1-VLOOKUP($A306,[1]Hugst!$R$5:$W$9,MATCH(ROUNDUP((Y$1)/10,0)*10,[1]Hugst!$R$4:$W$4,0))))</f>
        <v>0</v>
      </c>
      <c r="Z306">
        <f ca="1">IF($C306-Z$1&lt;År1,0,Y305*(1-VLOOKUP($A306,[1]Hugst!$R$5:$W$9,MATCH(ROUNDUP((Z$1)/10,0)*10,[1]Hugst!$R$4:$W$4,0))))</f>
        <v>0</v>
      </c>
      <c r="AA306">
        <f ca="1">IF($C306-AA$1&lt;År1,0,Z305*(1-VLOOKUP($A306,[1]Hugst!$R$5:$W$9,MATCH(ROUNDUP((AA$1)/10,0)*10,[1]Hugst!$R$4:$W$4,0))))</f>
        <v>0</v>
      </c>
      <c r="AB306">
        <f ca="1">IF($C306-AB$1&lt;År1,0,AA305*(1-VLOOKUP($A306,[1]Hugst!$R$5:$W$9,MATCH(ROUNDUP((AB$1)/10,0)*10,[1]Hugst!$R$4:$W$4,0))))</f>
        <v>0</v>
      </c>
      <c r="AC306">
        <f ca="1">IF($C306-AC$1&lt;År1,0,AB305*(1-VLOOKUP($A306,[1]Hugst!$R$5:$W$9,MATCH(ROUNDUP((AC$1)/10,0)*10,[1]Hugst!$R$4:$W$4,0))))</f>
        <v>0</v>
      </c>
      <c r="AD306">
        <f ca="1">IF($C306-AD$1&lt;År1,0,AC305*(1-VLOOKUP($A306,[1]Hugst!$R$5:$W$9,MATCH(ROUNDUP((AD$1)/10,0)*10,[1]Hugst!$R$4:$W$4,0))))</f>
        <v>0</v>
      </c>
      <c r="AE306">
        <f ca="1">IF($C306-AE$1&lt;År1,0,AD305*(1-VLOOKUP($A306,[1]Hugst!$R$5:$W$9,MATCH(ROUNDUP((AE$1)/10,0)*10,[1]Hugst!$R$4:$W$4,0))))</f>
        <v>0</v>
      </c>
      <c r="AF306">
        <f>IF($C306-AF$1&lt;År1,0,AE305*(1-VLOOKUP($A306,[1]Hugst!$R$5:$W$9,MATCH(ROUNDUP((AF$1)/10,0)*10,[1]Hugst!$R$4:$W$4,0))))</f>
        <v>0</v>
      </c>
      <c r="AG306">
        <f>IF($C306-AG$1&lt;År1,0,AF305*(1-VLOOKUP($A306,[1]Hugst!$R$5:$W$9,MATCH(ROUNDUP((AG$1)/10,0)*10,[1]Hugst!$R$4:$W$4,0))))</f>
        <v>0</v>
      </c>
      <c r="AH306">
        <f>IF($C306-AH$1&lt;År1,0,AG305*(1-VLOOKUP($A306,[1]Hugst!$R$5:$W$9,MATCH(ROUNDUP((AH$1)/10,0)*10,[1]Hugst!$R$4:$W$4,0))))</f>
        <v>0</v>
      </c>
      <c r="AI306">
        <f>IF($C306-AI$1&lt;År1,0,AH305*(1-VLOOKUP($A306,[1]Hugst!$R$5:$W$9,MATCH(ROUNDUP((AI$1)/10,0)*10,[1]Hugst!$R$4:$W$4,0))))</f>
        <v>0</v>
      </c>
      <c r="AJ306">
        <f>IF($C306-AJ$1&lt;År1,0,AI305*(1-VLOOKUP($A306,[1]Hugst!$R$5:$W$9,MATCH(ROUNDUP((AJ$1)/10,0)*10,[1]Hugst!$R$4:$W$4,0))))</f>
        <v>0</v>
      </c>
    </row>
    <row r="307" spans="1:36" x14ac:dyDescent="0.25">
      <c r="A307" t="s">
        <v>180</v>
      </c>
      <c r="B307" t="s">
        <v>24</v>
      </c>
      <c r="C307">
        <v>2046</v>
      </c>
      <c r="D307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0</v>
      </c>
      <c r="E307">
        <f t="shared" ca="1" si="7"/>
        <v>0</v>
      </c>
      <c r="F307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>
        <f ca="1">IF($C307-G$1&lt;År1,0,F306*(1-VLOOKUP($A307,[1]Hugst!$R$5:$W$9,MATCH(ROUNDUP((G$1)/10,0)*10,[1]Hugst!$R$4:$W$4,0))))</f>
        <v>0</v>
      </c>
      <c r="H307">
        <f ca="1">IF($C307-H$1&lt;År1,0,G306*(1-VLOOKUP($A307,[1]Hugst!$R$5:$W$9,MATCH(ROUNDUP((H$1)/10,0)*10,[1]Hugst!$R$4:$W$4,0))))</f>
        <v>0</v>
      </c>
      <c r="I307">
        <f ca="1">IF($C307-I$1&lt;År1,0,H306*(1-VLOOKUP($A307,[1]Hugst!$R$5:$W$9,MATCH(ROUNDUP((I$1)/10,0)*10,[1]Hugst!$R$4:$W$4,0))))</f>
        <v>0</v>
      </c>
      <c r="J307">
        <f ca="1">IF($C307-J$1&lt;År1,0,I306*(1-VLOOKUP($A307,[1]Hugst!$R$5:$W$9,MATCH(ROUNDUP((J$1)/10,0)*10,[1]Hugst!$R$4:$W$4,0))))</f>
        <v>0</v>
      </c>
      <c r="K307">
        <f ca="1">IF($C307-K$1&lt;År1,0,J306*(1-VLOOKUP($A307,[1]Hugst!$R$5:$W$9,MATCH(ROUNDUP((K$1)/10,0)*10,[1]Hugst!$R$4:$W$4,0))))</f>
        <v>0</v>
      </c>
      <c r="L307">
        <f ca="1">IF($C307-L$1&lt;År1,0,K306*(1-VLOOKUP($A307,[1]Hugst!$R$5:$W$9,MATCH(ROUNDUP((L$1)/10,0)*10,[1]Hugst!$R$4:$W$4,0))))</f>
        <v>0</v>
      </c>
      <c r="M307">
        <f ca="1">IF($C307-M$1&lt;År1,0,L306*(1-VLOOKUP($A307,[1]Hugst!$R$5:$W$9,MATCH(ROUNDUP((M$1)/10,0)*10,[1]Hugst!$R$4:$W$4,0))))</f>
        <v>0</v>
      </c>
      <c r="N307">
        <f ca="1">IF($C307-N$1&lt;År1,0,M306*(1-VLOOKUP($A307,[1]Hugst!$R$5:$W$9,MATCH(ROUNDUP((N$1)/10,0)*10,[1]Hugst!$R$4:$W$4,0))))</f>
        <v>0</v>
      </c>
      <c r="O307">
        <f ca="1">IF($C307-O$1&lt;År1,0,N306*(1-VLOOKUP($A307,[1]Hugst!$R$5:$W$9,MATCH(ROUNDUP((O$1)/10,0)*10,[1]Hugst!$R$4:$W$4,0))))</f>
        <v>0</v>
      </c>
      <c r="P307">
        <f ca="1">IF($C307-P$1&lt;År1,0,O306*(1-VLOOKUP($A307,[1]Hugst!$R$5:$W$9,MATCH(ROUNDUP((P$1)/10,0)*10,[1]Hugst!$R$4:$W$4,0))))</f>
        <v>0</v>
      </c>
      <c r="Q307">
        <f ca="1">IF($C307-Q$1&lt;År1,0,P306*(1-VLOOKUP($A307,[1]Hugst!$R$5:$W$9,MATCH(ROUNDUP((Q$1)/10,0)*10,[1]Hugst!$R$4:$W$4,0))))</f>
        <v>0</v>
      </c>
      <c r="R307">
        <f ca="1">IF($C307-R$1&lt;År1,0,Q306*(1-VLOOKUP($A307,[1]Hugst!$R$5:$W$9,MATCH(ROUNDUP((R$1)/10,0)*10,[1]Hugst!$R$4:$W$4,0))))</f>
        <v>0</v>
      </c>
      <c r="S307">
        <f ca="1">IF($C307-S$1&lt;År1,0,R306*(1-VLOOKUP($A307,[1]Hugst!$R$5:$W$9,MATCH(ROUNDUP((S$1)/10,0)*10,[1]Hugst!$R$4:$W$4,0))))</f>
        <v>0</v>
      </c>
      <c r="T307">
        <f ca="1">IF($C307-T$1&lt;År1,0,S306*(1-VLOOKUP($A307,[1]Hugst!$R$5:$W$9,MATCH(ROUNDUP((T$1)/10,0)*10,[1]Hugst!$R$4:$W$4,0))))</f>
        <v>0</v>
      </c>
      <c r="U307">
        <f ca="1">IF($C307-U$1&lt;År1,0,T306*(1-VLOOKUP($A307,[1]Hugst!$R$5:$W$9,MATCH(ROUNDUP((U$1)/10,0)*10,[1]Hugst!$R$4:$W$4,0))))</f>
        <v>0</v>
      </c>
      <c r="V307">
        <f ca="1">IF($C307-V$1&lt;År1,0,U306*(1-VLOOKUP($A307,[1]Hugst!$R$5:$W$9,MATCH(ROUNDUP((V$1)/10,0)*10,[1]Hugst!$R$4:$W$4,0))))</f>
        <v>0</v>
      </c>
      <c r="W307">
        <f ca="1">IF($C307-W$1&lt;År1,0,V306*(1-VLOOKUP($A307,[1]Hugst!$R$5:$W$9,MATCH(ROUNDUP((W$1)/10,0)*10,[1]Hugst!$R$4:$W$4,0))))</f>
        <v>0</v>
      </c>
      <c r="X307">
        <f ca="1">IF($C307-X$1&lt;År1,0,W306*(1-VLOOKUP($A307,[1]Hugst!$R$5:$W$9,MATCH(ROUNDUP((X$1)/10,0)*10,[1]Hugst!$R$4:$W$4,0))))</f>
        <v>0</v>
      </c>
      <c r="Y307">
        <f ca="1">IF($C307-Y$1&lt;År1,0,X306*(1-VLOOKUP($A307,[1]Hugst!$R$5:$W$9,MATCH(ROUNDUP((Y$1)/10,0)*10,[1]Hugst!$R$4:$W$4,0))))</f>
        <v>0</v>
      </c>
      <c r="Z307">
        <f ca="1">IF($C307-Z$1&lt;År1,0,Y306*(1-VLOOKUP($A307,[1]Hugst!$R$5:$W$9,MATCH(ROUNDUP((Z$1)/10,0)*10,[1]Hugst!$R$4:$W$4,0))))</f>
        <v>0</v>
      </c>
      <c r="AA307">
        <f ca="1">IF($C307-AA$1&lt;År1,0,Z306*(1-VLOOKUP($A307,[1]Hugst!$R$5:$W$9,MATCH(ROUNDUP((AA$1)/10,0)*10,[1]Hugst!$R$4:$W$4,0))))</f>
        <v>0</v>
      </c>
      <c r="AB307">
        <f ca="1">IF($C307-AB$1&lt;År1,0,AA306*(1-VLOOKUP($A307,[1]Hugst!$R$5:$W$9,MATCH(ROUNDUP((AB$1)/10,0)*10,[1]Hugst!$R$4:$W$4,0))))</f>
        <v>0</v>
      </c>
      <c r="AC307">
        <f ca="1">IF($C307-AC$1&lt;År1,0,AB306*(1-VLOOKUP($A307,[1]Hugst!$R$5:$W$9,MATCH(ROUNDUP((AC$1)/10,0)*10,[1]Hugst!$R$4:$W$4,0))))</f>
        <v>0</v>
      </c>
      <c r="AD307">
        <f ca="1">IF($C307-AD$1&lt;År1,0,AC306*(1-VLOOKUP($A307,[1]Hugst!$R$5:$W$9,MATCH(ROUNDUP((AD$1)/10,0)*10,[1]Hugst!$R$4:$W$4,0))))</f>
        <v>0</v>
      </c>
      <c r="AE307">
        <f ca="1">IF($C307-AE$1&lt;År1,0,AD306*(1-VLOOKUP($A307,[1]Hugst!$R$5:$W$9,MATCH(ROUNDUP((AE$1)/10,0)*10,[1]Hugst!$R$4:$W$4,0))))</f>
        <v>0</v>
      </c>
      <c r="AF307">
        <f ca="1">IF($C307-AF$1&lt;År1,0,AE306*(1-VLOOKUP($A307,[1]Hugst!$R$5:$W$9,MATCH(ROUNDUP((AF$1)/10,0)*10,[1]Hugst!$R$4:$W$4,0))))</f>
        <v>0</v>
      </c>
      <c r="AG307">
        <f>IF($C307-AG$1&lt;År1,0,AF306*(1-VLOOKUP($A307,[1]Hugst!$R$5:$W$9,MATCH(ROUNDUP((AG$1)/10,0)*10,[1]Hugst!$R$4:$W$4,0))))</f>
        <v>0</v>
      </c>
      <c r="AH307">
        <f>IF($C307-AH$1&lt;År1,0,AG306*(1-VLOOKUP($A307,[1]Hugst!$R$5:$W$9,MATCH(ROUNDUP((AH$1)/10,0)*10,[1]Hugst!$R$4:$W$4,0))))</f>
        <v>0</v>
      </c>
      <c r="AI307">
        <f>IF($C307-AI$1&lt;År1,0,AH306*(1-VLOOKUP($A307,[1]Hugst!$R$5:$W$9,MATCH(ROUNDUP((AI$1)/10,0)*10,[1]Hugst!$R$4:$W$4,0))))</f>
        <v>0</v>
      </c>
      <c r="AJ307">
        <f>IF($C307-AJ$1&lt;År1,0,AI306*(1-VLOOKUP($A307,[1]Hugst!$R$5:$W$9,MATCH(ROUNDUP((AJ$1)/10,0)*10,[1]Hugst!$R$4:$W$4,0))))</f>
        <v>0</v>
      </c>
    </row>
    <row r="308" spans="1:36" x14ac:dyDescent="0.25">
      <c r="A308" t="s">
        <v>180</v>
      </c>
      <c r="B308" t="s">
        <v>24</v>
      </c>
      <c r="C308">
        <v>2047</v>
      </c>
      <c r="D30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0</v>
      </c>
      <c r="E308">
        <f t="shared" ca="1" si="7"/>
        <v>0</v>
      </c>
      <c r="F30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>
        <f ca="1">IF($C308-G$1&lt;År1,0,F307*(1-VLOOKUP($A308,[1]Hugst!$R$5:$W$9,MATCH(ROUNDUP((G$1)/10,0)*10,[1]Hugst!$R$4:$W$4,0))))</f>
        <v>0</v>
      </c>
      <c r="H308">
        <f ca="1">IF($C308-H$1&lt;År1,0,G307*(1-VLOOKUP($A308,[1]Hugst!$R$5:$W$9,MATCH(ROUNDUP((H$1)/10,0)*10,[1]Hugst!$R$4:$W$4,0))))</f>
        <v>0</v>
      </c>
      <c r="I308">
        <f ca="1">IF($C308-I$1&lt;År1,0,H307*(1-VLOOKUP($A308,[1]Hugst!$R$5:$W$9,MATCH(ROUNDUP((I$1)/10,0)*10,[1]Hugst!$R$4:$W$4,0))))</f>
        <v>0</v>
      </c>
      <c r="J308">
        <f ca="1">IF($C308-J$1&lt;År1,0,I307*(1-VLOOKUP($A308,[1]Hugst!$R$5:$W$9,MATCH(ROUNDUP((J$1)/10,0)*10,[1]Hugst!$R$4:$W$4,0))))</f>
        <v>0</v>
      </c>
      <c r="K308">
        <f ca="1">IF($C308-K$1&lt;År1,0,J307*(1-VLOOKUP($A308,[1]Hugst!$R$5:$W$9,MATCH(ROUNDUP((K$1)/10,0)*10,[1]Hugst!$R$4:$W$4,0))))</f>
        <v>0</v>
      </c>
      <c r="L308">
        <f ca="1">IF($C308-L$1&lt;År1,0,K307*(1-VLOOKUP($A308,[1]Hugst!$R$5:$W$9,MATCH(ROUNDUP((L$1)/10,0)*10,[1]Hugst!$R$4:$W$4,0))))</f>
        <v>0</v>
      </c>
      <c r="M308">
        <f ca="1">IF($C308-M$1&lt;År1,0,L307*(1-VLOOKUP($A308,[1]Hugst!$R$5:$W$9,MATCH(ROUNDUP((M$1)/10,0)*10,[1]Hugst!$R$4:$W$4,0))))</f>
        <v>0</v>
      </c>
      <c r="N308">
        <f ca="1">IF($C308-N$1&lt;År1,0,M307*(1-VLOOKUP($A308,[1]Hugst!$R$5:$W$9,MATCH(ROUNDUP((N$1)/10,0)*10,[1]Hugst!$R$4:$W$4,0))))</f>
        <v>0</v>
      </c>
      <c r="O308">
        <f ca="1">IF($C308-O$1&lt;År1,0,N307*(1-VLOOKUP($A308,[1]Hugst!$R$5:$W$9,MATCH(ROUNDUP((O$1)/10,0)*10,[1]Hugst!$R$4:$W$4,0))))</f>
        <v>0</v>
      </c>
      <c r="P308">
        <f ca="1">IF($C308-P$1&lt;År1,0,O307*(1-VLOOKUP($A308,[1]Hugst!$R$5:$W$9,MATCH(ROUNDUP((P$1)/10,0)*10,[1]Hugst!$R$4:$W$4,0))))</f>
        <v>0</v>
      </c>
      <c r="Q308">
        <f ca="1">IF($C308-Q$1&lt;År1,0,P307*(1-VLOOKUP($A308,[1]Hugst!$R$5:$W$9,MATCH(ROUNDUP((Q$1)/10,0)*10,[1]Hugst!$R$4:$W$4,0))))</f>
        <v>0</v>
      </c>
      <c r="R308">
        <f ca="1">IF($C308-R$1&lt;År1,0,Q307*(1-VLOOKUP($A308,[1]Hugst!$R$5:$W$9,MATCH(ROUNDUP((R$1)/10,0)*10,[1]Hugst!$R$4:$W$4,0))))</f>
        <v>0</v>
      </c>
      <c r="S308">
        <f ca="1">IF($C308-S$1&lt;År1,0,R307*(1-VLOOKUP($A308,[1]Hugst!$R$5:$W$9,MATCH(ROUNDUP((S$1)/10,0)*10,[1]Hugst!$R$4:$W$4,0))))</f>
        <v>0</v>
      </c>
      <c r="T308">
        <f ca="1">IF($C308-T$1&lt;År1,0,S307*(1-VLOOKUP($A308,[1]Hugst!$R$5:$W$9,MATCH(ROUNDUP((T$1)/10,0)*10,[1]Hugst!$R$4:$W$4,0))))</f>
        <v>0</v>
      </c>
      <c r="U308">
        <f ca="1">IF($C308-U$1&lt;År1,0,T307*(1-VLOOKUP($A308,[1]Hugst!$R$5:$W$9,MATCH(ROUNDUP((U$1)/10,0)*10,[1]Hugst!$R$4:$W$4,0))))</f>
        <v>0</v>
      </c>
      <c r="V308">
        <f ca="1">IF($C308-V$1&lt;År1,0,U307*(1-VLOOKUP($A308,[1]Hugst!$R$5:$W$9,MATCH(ROUNDUP((V$1)/10,0)*10,[1]Hugst!$R$4:$W$4,0))))</f>
        <v>0</v>
      </c>
      <c r="W308">
        <f ca="1">IF($C308-W$1&lt;År1,0,V307*(1-VLOOKUP($A308,[1]Hugst!$R$5:$W$9,MATCH(ROUNDUP((W$1)/10,0)*10,[1]Hugst!$R$4:$W$4,0))))</f>
        <v>0</v>
      </c>
      <c r="X308">
        <f ca="1">IF($C308-X$1&lt;År1,0,W307*(1-VLOOKUP($A308,[1]Hugst!$R$5:$W$9,MATCH(ROUNDUP((X$1)/10,0)*10,[1]Hugst!$R$4:$W$4,0))))</f>
        <v>0</v>
      </c>
      <c r="Y308">
        <f ca="1">IF($C308-Y$1&lt;År1,0,X307*(1-VLOOKUP($A308,[1]Hugst!$R$5:$W$9,MATCH(ROUNDUP((Y$1)/10,0)*10,[1]Hugst!$R$4:$W$4,0))))</f>
        <v>0</v>
      </c>
      <c r="Z308">
        <f ca="1">IF($C308-Z$1&lt;År1,0,Y307*(1-VLOOKUP($A308,[1]Hugst!$R$5:$W$9,MATCH(ROUNDUP((Z$1)/10,0)*10,[1]Hugst!$R$4:$W$4,0))))</f>
        <v>0</v>
      </c>
      <c r="AA308">
        <f ca="1">IF($C308-AA$1&lt;År1,0,Z307*(1-VLOOKUP($A308,[1]Hugst!$R$5:$W$9,MATCH(ROUNDUP((AA$1)/10,0)*10,[1]Hugst!$R$4:$W$4,0))))</f>
        <v>0</v>
      </c>
      <c r="AB308">
        <f ca="1">IF($C308-AB$1&lt;År1,0,AA307*(1-VLOOKUP($A308,[1]Hugst!$R$5:$W$9,MATCH(ROUNDUP((AB$1)/10,0)*10,[1]Hugst!$R$4:$W$4,0))))</f>
        <v>0</v>
      </c>
      <c r="AC308">
        <f ca="1">IF($C308-AC$1&lt;År1,0,AB307*(1-VLOOKUP($A308,[1]Hugst!$R$5:$W$9,MATCH(ROUNDUP((AC$1)/10,0)*10,[1]Hugst!$R$4:$W$4,0))))</f>
        <v>0</v>
      </c>
      <c r="AD308">
        <f ca="1">IF($C308-AD$1&lt;År1,0,AC307*(1-VLOOKUP($A308,[1]Hugst!$R$5:$W$9,MATCH(ROUNDUP((AD$1)/10,0)*10,[1]Hugst!$R$4:$W$4,0))))</f>
        <v>0</v>
      </c>
      <c r="AE308">
        <f ca="1">IF($C308-AE$1&lt;År1,0,AD307*(1-VLOOKUP($A308,[1]Hugst!$R$5:$W$9,MATCH(ROUNDUP((AE$1)/10,0)*10,[1]Hugst!$R$4:$W$4,0))))</f>
        <v>0</v>
      </c>
      <c r="AF308">
        <f ca="1">IF($C308-AF$1&lt;År1,0,AE307*(1-VLOOKUP($A308,[1]Hugst!$R$5:$W$9,MATCH(ROUNDUP((AF$1)/10,0)*10,[1]Hugst!$R$4:$W$4,0))))</f>
        <v>0</v>
      </c>
      <c r="AG308">
        <f ca="1">IF($C308-AG$1&lt;År1,0,AF307*(1-VLOOKUP($A308,[1]Hugst!$R$5:$W$9,MATCH(ROUNDUP((AG$1)/10,0)*10,[1]Hugst!$R$4:$W$4,0))))</f>
        <v>0</v>
      </c>
      <c r="AH308">
        <f>IF($C308-AH$1&lt;År1,0,AG307*(1-VLOOKUP($A308,[1]Hugst!$R$5:$W$9,MATCH(ROUNDUP((AH$1)/10,0)*10,[1]Hugst!$R$4:$W$4,0))))</f>
        <v>0</v>
      </c>
      <c r="AI308">
        <f>IF($C308-AI$1&lt;År1,0,AH307*(1-VLOOKUP($A308,[1]Hugst!$R$5:$W$9,MATCH(ROUNDUP((AI$1)/10,0)*10,[1]Hugst!$R$4:$W$4,0))))</f>
        <v>0</v>
      </c>
      <c r="AJ308">
        <f>IF($C308-AJ$1&lt;År1,0,AI307*(1-VLOOKUP($A308,[1]Hugst!$R$5:$W$9,MATCH(ROUNDUP((AJ$1)/10,0)*10,[1]Hugst!$R$4:$W$4,0))))</f>
        <v>0</v>
      </c>
    </row>
    <row r="309" spans="1:36" x14ac:dyDescent="0.25">
      <c r="A309" t="s">
        <v>180</v>
      </c>
      <c r="B309" t="s">
        <v>24</v>
      </c>
      <c r="C309">
        <v>2048</v>
      </c>
      <c r="D309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0</v>
      </c>
      <c r="E309">
        <f t="shared" ca="1" si="7"/>
        <v>0</v>
      </c>
      <c r="F30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>
        <f ca="1">IF($C309-G$1&lt;År1,0,F308*(1-VLOOKUP($A309,[1]Hugst!$R$5:$W$9,MATCH(ROUNDUP((G$1)/10,0)*10,[1]Hugst!$R$4:$W$4,0))))</f>
        <v>0</v>
      </c>
      <c r="H309">
        <f ca="1">IF($C309-H$1&lt;År1,0,G308*(1-VLOOKUP($A309,[1]Hugst!$R$5:$W$9,MATCH(ROUNDUP((H$1)/10,0)*10,[1]Hugst!$R$4:$W$4,0))))</f>
        <v>0</v>
      </c>
      <c r="I309">
        <f ca="1">IF($C309-I$1&lt;År1,0,H308*(1-VLOOKUP($A309,[1]Hugst!$R$5:$W$9,MATCH(ROUNDUP((I$1)/10,0)*10,[1]Hugst!$R$4:$W$4,0))))</f>
        <v>0</v>
      </c>
      <c r="J309">
        <f ca="1">IF($C309-J$1&lt;År1,0,I308*(1-VLOOKUP($A309,[1]Hugst!$R$5:$W$9,MATCH(ROUNDUP((J$1)/10,0)*10,[1]Hugst!$R$4:$W$4,0))))</f>
        <v>0</v>
      </c>
      <c r="K309">
        <f ca="1">IF($C309-K$1&lt;År1,0,J308*(1-VLOOKUP($A309,[1]Hugst!$R$5:$W$9,MATCH(ROUNDUP((K$1)/10,0)*10,[1]Hugst!$R$4:$W$4,0))))</f>
        <v>0</v>
      </c>
      <c r="L309">
        <f ca="1">IF($C309-L$1&lt;År1,0,K308*(1-VLOOKUP($A309,[1]Hugst!$R$5:$W$9,MATCH(ROUNDUP((L$1)/10,0)*10,[1]Hugst!$R$4:$W$4,0))))</f>
        <v>0</v>
      </c>
      <c r="M309">
        <f ca="1">IF($C309-M$1&lt;År1,0,L308*(1-VLOOKUP($A309,[1]Hugst!$R$5:$W$9,MATCH(ROUNDUP((M$1)/10,0)*10,[1]Hugst!$R$4:$W$4,0))))</f>
        <v>0</v>
      </c>
      <c r="N309">
        <f ca="1">IF($C309-N$1&lt;År1,0,M308*(1-VLOOKUP($A309,[1]Hugst!$R$5:$W$9,MATCH(ROUNDUP((N$1)/10,0)*10,[1]Hugst!$R$4:$W$4,0))))</f>
        <v>0</v>
      </c>
      <c r="O309">
        <f ca="1">IF($C309-O$1&lt;År1,0,N308*(1-VLOOKUP($A309,[1]Hugst!$R$5:$W$9,MATCH(ROUNDUP((O$1)/10,0)*10,[1]Hugst!$R$4:$W$4,0))))</f>
        <v>0</v>
      </c>
      <c r="P309">
        <f ca="1">IF($C309-P$1&lt;År1,0,O308*(1-VLOOKUP($A309,[1]Hugst!$R$5:$W$9,MATCH(ROUNDUP((P$1)/10,0)*10,[1]Hugst!$R$4:$W$4,0))))</f>
        <v>0</v>
      </c>
      <c r="Q309">
        <f ca="1">IF($C309-Q$1&lt;År1,0,P308*(1-VLOOKUP($A309,[1]Hugst!$R$5:$W$9,MATCH(ROUNDUP((Q$1)/10,0)*10,[1]Hugst!$R$4:$W$4,0))))</f>
        <v>0</v>
      </c>
      <c r="R309">
        <f ca="1">IF($C309-R$1&lt;År1,0,Q308*(1-VLOOKUP($A309,[1]Hugst!$R$5:$W$9,MATCH(ROUNDUP((R$1)/10,0)*10,[1]Hugst!$R$4:$W$4,0))))</f>
        <v>0</v>
      </c>
      <c r="S309">
        <f ca="1">IF($C309-S$1&lt;År1,0,R308*(1-VLOOKUP($A309,[1]Hugst!$R$5:$W$9,MATCH(ROUNDUP((S$1)/10,0)*10,[1]Hugst!$R$4:$W$4,0))))</f>
        <v>0</v>
      </c>
      <c r="T309">
        <f ca="1">IF($C309-T$1&lt;År1,0,S308*(1-VLOOKUP($A309,[1]Hugst!$R$5:$W$9,MATCH(ROUNDUP((T$1)/10,0)*10,[1]Hugst!$R$4:$W$4,0))))</f>
        <v>0</v>
      </c>
      <c r="U309">
        <f ca="1">IF($C309-U$1&lt;År1,0,T308*(1-VLOOKUP($A309,[1]Hugst!$R$5:$W$9,MATCH(ROUNDUP((U$1)/10,0)*10,[1]Hugst!$R$4:$W$4,0))))</f>
        <v>0</v>
      </c>
      <c r="V309">
        <f ca="1">IF($C309-V$1&lt;År1,0,U308*(1-VLOOKUP($A309,[1]Hugst!$R$5:$W$9,MATCH(ROUNDUP((V$1)/10,0)*10,[1]Hugst!$R$4:$W$4,0))))</f>
        <v>0</v>
      </c>
      <c r="W309">
        <f ca="1">IF($C309-W$1&lt;År1,0,V308*(1-VLOOKUP($A309,[1]Hugst!$R$5:$W$9,MATCH(ROUNDUP((W$1)/10,0)*10,[1]Hugst!$R$4:$W$4,0))))</f>
        <v>0</v>
      </c>
      <c r="X309">
        <f ca="1">IF($C309-X$1&lt;År1,0,W308*(1-VLOOKUP($A309,[1]Hugst!$R$5:$W$9,MATCH(ROUNDUP((X$1)/10,0)*10,[1]Hugst!$R$4:$W$4,0))))</f>
        <v>0</v>
      </c>
      <c r="Y309">
        <f ca="1">IF($C309-Y$1&lt;År1,0,X308*(1-VLOOKUP($A309,[1]Hugst!$R$5:$W$9,MATCH(ROUNDUP((Y$1)/10,0)*10,[1]Hugst!$R$4:$W$4,0))))</f>
        <v>0</v>
      </c>
      <c r="Z309">
        <f ca="1">IF($C309-Z$1&lt;År1,0,Y308*(1-VLOOKUP($A309,[1]Hugst!$R$5:$W$9,MATCH(ROUNDUP((Z$1)/10,0)*10,[1]Hugst!$R$4:$W$4,0))))</f>
        <v>0</v>
      </c>
      <c r="AA309">
        <f ca="1">IF($C309-AA$1&lt;År1,0,Z308*(1-VLOOKUP($A309,[1]Hugst!$R$5:$W$9,MATCH(ROUNDUP((AA$1)/10,0)*10,[1]Hugst!$R$4:$W$4,0))))</f>
        <v>0</v>
      </c>
      <c r="AB309">
        <f ca="1">IF($C309-AB$1&lt;År1,0,AA308*(1-VLOOKUP($A309,[1]Hugst!$R$5:$W$9,MATCH(ROUNDUP((AB$1)/10,0)*10,[1]Hugst!$R$4:$W$4,0))))</f>
        <v>0</v>
      </c>
      <c r="AC309">
        <f ca="1">IF($C309-AC$1&lt;År1,0,AB308*(1-VLOOKUP($A309,[1]Hugst!$R$5:$W$9,MATCH(ROUNDUP((AC$1)/10,0)*10,[1]Hugst!$R$4:$W$4,0))))</f>
        <v>0</v>
      </c>
      <c r="AD309">
        <f ca="1">IF($C309-AD$1&lt;År1,0,AC308*(1-VLOOKUP($A309,[1]Hugst!$R$5:$W$9,MATCH(ROUNDUP((AD$1)/10,0)*10,[1]Hugst!$R$4:$W$4,0))))</f>
        <v>0</v>
      </c>
      <c r="AE309">
        <f ca="1">IF($C309-AE$1&lt;År1,0,AD308*(1-VLOOKUP($A309,[1]Hugst!$R$5:$W$9,MATCH(ROUNDUP((AE$1)/10,0)*10,[1]Hugst!$R$4:$W$4,0))))</f>
        <v>0</v>
      </c>
      <c r="AF309">
        <f ca="1">IF($C309-AF$1&lt;År1,0,AE308*(1-VLOOKUP($A309,[1]Hugst!$R$5:$W$9,MATCH(ROUNDUP((AF$1)/10,0)*10,[1]Hugst!$R$4:$W$4,0))))</f>
        <v>0</v>
      </c>
      <c r="AG309">
        <f ca="1">IF($C309-AG$1&lt;År1,0,AF308*(1-VLOOKUP($A309,[1]Hugst!$R$5:$W$9,MATCH(ROUNDUP((AG$1)/10,0)*10,[1]Hugst!$R$4:$W$4,0))))</f>
        <v>0</v>
      </c>
      <c r="AH309">
        <f ca="1">IF($C309-AH$1&lt;År1,0,AG308*(1-VLOOKUP($A309,[1]Hugst!$R$5:$W$9,MATCH(ROUNDUP((AH$1)/10,0)*10,[1]Hugst!$R$4:$W$4,0))))</f>
        <v>0</v>
      </c>
      <c r="AI309">
        <f>IF($C309-AI$1&lt;År1,0,AH308*(1-VLOOKUP($A309,[1]Hugst!$R$5:$W$9,MATCH(ROUNDUP((AI$1)/10,0)*10,[1]Hugst!$R$4:$W$4,0))))</f>
        <v>0</v>
      </c>
      <c r="AJ309">
        <f>IF($C309-AJ$1&lt;År1,0,AI308*(1-VLOOKUP($A309,[1]Hugst!$R$5:$W$9,MATCH(ROUNDUP((AJ$1)/10,0)*10,[1]Hugst!$R$4:$W$4,0))))</f>
        <v>0</v>
      </c>
    </row>
    <row r="310" spans="1:36" x14ac:dyDescent="0.25">
      <c r="A310" t="s">
        <v>180</v>
      </c>
      <c r="B310" t="s">
        <v>24</v>
      </c>
      <c r="C310">
        <v>2049</v>
      </c>
      <c r="D310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0</v>
      </c>
      <c r="E310">
        <f t="shared" ca="1" si="7"/>
        <v>0</v>
      </c>
      <c r="F310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>
        <f ca="1">IF($C310-G$1&lt;År1,0,F309*(1-VLOOKUP($A310,[1]Hugst!$R$5:$W$9,MATCH(ROUNDUP((G$1)/10,0)*10,[1]Hugst!$R$4:$W$4,0))))</f>
        <v>0</v>
      </c>
      <c r="H310">
        <f ca="1">IF($C310-H$1&lt;År1,0,G309*(1-VLOOKUP($A310,[1]Hugst!$R$5:$W$9,MATCH(ROUNDUP((H$1)/10,0)*10,[1]Hugst!$R$4:$W$4,0))))</f>
        <v>0</v>
      </c>
      <c r="I310">
        <f ca="1">IF($C310-I$1&lt;År1,0,H309*(1-VLOOKUP($A310,[1]Hugst!$R$5:$W$9,MATCH(ROUNDUP((I$1)/10,0)*10,[1]Hugst!$R$4:$W$4,0))))</f>
        <v>0</v>
      </c>
      <c r="J310">
        <f ca="1">IF($C310-J$1&lt;År1,0,I309*(1-VLOOKUP($A310,[1]Hugst!$R$5:$W$9,MATCH(ROUNDUP((J$1)/10,0)*10,[1]Hugst!$R$4:$W$4,0))))</f>
        <v>0</v>
      </c>
      <c r="K310">
        <f ca="1">IF($C310-K$1&lt;År1,0,J309*(1-VLOOKUP($A310,[1]Hugst!$R$5:$W$9,MATCH(ROUNDUP((K$1)/10,0)*10,[1]Hugst!$R$4:$W$4,0))))</f>
        <v>0</v>
      </c>
      <c r="L310">
        <f ca="1">IF($C310-L$1&lt;År1,0,K309*(1-VLOOKUP($A310,[1]Hugst!$R$5:$W$9,MATCH(ROUNDUP((L$1)/10,0)*10,[1]Hugst!$R$4:$W$4,0))))</f>
        <v>0</v>
      </c>
      <c r="M310">
        <f ca="1">IF($C310-M$1&lt;År1,0,L309*(1-VLOOKUP($A310,[1]Hugst!$R$5:$W$9,MATCH(ROUNDUP((M$1)/10,0)*10,[1]Hugst!$R$4:$W$4,0))))</f>
        <v>0</v>
      </c>
      <c r="N310">
        <f ca="1">IF($C310-N$1&lt;År1,0,M309*(1-VLOOKUP($A310,[1]Hugst!$R$5:$W$9,MATCH(ROUNDUP((N$1)/10,0)*10,[1]Hugst!$R$4:$W$4,0))))</f>
        <v>0</v>
      </c>
      <c r="O310">
        <f ca="1">IF($C310-O$1&lt;År1,0,N309*(1-VLOOKUP($A310,[1]Hugst!$R$5:$W$9,MATCH(ROUNDUP((O$1)/10,0)*10,[1]Hugst!$R$4:$W$4,0))))</f>
        <v>0</v>
      </c>
      <c r="P310">
        <f ca="1">IF($C310-P$1&lt;År1,0,O309*(1-VLOOKUP($A310,[1]Hugst!$R$5:$W$9,MATCH(ROUNDUP((P$1)/10,0)*10,[1]Hugst!$R$4:$W$4,0))))</f>
        <v>0</v>
      </c>
      <c r="Q310">
        <f ca="1">IF($C310-Q$1&lt;År1,0,P309*(1-VLOOKUP($A310,[1]Hugst!$R$5:$W$9,MATCH(ROUNDUP((Q$1)/10,0)*10,[1]Hugst!$R$4:$W$4,0))))</f>
        <v>0</v>
      </c>
      <c r="R310">
        <f ca="1">IF($C310-R$1&lt;År1,0,Q309*(1-VLOOKUP($A310,[1]Hugst!$R$5:$W$9,MATCH(ROUNDUP((R$1)/10,0)*10,[1]Hugst!$R$4:$W$4,0))))</f>
        <v>0</v>
      </c>
      <c r="S310">
        <f ca="1">IF($C310-S$1&lt;År1,0,R309*(1-VLOOKUP($A310,[1]Hugst!$R$5:$W$9,MATCH(ROUNDUP((S$1)/10,0)*10,[1]Hugst!$R$4:$W$4,0))))</f>
        <v>0</v>
      </c>
      <c r="T310">
        <f ca="1">IF($C310-T$1&lt;År1,0,S309*(1-VLOOKUP($A310,[1]Hugst!$R$5:$W$9,MATCH(ROUNDUP((T$1)/10,0)*10,[1]Hugst!$R$4:$W$4,0))))</f>
        <v>0</v>
      </c>
      <c r="U310">
        <f ca="1">IF($C310-U$1&lt;År1,0,T309*(1-VLOOKUP($A310,[1]Hugst!$R$5:$W$9,MATCH(ROUNDUP((U$1)/10,0)*10,[1]Hugst!$R$4:$W$4,0))))</f>
        <v>0</v>
      </c>
      <c r="V310">
        <f ca="1">IF($C310-V$1&lt;År1,0,U309*(1-VLOOKUP($A310,[1]Hugst!$R$5:$W$9,MATCH(ROUNDUP((V$1)/10,0)*10,[1]Hugst!$R$4:$W$4,0))))</f>
        <v>0</v>
      </c>
      <c r="W310">
        <f ca="1">IF($C310-W$1&lt;År1,0,V309*(1-VLOOKUP($A310,[1]Hugst!$R$5:$W$9,MATCH(ROUNDUP((W$1)/10,0)*10,[1]Hugst!$R$4:$W$4,0))))</f>
        <v>0</v>
      </c>
      <c r="X310">
        <f ca="1">IF($C310-X$1&lt;År1,0,W309*(1-VLOOKUP($A310,[1]Hugst!$R$5:$W$9,MATCH(ROUNDUP((X$1)/10,0)*10,[1]Hugst!$R$4:$W$4,0))))</f>
        <v>0</v>
      </c>
      <c r="Y310">
        <f ca="1">IF($C310-Y$1&lt;År1,0,X309*(1-VLOOKUP($A310,[1]Hugst!$R$5:$W$9,MATCH(ROUNDUP((Y$1)/10,0)*10,[1]Hugst!$R$4:$W$4,0))))</f>
        <v>0</v>
      </c>
      <c r="Z310">
        <f ca="1">IF($C310-Z$1&lt;År1,0,Y309*(1-VLOOKUP($A310,[1]Hugst!$R$5:$W$9,MATCH(ROUNDUP((Z$1)/10,0)*10,[1]Hugst!$R$4:$W$4,0))))</f>
        <v>0</v>
      </c>
      <c r="AA310">
        <f ca="1">IF($C310-AA$1&lt;År1,0,Z309*(1-VLOOKUP($A310,[1]Hugst!$R$5:$W$9,MATCH(ROUNDUP((AA$1)/10,0)*10,[1]Hugst!$R$4:$W$4,0))))</f>
        <v>0</v>
      </c>
      <c r="AB310">
        <f ca="1">IF($C310-AB$1&lt;År1,0,AA309*(1-VLOOKUP($A310,[1]Hugst!$R$5:$W$9,MATCH(ROUNDUP((AB$1)/10,0)*10,[1]Hugst!$R$4:$W$4,0))))</f>
        <v>0</v>
      </c>
      <c r="AC310">
        <f ca="1">IF($C310-AC$1&lt;År1,0,AB309*(1-VLOOKUP($A310,[1]Hugst!$R$5:$W$9,MATCH(ROUNDUP((AC$1)/10,0)*10,[1]Hugst!$R$4:$W$4,0))))</f>
        <v>0</v>
      </c>
      <c r="AD310">
        <f ca="1">IF($C310-AD$1&lt;År1,0,AC309*(1-VLOOKUP($A310,[1]Hugst!$R$5:$W$9,MATCH(ROUNDUP((AD$1)/10,0)*10,[1]Hugst!$R$4:$W$4,0))))</f>
        <v>0</v>
      </c>
      <c r="AE310">
        <f ca="1">IF($C310-AE$1&lt;År1,0,AD309*(1-VLOOKUP($A310,[1]Hugst!$R$5:$W$9,MATCH(ROUNDUP((AE$1)/10,0)*10,[1]Hugst!$R$4:$W$4,0))))</f>
        <v>0</v>
      </c>
      <c r="AF310">
        <f ca="1">IF($C310-AF$1&lt;År1,0,AE309*(1-VLOOKUP($A310,[1]Hugst!$R$5:$W$9,MATCH(ROUNDUP((AF$1)/10,0)*10,[1]Hugst!$R$4:$W$4,0))))</f>
        <v>0</v>
      </c>
      <c r="AG310">
        <f ca="1">IF($C310-AG$1&lt;År1,0,AF309*(1-VLOOKUP($A310,[1]Hugst!$R$5:$W$9,MATCH(ROUNDUP((AG$1)/10,0)*10,[1]Hugst!$R$4:$W$4,0))))</f>
        <v>0</v>
      </c>
      <c r="AH310">
        <f ca="1">IF($C310-AH$1&lt;År1,0,AG309*(1-VLOOKUP($A310,[1]Hugst!$R$5:$W$9,MATCH(ROUNDUP((AH$1)/10,0)*10,[1]Hugst!$R$4:$W$4,0))))</f>
        <v>0</v>
      </c>
      <c r="AI310">
        <f ca="1">IF($C310-AI$1&lt;År1,0,AH309*(1-VLOOKUP($A310,[1]Hugst!$R$5:$W$9,MATCH(ROUNDUP((AI$1)/10,0)*10,[1]Hugst!$R$4:$W$4,0))))</f>
        <v>0</v>
      </c>
      <c r="AJ310">
        <f>IF($C310-AJ$1&lt;År1,0,AI309*(1-VLOOKUP($A310,[1]Hugst!$R$5:$W$9,MATCH(ROUNDUP((AJ$1)/10,0)*10,[1]Hugst!$R$4:$W$4,0))))</f>
        <v>0</v>
      </c>
    </row>
    <row r="311" spans="1:36" x14ac:dyDescent="0.25">
      <c r="A311" t="s">
        <v>180</v>
      </c>
      <c r="B311" t="s">
        <v>24</v>
      </c>
      <c r="C311">
        <v>2050</v>
      </c>
      <c r="D311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0</v>
      </c>
      <c r="E311">
        <f ca="1">IF(C311=2020,SUM(G311:AJ311),SUM(F310:AJ310)-SUM(G311:AJ311))</f>
        <v>0</v>
      </c>
      <c r="F311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>
        <f ca="1">IF($C311-G$1&lt;År1,0,F310*(1-VLOOKUP($A311,[1]Hugst!$R$5:$W$9,MATCH(ROUNDUP((G$1)/10,0)*10,[1]Hugst!$R$4:$W$4,0))))</f>
        <v>0</v>
      </c>
      <c r="H311">
        <f ca="1">IF($C311-H$1&lt;År1,0,G310*(1-VLOOKUP($A311,[1]Hugst!$R$5:$W$9,MATCH(ROUNDUP((H$1)/10,0)*10,[1]Hugst!$R$4:$W$4,0))))</f>
        <v>0</v>
      </c>
      <c r="I311">
        <f ca="1">IF($C311-I$1&lt;År1,0,H310*(1-VLOOKUP($A311,[1]Hugst!$R$5:$W$9,MATCH(ROUNDUP((I$1)/10,0)*10,[1]Hugst!$R$4:$W$4,0))))</f>
        <v>0</v>
      </c>
      <c r="J311">
        <f ca="1">IF($C311-J$1&lt;År1,0,I310*(1-VLOOKUP($A311,[1]Hugst!$R$5:$W$9,MATCH(ROUNDUP((J$1)/10,0)*10,[1]Hugst!$R$4:$W$4,0))))</f>
        <v>0</v>
      </c>
      <c r="K311">
        <f ca="1">IF($C311-K$1&lt;År1,0,J310*(1-VLOOKUP($A311,[1]Hugst!$R$5:$W$9,MATCH(ROUNDUP((K$1)/10,0)*10,[1]Hugst!$R$4:$W$4,0))))</f>
        <v>0</v>
      </c>
      <c r="L311">
        <f ca="1">IF($C311-L$1&lt;År1,0,K310*(1-VLOOKUP($A311,[1]Hugst!$R$5:$W$9,MATCH(ROUNDUP((L$1)/10,0)*10,[1]Hugst!$R$4:$W$4,0))))</f>
        <v>0</v>
      </c>
      <c r="M311">
        <f ca="1">IF($C311-M$1&lt;År1,0,L310*(1-VLOOKUP($A311,[1]Hugst!$R$5:$W$9,MATCH(ROUNDUP((M$1)/10,0)*10,[1]Hugst!$R$4:$W$4,0))))</f>
        <v>0</v>
      </c>
      <c r="N311">
        <f ca="1">IF($C311-N$1&lt;År1,0,M310*(1-VLOOKUP($A311,[1]Hugst!$R$5:$W$9,MATCH(ROUNDUP((N$1)/10,0)*10,[1]Hugst!$R$4:$W$4,0))))</f>
        <v>0</v>
      </c>
      <c r="O311">
        <f ca="1">IF($C311-O$1&lt;År1,0,N310*(1-VLOOKUP($A311,[1]Hugst!$R$5:$W$9,MATCH(ROUNDUP((O$1)/10,0)*10,[1]Hugst!$R$4:$W$4,0))))</f>
        <v>0</v>
      </c>
      <c r="P311">
        <f ca="1">IF($C311-P$1&lt;År1,0,O310*(1-VLOOKUP($A311,[1]Hugst!$R$5:$W$9,MATCH(ROUNDUP((P$1)/10,0)*10,[1]Hugst!$R$4:$W$4,0))))</f>
        <v>0</v>
      </c>
      <c r="Q311">
        <f ca="1">IF($C311-Q$1&lt;År1,0,P310*(1-VLOOKUP($A311,[1]Hugst!$R$5:$W$9,MATCH(ROUNDUP((Q$1)/10,0)*10,[1]Hugst!$R$4:$W$4,0))))</f>
        <v>0</v>
      </c>
      <c r="R311">
        <f ca="1">IF($C311-R$1&lt;År1,0,Q310*(1-VLOOKUP($A311,[1]Hugst!$R$5:$W$9,MATCH(ROUNDUP((R$1)/10,0)*10,[1]Hugst!$R$4:$W$4,0))))</f>
        <v>0</v>
      </c>
      <c r="S311">
        <f ca="1">IF($C311-S$1&lt;År1,0,R310*(1-VLOOKUP($A311,[1]Hugst!$R$5:$W$9,MATCH(ROUNDUP((S$1)/10,0)*10,[1]Hugst!$R$4:$W$4,0))))</f>
        <v>0</v>
      </c>
      <c r="T311">
        <f ca="1">IF($C311-T$1&lt;År1,0,S310*(1-VLOOKUP($A311,[1]Hugst!$R$5:$W$9,MATCH(ROUNDUP((T$1)/10,0)*10,[1]Hugst!$R$4:$W$4,0))))</f>
        <v>0</v>
      </c>
      <c r="U311">
        <f ca="1">IF($C311-U$1&lt;År1,0,T310*(1-VLOOKUP($A311,[1]Hugst!$R$5:$W$9,MATCH(ROUNDUP((U$1)/10,0)*10,[1]Hugst!$R$4:$W$4,0))))</f>
        <v>0</v>
      </c>
      <c r="V311">
        <f ca="1">IF($C311-V$1&lt;År1,0,U310*(1-VLOOKUP($A311,[1]Hugst!$R$5:$W$9,MATCH(ROUNDUP((V$1)/10,0)*10,[1]Hugst!$R$4:$W$4,0))))</f>
        <v>0</v>
      </c>
      <c r="W311">
        <f ca="1">IF($C311-W$1&lt;År1,0,V310*(1-VLOOKUP($A311,[1]Hugst!$R$5:$W$9,MATCH(ROUNDUP((W$1)/10,0)*10,[1]Hugst!$R$4:$W$4,0))))</f>
        <v>0</v>
      </c>
      <c r="X311">
        <f ca="1">IF($C311-X$1&lt;År1,0,W310*(1-VLOOKUP($A311,[1]Hugst!$R$5:$W$9,MATCH(ROUNDUP((X$1)/10,0)*10,[1]Hugst!$R$4:$W$4,0))))</f>
        <v>0</v>
      </c>
      <c r="Y311">
        <f ca="1">IF($C311-Y$1&lt;År1,0,X310*(1-VLOOKUP($A311,[1]Hugst!$R$5:$W$9,MATCH(ROUNDUP((Y$1)/10,0)*10,[1]Hugst!$R$4:$W$4,0))))</f>
        <v>0</v>
      </c>
      <c r="Z311">
        <f ca="1">IF($C311-Z$1&lt;År1,0,Y310*(1-VLOOKUP($A311,[1]Hugst!$R$5:$W$9,MATCH(ROUNDUP((Z$1)/10,0)*10,[1]Hugst!$R$4:$W$4,0))))</f>
        <v>0</v>
      </c>
      <c r="AA311">
        <f ca="1">IF($C311-AA$1&lt;År1,0,Z310*(1-VLOOKUP($A311,[1]Hugst!$R$5:$W$9,MATCH(ROUNDUP((AA$1)/10,0)*10,[1]Hugst!$R$4:$W$4,0))))</f>
        <v>0</v>
      </c>
      <c r="AB311">
        <f ca="1">IF($C311-AB$1&lt;År1,0,AA310*(1-VLOOKUP($A311,[1]Hugst!$R$5:$W$9,MATCH(ROUNDUP((AB$1)/10,0)*10,[1]Hugst!$R$4:$W$4,0))))</f>
        <v>0</v>
      </c>
      <c r="AC311">
        <f ca="1">IF($C311-AC$1&lt;År1,0,AB310*(1-VLOOKUP($A311,[1]Hugst!$R$5:$W$9,MATCH(ROUNDUP((AC$1)/10,0)*10,[1]Hugst!$R$4:$W$4,0))))</f>
        <v>0</v>
      </c>
      <c r="AD311">
        <f ca="1">IF($C311-AD$1&lt;År1,0,AC310*(1-VLOOKUP($A311,[1]Hugst!$R$5:$W$9,MATCH(ROUNDUP((AD$1)/10,0)*10,[1]Hugst!$R$4:$W$4,0))))</f>
        <v>0</v>
      </c>
      <c r="AE311">
        <f ca="1">IF($C311-AE$1&lt;År1,0,AD310*(1-VLOOKUP($A311,[1]Hugst!$R$5:$W$9,MATCH(ROUNDUP((AE$1)/10,0)*10,[1]Hugst!$R$4:$W$4,0))))</f>
        <v>0</v>
      </c>
      <c r="AF311">
        <f ca="1">IF($C311-AF$1&lt;År1,0,AE310*(1-VLOOKUP($A311,[1]Hugst!$R$5:$W$9,MATCH(ROUNDUP((AF$1)/10,0)*10,[1]Hugst!$R$4:$W$4,0))))</f>
        <v>0</v>
      </c>
      <c r="AG311">
        <f ca="1">IF($C311-AG$1&lt;År1,0,AF310*(1-VLOOKUP($A311,[1]Hugst!$R$5:$W$9,MATCH(ROUNDUP((AG$1)/10,0)*10,[1]Hugst!$R$4:$W$4,0))))</f>
        <v>0</v>
      </c>
      <c r="AH311">
        <f ca="1">IF($C311-AH$1&lt;År1,0,AG310*(1-VLOOKUP($A311,[1]Hugst!$R$5:$W$9,MATCH(ROUNDUP((AH$1)/10,0)*10,[1]Hugst!$R$4:$W$4,0))))</f>
        <v>0</v>
      </c>
      <c r="AI311">
        <f ca="1">IF($C311-AI$1&lt;År1,0,AH310*(1-VLOOKUP($A311,[1]Hugst!$R$5:$W$9,MATCH(ROUNDUP((AI$1)/10,0)*10,[1]Hugst!$R$4:$W$4,0))))</f>
        <v>0</v>
      </c>
      <c r="AJ311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E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295" t="s">
        <v>271</v>
      </c>
      <c r="F1" s="73"/>
    </row>
    <row r="2" spans="1:7" s="298" customFormat="1" x14ac:dyDescent="0.25">
      <c r="A2" s="297"/>
      <c r="C2" s="415" t="s">
        <v>317</v>
      </c>
      <c r="D2" s="415"/>
      <c r="E2" s="415"/>
    </row>
    <row r="3" spans="1:7" x14ac:dyDescent="0.25">
      <c r="B3" s="302"/>
      <c r="C3" s="2">
        <f>År1</f>
        <v>2019</v>
      </c>
      <c r="D3" s="2">
        <f>År2</f>
        <v>2030</v>
      </c>
      <c r="E3" s="2">
        <f>År3</f>
        <v>2050</v>
      </c>
      <c r="F3" s="303" t="s">
        <v>318</v>
      </c>
      <c r="G3" s="1" t="s">
        <v>314</v>
      </c>
    </row>
    <row r="4" spans="1:7" x14ac:dyDescent="0.25">
      <c r="A4" s="102" t="s">
        <v>98</v>
      </c>
      <c r="B4" s="2" t="s">
        <v>23</v>
      </c>
      <c r="C4" s="107">
        <f>(502+3901)/10/F4</f>
        <v>2.9353333333333332E-3</v>
      </c>
      <c r="D4" s="3">
        <f>C4</f>
        <v>2.9353333333333332E-3</v>
      </c>
      <c r="E4" s="3">
        <f>D4</f>
        <v>2.9353333333333332E-3</v>
      </c>
      <c r="F4" s="299">
        <v>150000</v>
      </c>
      <c r="G4" s="416"/>
    </row>
    <row r="5" spans="1:7" x14ac:dyDescent="0.25">
      <c r="A5" s="102" t="s">
        <v>98</v>
      </c>
      <c r="B5" s="2" t="s">
        <v>24</v>
      </c>
      <c r="C5" s="300">
        <f>(0.6)/F5</f>
        <v>1.2E-5</v>
      </c>
      <c r="D5" s="3">
        <f t="shared" ref="D5:E5" si="0">C5</f>
        <v>1.2E-5</v>
      </c>
      <c r="E5" s="3">
        <f t="shared" si="0"/>
        <v>1.2E-5</v>
      </c>
      <c r="F5" s="104">
        <v>50000</v>
      </c>
      <c r="G5" s="416"/>
    </row>
    <row r="6" spans="1:7" x14ac:dyDescent="0.25">
      <c r="A6" s="102" t="s">
        <v>99</v>
      </c>
      <c r="B6" s="2" t="s">
        <v>23</v>
      </c>
      <c r="C6" s="107">
        <f>17/F6</f>
        <v>3.6170212765957447E-4</v>
      </c>
      <c r="D6" s="3">
        <f t="shared" ref="D6:E6" si="1">C6</f>
        <v>3.6170212765957447E-4</v>
      </c>
      <c r="E6" s="3">
        <f t="shared" si="1"/>
        <v>3.6170212765957447E-4</v>
      </c>
      <c r="F6" s="299">
        <v>47000</v>
      </c>
      <c r="G6" s="417"/>
    </row>
    <row r="7" spans="1:7" x14ac:dyDescent="0.25">
      <c r="A7" s="102" t="s">
        <v>99</v>
      </c>
      <c r="B7" s="2" t="s">
        <v>24</v>
      </c>
      <c r="C7" s="7">
        <f>0/F7</f>
        <v>0</v>
      </c>
      <c r="D7" s="3">
        <f t="shared" ref="D7:E7" si="2">C7</f>
        <v>0</v>
      </c>
      <c r="E7" s="3">
        <f t="shared" si="2"/>
        <v>0</v>
      </c>
      <c r="F7" s="299">
        <v>20000</v>
      </c>
      <c r="G7" s="417"/>
    </row>
    <row r="8" spans="1:7" x14ac:dyDescent="0.25">
      <c r="A8" s="296"/>
      <c r="C8" s="1" t="s">
        <v>240</v>
      </c>
      <c r="F8" s="73"/>
    </row>
    <row r="9" spans="1:7" x14ac:dyDescent="0.25">
      <c r="A9" s="296"/>
    </row>
    <row r="10" spans="1:7" x14ac:dyDescent="0.25">
      <c r="B10" s="1" t="s">
        <v>23</v>
      </c>
      <c r="E10" s="1" t="s">
        <v>24</v>
      </c>
    </row>
    <row r="11" spans="1:7" x14ac:dyDescent="0.25">
      <c r="B11" s="138">
        <f>År1</f>
        <v>2019</v>
      </c>
      <c r="C11" s="138">
        <f>År2</f>
        <v>2030</v>
      </c>
      <c r="D11" s="138">
        <f>År3</f>
        <v>2050</v>
      </c>
      <c r="E11" s="138">
        <f>År1</f>
        <v>2019</v>
      </c>
      <c r="F11" s="138">
        <f>År2</f>
        <v>2030</v>
      </c>
      <c r="G11" s="138">
        <f>År3</f>
        <v>2050</v>
      </c>
    </row>
    <row r="12" spans="1:7" x14ac:dyDescent="0.25">
      <c r="A12" s="102" t="s">
        <v>98</v>
      </c>
      <c r="B12" s="1">
        <f>C4*$F4</f>
        <v>440.29999999999995</v>
      </c>
      <c r="C12" s="1">
        <f t="shared" ref="C12:D12" si="3">D4*$F4</f>
        <v>440.29999999999995</v>
      </c>
      <c r="D12" s="1">
        <f t="shared" si="3"/>
        <v>440.29999999999995</v>
      </c>
      <c r="E12" s="1">
        <f>C5*$F$5</f>
        <v>0.6</v>
      </c>
      <c r="F12" s="1">
        <f t="shared" ref="F12:G12" si="4">D5*$F$5</f>
        <v>0.6</v>
      </c>
      <c r="G12" s="1">
        <f t="shared" si="4"/>
        <v>0.6</v>
      </c>
    </row>
    <row r="13" spans="1:7" x14ac:dyDescent="0.25">
      <c r="A13" s="102" t="s">
        <v>99</v>
      </c>
      <c r="B13" s="1">
        <f>C6*$F6</f>
        <v>17</v>
      </c>
      <c r="C13" s="1">
        <f t="shared" ref="C13:D13" si="5">D6*$F6</f>
        <v>17</v>
      </c>
      <c r="D13" s="1">
        <f t="shared" si="5"/>
        <v>17</v>
      </c>
      <c r="E13" s="1">
        <f>C7*$F$7</f>
        <v>0</v>
      </c>
      <c r="F13" s="1">
        <f t="shared" ref="F13:G13" si="6">D7*$F$7</f>
        <v>0</v>
      </c>
      <c r="G13" s="1">
        <f t="shared" si="6"/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C5: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05" t="s">
        <v>271</v>
      </c>
    </row>
    <row r="2" spans="1:10" ht="15.75" x14ac:dyDescent="0.25">
      <c r="A2" s="203" t="s">
        <v>25</v>
      </c>
    </row>
    <row r="3" spans="1:10" x14ac:dyDescent="0.25">
      <c r="A3" s="6" t="s">
        <v>301</v>
      </c>
    </row>
    <row r="4" spans="1:10" x14ac:dyDescent="0.25">
      <c r="A4" s="24" t="s">
        <v>154</v>
      </c>
      <c r="B4" s="82">
        <f>År1</f>
        <v>2019</v>
      </c>
      <c r="C4" s="82">
        <f>År2</f>
        <v>2030</v>
      </c>
      <c r="D4" s="82">
        <f>År3</f>
        <v>2050</v>
      </c>
      <c r="F4" s="24" t="s">
        <v>321</v>
      </c>
      <c r="G4" s="24"/>
      <c r="H4" s="82">
        <f>År1</f>
        <v>2019</v>
      </c>
      <c r="I4" s="82">
        <f>År2</f>
        <v>2030</v>
      </c>
      <c r="J4" s="82">
        <f>År3</f>
        <v>2050</v>
      </c>
    </row>
    <row r="5" spans="1:10" x14ac:dyDescent="0.25">
      <c r="A5" s="2" t="s">
        <v>220</v>
      </c>
      <c r="B5" s="84">
        <v>0</v>
      </c>
      <c r="C5" s="3"/>
      <c r="D5" s="3"/>
      <c r="F5" s="24" t="str">
        <f>A5</f>
        <v>Planteprotein*</v>
      </c>
      <c r="G5" s="24" t="s">
        <v>49</v>
      </c>
      <c r="H5" s="10">
        <f>SUMIFS('Resultat-Produktion &amp; forbrug'!$O$4:$O$1001,'Resultat-Produktion &amp; forbrug'!$A$4:$A$1001,Adfærd!$G5,'Resultat-Produktion &amp; forbrug'!$E$4:$E$1001,Adfærd!H$4)</f>
        <v>212954.7645341866</v>
      </c>
      <c r="I5" s="10">
        <f>SUMIFS('Resultat-Produktion &amp; forbrug'!$O$4:$O$1001,'Resultat-Produktion &amp; forbrug'!$A$4:$A$1001,Adfærd!$G5,'Resultat-Produktion &amp; forbrug'!$E$4:$E$1001,Adfærd!I$4)</f>
        <v>997537.40382014518</v>
      </c>
      <c r="J5" s="10">
        <f>SUMIFS('Resultat-Produktion &amp; forbrug'!$O$4:$O$1001,'Resultat-Produktion &amp; forbrug'!$A$4:$A$1001,Adfærd!$G5,'Resultat-Produktion &amp; forbrug'!$E$4:$E$1001,Adfærd!J$4)</f>
        <v>1913259.3368418217</v>
      </c>
    </row>
    <row r="6" spans="1:10" x14ac:dyDescent="0.25">
      <c r="A6" s="2" t="s">
        <v>106</v>
      </c>
      <c r="B6" s="84">
        <v>0</v>
      </c>
      <c r="C6" s="3"/>
      <c r="D6" s="3"/>
      <c r="F6" s="24" t="str">
        <f t="shared" ref="F6:F7" si="0">A6</f>
        <v>Muslinger</v>
      </c>
      <c r="G6" s="24" t="s">
        <v>106</v>
      </c>
      <c r="H6" s="10">
        <f>SUMIFS('Resultat-Produktion &amp; forbrug'!$O$4:$O$1001,'Resultat-Produktion &amp; forbrug'!$A$4:$A$1001,Adfærd!$G6,'Resultat-Produktion &amp; forbrug'!$E$4:$E$1001,Adfærd!H$4)</f>
        <v>880.09999999999991</v>
      </c>
      <c r="I6" s="10">
        <f>SUMIFS('Resultat-Produktion &amp; forbrug'!$O$4:$O$1001,'Resultat-Produktion &amp; forbrug'!$A$4:$A$1001,Adfærd!$G6,'Resultat-Produktion &amp; forbrug'!$E$4:$E$1001,Adfærd!I$4)</f>
        <v>880.09999999999991</v>
      </c>
      <c r="J6" s="10">
        <f>SUMIFS('Resultat-Produktion &amp; forbrug'!$O$4:$O$1001,'Resultat-Produktion &amp; forbrug'!$A$4:$A$1001,Adfærd!$G6,'Resultat-Produktion &amp; forbrug'!$E$4:$E$1001,Adfærd!J$4)</f>
        <v>880.09999999999991</v>
      </c>
    </row>
    <row r="7" spans="1:10" x14ac:dyDescent="0.25">
      <c r="A7" s="2" t="s">
        <v>99</v>
      </c>
      <c r="B7" s="84">
        <v>0</v>
      </c>
      <c r="C7" s="3"/>
      <c r="D7" s="3"/>
      <c r="F7" s="24" t="str">
        <f t="shared" si="0"/>
        <v>Tang</v>
      </c>
      <c r="G7" s="24" t="s">
        <v>99</v>
      </c>
      <c r="H7" s="10">
        <f>SUMIFS('Resultat-Produktion &amp; forbrug'!$O$4:$O$1001,'Resultat-Produktion &amp; forbrug'!$A$4:$A$1001,Adfærd!$G7,'Resultat-Produktion &amp; forbrug'!$E$4:$E$1001,Adfærd!H$4)</f>
        <v>76.5</v>
      </c>
      <c r="I7" s="10">
        <f>SUMIFS('Resultat-Produktion &amp; forbrug'!$O$4:$O$1001,'Resultat-Produktion &amp; forbrug'!$A$4:$A$1001,Adfærd!$G7,'Resultat-Produktion &amp; forbrug'!$E$4:$E$1001,Adfærd!I$4)</f>
        <v>382.5</v>
      </c>
      <c r="J7" s="10">
        <f>SUMIFS('Resultat-Produktion &amp; forbrug'!$O$4:$O$1001,'Resultat-Produktion &amp; forbrug'!$A$4:$A$1001,Adfærd!$G7,'Resultat-Produktion &amp; forbrug'!$E$4:$E$1001,Adfærd!J$4)</f>
        <v>382.5</v>
      </c>
    </row>
    <row r="8" spans="1:10" x14ac:dyDescent="0.25">
      <c r="A8" s="2" t="s">
        <v>206</v>
      </c>
      <c r="B8" s="84">
        <v>0</v>
      </c>
      <c r="C8" s="3"/>
      <c r="D8" s="3"/>
    </row>
    <row r="9" spans="1:10" x14ac:dyDescent="0.25">
      <c r="A9" s="1" t="s">
        <v>221</v>
      </c>
      <c r="B9" s="13"/>
      <c r="C9" s="13"/>
      <c r="D9" s="13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2">
        <f>År1</f>
        <v>2019</v>
      </c>
      <c r="C11" s="82">
        <f>År2</f>
        <v>2030</v>
      </c>
      <c r="D11" s="82">
        <f>År3</f>
        <v>2050</v>
      </c>
    </row>
    <row r="12" spans="1:10" x14ac:dyDescent="0.25">
      <c r="A12" s="1" t="s">
        <v>319</v>
      </c>
      <c r="B12" s="84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64" t="s">
        <v>320</v>
      </c>
      <c r="B13" s="84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B14" s="13"/>
      <c r="C14" s="13"/>
      <c r="D14" s="13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2">
        <f>År1</f>
        <v>2019</v>
      </c>
      <c r="C16" s="82">
        <f>År2</f>
        <v>2030</v>
      </c>
      <c r="D16" s="82">
        <f>År3</f>
        <v>2050</v>
      </c>
    </row>
    <row r="17" spans="1:9" hidden="1" x14ac:dyDescent="0.25">
      <c r="A17" s="2" t="s">
        <v>48</v>
      </c>
      <c r="B17" s="103">
        <v>218</v>
      </c>
      <c r="C17" s="108">
        <f>B17</f>
        <v>218</v>
      </c>
      <c r="D17" s="108">
        <f>B17</f>
        <v>218</v>
      </c>
      <c r="I17" s="105"/>
    </row>
    <row r="18" spans="1:9" hidden="1" x14ac:dyDescent="0.25">
      <c r="A18" s="2" t="s">
        <v>6</v>
      </c>
      <c r="B18" s="103">
        <v>199</v>
      </c>
      <c r="C18" s="108">
        <f>B18</f>
        <v>199</v>
      </c>
      <c r="D18" s="108">
        <f>B18</f>
        <v>199</v>
      </c>
    </row>
    <row r="19" spans="1:9" hidden="1" x14ac:dyDescent="0.25">
      <c r="A19" s="2" t="s">
        <v>12</v>
      </c>
      <c r="B19" s="103">
        <v>91</v>
      </c>
      <c r="C19" s="108">
        <f>B19</f>
        <v>91</v>
      </c>
      <c r="D19" s="108">
        <f>B19</f>
        <v>91</v>
      </c>
    </row>
    <row r="20" spans="1:9" hidden="1" x14ac:dyDescent="0.25">
      <c r="A20" s="2" t="s">
        <v>13</v>
      </c>
      <c r="B20" s="108">
        <f>B32*B34</f>
        <v>89.78</v>
      </c>
      <c r="C20" s="108">
        <f>$B20*(1-SUM(C$5:C$8))</f>
        <v>89.78</v>
      </c>
      <c r="D20" s="108">
        <f>$B20*(1-SUM(D$5:D$8))</f>
        <v>89.78</v>
      </c>
    </row>
    <row r="21" spans="1:9" hidden="1" x14ac:dyDescent="0.25">
      <c r="A21" s="2" t="s">
        <v>14</v>
      </c>
      <c r="B21" s="108">
        <f>B32*B33</f>
        <v>44.22</v>
      </c>
      <c r="C21" s="108">
        <f>$B21*(1-SUM(C$5:C$8))</f>
        <v>44.22</v>
      </c>
      <c r="D21" s="108">
        <f>$B21*(1-SUM(D$5:D$8))</f>
        <v>44.22</v>
      </c>
    </row>
    <row r="22" spans="1:9" hidden="1" x14ac:dyDescent="0.25">
      <c r="A22" s="2" t="s">
        <v>49</v>
      </c>
      <c r="B22" s="108">
        <f>SUM($B$20:$B$21,$B$27)*B5</f>
        <v>0</v>
      </c>
      <c r="C22" s="108">
        <f t="shared" ref="C22:D22" si="1">SUM($B$20:$B$21,$B$27)*C5</f>
        <v>0</v>
      </c>
      <c r="D22" s="108">
        <f t="shared" si="1"/>
        <v>0</v>
      </c>
      <c r="F22" s="1" t="s">
        <v>205</v>
      </c>
    </row>
    <row r="23" spans="1:9" hidden="1" x14ac:dyDescent="0.25">
      <c r="A23" s="2" t="s">
        <v>106</v>
      </c>
      <c r="B23" s="108">
        <f>SUM($B$20:$B$21,$B$27)*B6</f>
        <v>0</v>
      </c>
      <c r="C23" s="108">
        <f t="shared" ref="C23:D25" si="2">SUM($B$20:$B$21,$B$27)*C6</f>
        <v>0</v>
      </c>
      <c r="D23" s="108">
        <f t="shared" si="2"/>
        <v>0</v>
      </c>
      <c r="F23" s="1" t="s">
        <v>207</v>
      </c>
    </row>
    <row r="24" spans="1:9" hidden="1" x14ac:dyDescent="0.25">
      <c r="A24" s="2" t="s">
        <v>99</v>
      </c>
      <c r="B24" s="108">
        <f>SUM($B$20:$B$21,$B$27)*B7</f>
        <v>0</v>
      </c>
      <c r="C24" s="108">
        <f t="shared" si="2"/>
        <v>0</v>
      </c>
      <c r="D24" s="108">
        <f t="shared" si="2"/>
        <v>0</v>
      </c>
    </row>
    <row r="25" spans="1:9" hidden="1" x14ac:dyDescent="0.25">
      <c r="A25" s="2" t="s">
        <v>206</v>
      </c>
      <c r="B25" s="108">
        <f>SUM($B$20:$B$21,$B$27)*B8</f>
        <v>0</v>
      </c>
      <c r="C25" s="108">
        <f t="shared" si="2"/>
        <v>0</v>
      </c>
      <c r="D25" s="108">
        <f t="shared" si="2"/>
        <v>0</v>
      </c>
    </row>
    <row r="26" spans="1:9" hidden="1" x14ac:dyDescent="0.25">
      <c r="A26" s="2" t="s">
        <v>116</v>
      </c>
      <c r="B26" s="103">
        <f>304+44</f>
        <v>348</v>
      </c>
      <c r="C26" s="108">
        <f>B26</f>
        <v>348</v>
      </c>
      <c r="D26" s="108">
        <f>B26</f>
        <v>348</v>
      </c>
      <c r="F26" s="1" t="s">
        <v>313</v>
      </c>
    </row>
    <row r="27" spans="1:9" hidden="1" x14ac:dyDescent="0.25">
      <c r="A27" s="2" t="s">
        <v>96</v>
      </c>
      <c r="B27" s="103">
        <v>26</v>
      </c>
      <c r="C27" s="108">
        <f>$B27*(1-SUM(C$5:C$8))</f>
        <v>26</v>
      </c>
      <c r="D27" s="108">
        <f>$B27*(1-SUM(D$5:D$8))</f>
        <v>26</v>
      </c>
    </row>
    <row r="28" spans="1:9" hidden="1" x14ac:dyDescent="0.25">
      <c r="A28" s="2" t="s">
        <v>15</v>
      </c>
      <c r="B28" s="103">
        <v>24</v>
      </c>
      <c r="C28" s="108">
        <f>B28</f>
        <v>24</v>
      </c>
      <c r="D28" s="108">
        <f>B28</f>
        <v>24</v>
      </c>
    </row>
    <row r="29" spans="1:9" hidden="1" x14ac:dyDescent="0.25">
      <c r="A29" s="2" t="s">
        <v>54</v>
      </c>
      <c r="B29" s="103">
        <v>190</v>
      </c>
      <c r="C29" s="108">
        <f>B29</f>
        <v>190</v>
      </c>
      <c r="D29" s="108">
        <f>B29</f>
        <v>190</v>
      </c>
    </row>
    <row r="30" spans="1:9" hidden="1" x14ac:dyDescent="0.25">
      <c r="A30" s="2" t="s">
        <v>19</v>
      </c>
      <c r="B30" s="103">
        <v>37</v>
      </c>
      <c r="C30" s="109">
        <f>B30</f>
        <v>37</v>
      </c>
      <c r="D30" s="109">
        <f>B30</f>
        <v>37</v>
      </c>
    </row>
    <row r="31" spans="1:9" hidden="1" x14ac:dyDescent="0.25">
      <c r="A31" s="288" t="s">
        <v>30</v>
      </c>
      <c r="B31" s="287">
        <f>SUM(B17:B30)</f>
        <v>1267</v>
      </c>
      <c r="C31" s="287">
        <f>SUM(C17:C30)</f>
        <v>1267</v>
      </c>
      <c r="D31" s="287">
        <f>SUM(D17:D30)</f>
        <v>1267</v>
      </c>
    </row>
    <row r="32" spans="1:9" hidden="1" x14ac:dyDescent="0.25">
      <c r="A32" s="4" t="s">
        <v>18</v>
      </c>
      <c r="B32" s="97">
        <v>134</v>
      </c>
      <c r="C32" s="13"/>
    </row>
    <row r="33" spans="1:4" hidden="1" x14ac:dyDescent="0.25">
      <c r="A33" s="4" t="s">
        <v>20</v>
      </c>
      <c r="B33" s="99">
        <v>0.33</v>
      </c>
      <c r="C33" s="13" t="s">
        <v>152</v>
      </c>
    </row>
    <row r="34" spans="1:4" hidden="1" x14ac:dyDescent="0.25">
      <c r="A34" s="5" t="s">
        <v>21</v>
      </c>
      <c r="B34" s="110">
        <v>0.67</v>
      </c>
      <c r="C34" s="13"/>
    </row>
    <row r="36" spans="1:4" x14ac:dyDescent="0.25">
      <c r="C36" s="98"/>
      <c r="D36" s="98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0" sqref="F20"/>
    </sheetView>
  </sheetViews>
  <sheetFormatPr defaultColWidth="9.140625" defaultRowHeight="12" x14ac:dyDescent="0.2"/>
  <cols>
    <col min="1" max="1" width="15.85546875" style="114" customWidth="1"/>
    <col min="2" max="2" width="10.140625" style="114" bestFit="1" customWidth="1"/>
    <col min="3" max="3" width="10.140625" style="114" customWidth="1"/>
    <col min="4" max="4" width="11.85546875" style="114" bestFit="1" customWidth="1"/>
    <col min="5" max="5" width="11" style="114" customWidth="1"/>
    <col min="6" max="6" width="13.42578125" style="114" customWidth="1"/>
    <col min="7" max="7" width="24.28515625" style="114" customWidth="1"/>
    <col min="8" max="8" width="10" style="114" hidden="1" customWidth="1"/>
    <col min="9" max="12" width="9.28515625" style="114" hidden="1" customWidth="1"/>
    <col min="13" max="13" width="24.28515625" style="114" hidden="1" customWidth="1"/>
    <col min="14" max="14" width="12.7109375" style="114" hidden="1" customWidth="1"/>
    <col min="15" max="15" width="9.28515625" style="114" hidden="1" customWidth="1"/>
    <col min="16" max="16" width="9.85546875" style="114" hidden="1" customWidth="1"/>
    <col min="17" max="22" width="0" style="114" hidden="1" customWidth="1"/>
    <col min="23" max="23" width="2.5703125" style="114" hidden="1" customWidth="1"/>
    <col min="24" max="16384" width="9.140625" style="114"/>
  </cols>
  <sheetData>
    <row r="1" spans="1:29" ht="12.75" thickBot="1" x14ac:dyDescent="0.25">
      <c r="A1" s="204" t="s">
        <v>271</v>
      </c>
    </row>
    <row r="2" spans="1:29" ht="46.5" customHeight="1" x14ac:dyDescent="0.2">
      <c r="A2" s="208" t="s">
        <v>138</v>
      </c>
      <c r="B2" s="208">
        <f>År1</f>
        <v>2019</v>
      </c>
      <c r="C2" s="208">
        <f>År2</f>
        <v>2030</v>
      </c>
      <c r="D2" s="208">
        <f>År3</f>
        <v>2050</v>
      </c>
      <c r="E2" s="113"/>
      <c r="F2" s="421" t="s">
        <v>324</v>
      </c>
      <c r="G2" s="422"/>
      <c r="M2" s="113"/>
      <c r="Z2" s="320" t="s">
        <v>150</v>
      </c>
      <c r="AA2" s="208">
        <f>År1</f>
        <v>2019</v>
      </c>
      <c r="AB2" s="208">
        <f>År2</f>
        <v>2030</v>
      </c>
      <c r="AC2" s="208">
        <f>År3</f>
        <v>2050</v>
      </c>
    </row>
    <row r="3" spans="1:29" x14ac:dyDescent="0.2">
      <c r="A3" s="161" t="s">
        <v>135</v>
      </c>
      <c r="B3" s="209">
        <f>N12/SUMIFS('Resultater - Danmark'!H$3:H$504,'Resultater - Danmark'!$F$3:$F$504,$A3)</f>
        <v>0.16508293217043288</v>
      </c>
      <c r="C3" s="162">
        <v>0.75</v>
      </c>
      <c r="D3" s="162">
        <v>0.9</v>
      </c>
      <c r="E3" s="134"/>
      <c r="F3" s="155" t="s">
        <v>103</v>
      </c>
      <c r="G3" s="156">
        <v>0.85</v>
      </c>
      <c r="H3" s="134"/>
      <c r="N3" s="224"/>
      <c r="Z3" s="161" t="s">
        <v>110</v>
      </c>
      <c r="AA3" s="209">
        <f>SUM(C12:C14)/SUM(C12:C15)</f>
        <v>0.73155031690147754</v>
      </c>
      <c r="AB3" s="209">
        <f>SUM(D12:D14)/SUM(D12:D15)</f>
        <v>0.68542530205917229</v>
      </c>
      <c r="AC3" s="209">
        <f>SUM(E12:E14)/SUM(E12:E15)</f>
        <v>0.10141632635720779</v>
      </c>
    </row>
    <row r="4" spans="1:29" x14ac:dyDescent="0.2">
      <c r="A4" s="161" t="s">
        <v>136</v>
      </c>
      <c r="B4" s="209">
        <f>N13/SUMIFS('Resultater - Danmark'!H$3:H$504,'Resultater - Danmark'!$F$3:$F$504,$A4)</f>
        <v>0.30985833926453143</v>
      </c>
      <c r="C4" s="162">
        <v>0.75</v>
      </c>
      <c r="D4" s="162">
        <v>0.9</v>
      </c>
      <c r="E4" s="134"/>
      <c r="F4" s="155"/>
      <c r="G4" s="156"/>
      <c r="N4" s="224"/>
      <c r="Z4" s="208" t="s">
        <v>202</v>
      </c>
      <c r="AA4" s="161"/>
      <c r="AB4" s="161"/>
      <c r="AC4" s="161"/>
    </row>
    <row r="5" spans="1:29" x14ac:dyDescent="0.2">
      <c r="A5" s="161" t="s">
        <v>137</v>
      </c>
      <c r="B5" s="209">
        <v>0.5</v>
      </c>
      <c r="C5" s="162">
        <v>0.75</v>
      </c>
      <c r="D5" s="162">
        <v>0.9</v>
      </c>
      <c r="E5" s="134"/>
      <c r="F5" s="155"/>
      <c r="G5" s="156"/>
      <c r="N5" s="224"/>
      <c r="Z5" s="161" t="s">
        <v>135</v>
      </c>
      <c r="AA5" s="321">
        <f t="shared" ref="AA5:AC6" si="0">C12/C$29</f>
        <v>0.22267199142680771</v>
      </c>
      <c r="AB5" s="321">
        <f t="shared" si="0"/>
        <v>0.28127550137093515</v>
      </c>
      <c r="AC5" s="321">
        <f t="shared" si="0"/>
        <v>0</v>
      </c>
    </row>
    <row r="6" spans="1:29" x14ac:dyDescent="0.2">
      <c r="A6" s="161" t="s">
        <v>140</v>
      </c>
      <c r="B6" s="209">
        <f>N15/SUMIFS('Resultater - Danmark'!H$3:H$504,'Resultater - Danmark'!$F$3:$F$504,$A6)</f>
        <v>0.37924884410556858</v>
      </c>
      <c r="C6" s="162">
        <v>0.75</v>
      </c>
      <c r="D6" s="162">
        <v>0.9</v>
      </c>
      <c r="E6" s="134"/>
      <c r="F6" s="155"/>
      <c r="G6" s="156"/>
      <c r="Z6" s="161" t="s">
        <v>136</v>
      </c>
      <c r="AA6" s="321">
        <f t="shared" si="0"/>
        <v>0.33257225498473725</v>
      </c>
      <c r="AB6" s="321">
        <f t="shared" si="0"/>
        <v>0.30266611601927834</v>
      </c>
      <c r="AC6" s="321">
        <f t="shared" si="0"/>
        <v>8.3654786233334846E-2</v>
      </c>
    </row>
    <row r="7" spans="1:29" x14ac:dyDescent="0.2">
      <c r="A7" s="161" t="s">
        <v>101</v>
      </c>
      <c r="B7" s="209">
        <f>N16/SUMIFS('Resultater - Danmark'!H$3:H$504,'Resultater - Danmark'!$F$3:$F$504,$A7)</f>
        <v>0.25812101313640656</v>
      </c>
      <c r="C7" s="162">
        <v>0.75</v>
      </c>
      <c r="D7" s="162">
        <v>0.9</v>
      </c>
      <c r="F7" s="155"/>
      <c r="G7" s="157"/>
      <c r="N7" s="141"/>
    </row>
    <row r="8" spans="1:29" ht="12.75" thickBot="1" x14ac:dyDescent="0.25">
      <c r="A8" s="161" t="s">
        <v>208</v>
      </c>
      <c r="B8" s="209">
        <v>0</v>
      </c>
      <c r="C8" s="162">
        <v>0.75</v>
      </c>
      <c r="D8" s="162">
        <v>0.9</v>
      </c>
      <c r="F8" s="158"/>
      <c r="G8" s="159"/>
      <c r="I8" s="141"/>
    </row>
    <row r="10" spans="1:29" ht="23.45" customHeight="1" x14ac:dyDescent="0.2">
      <c r="B10" s="115"/>
      <c r="C10" s="419" t="s">
        <v>210</v>
      </c>
      <c r="D10" s="419"/>
      <c r="E10" s="419"/>
      <c r="F10" s="418" t="s">
        <v>325</v>
      </c>
      <c r="G10" s="418"/>
      <c r="J10" s="420" t="s">
        <v>211</v>
      </c>
      <c r="K10" s="420"/>
      <c r="L10" s="420"/>
    </row>
    <row r="11" spans="1:29" x14ac:dyDescent="0.2">
      <c r="C11" s="116">
        <f>År1</f>
        <v>2019</v>
      </c>
      <c r="D11" s="116">
        <f>År2</f>
        <v>2030</v>
      </c>
      <c r="E11" s="116">
        <f>År3</f>
        <v>2050</v>
      </c>
      <c r="F11" s="116">
        <v>2030</v>
      </c>
      <c r="G11" s="116">
        <v>2050</v>
      </c>
      <c r="H11" s="116" t="s">
        <v>105</v>
      </c>
      <c r="I11" s="116" t="s">
        <v>144</v>
      </c>
      <c r="J11" s="116">
        <f>År1</f>
        <v>2019</v>
      </c>
      <c r="K11" s="116">
        <f>År2</f>
        <v>2030</v>
      </c>
      <c r="L11" s="116">
        <f>År3</f>
        <v>2050</v>
      </c>
      <c r="M11" s="113" t="s">
        <v>214</v>
      </c>
    </row>
    <row r="12" spans="1:29" x14ac:dyDescent="0.2">
      <c r="A12" s="117" t="s">
        <v>135</v>
      </c>
      <c r="B12" s="117" t="s">
        <v>139</v>
      </c>
      <c r="C12" s="118">
        <f>SUMIFS('Resultater - Danmark'!H$3:H$504,'Resultater - Danmark'!$F$3:$F$504,$A12)*B3</f>
        <v>2914869.3333333335</v>
      </c>
      <c r="D12" s="118">
        <f>SUMIFS('Resultater - Danmark'!I$3:I$504,'Resultater - Danmark'!$F$3:$F$504,$A12)*C3</f>
        <v>5715341.1010015961</v>
      </c>
      <c r="E12" s="118">
        <f>SUMIFS('Resultater - Danmark'!J$3:J$504,'Resultater - Danmark'!$F$3:$F$504,$A12)*D3</f>
        <v>0</v>
      </c>
      <c r="F12" s="217">
        <f>SUMIFS('Resultat-Produktion &amp; forbrug'!$G$4:$G$291,'Resultat-Produktion &amp; forbrug'!$A$4:$A$291,$A12,'Resultat-Produktion &amp; forbrug'!$E$4:$E$291,Biogasanlæg!F$11)-SUMIFS('Resultat-Produktion &amp; forbrug'!$H$4:$H$291,'Resultat-Produktion &amp; forbrug'!$A$4:$A$291,$A12,'Resultat-Produktion &amp; forbrug'!$E$4:$E$291,Biogasanlæg!F$11)-SUMIFS('Resultat-Produktion &amp; forbrug'!$I$4:$I$291,'Resultat-Produktion &amp; forbrug'!$A$4:$A$291,$A12,'Resultat-Produktion &amp; forbrug'!$E$4:$E$291,Biogasanlæg!F$11)-SUMIFS('Resultat-Produktion &amp; forbrug'!$J$4:$J$291,'Resultat-Produktion &amp; forbrug'!$A$4:$A$291,$A12,'Resultat-Produktion &amp; forbrug'!$E$4:$E$291,Biogasanlæg!F$11)-SUMIFS('Resultat-Produktion &amp; forbrug'!$K$4:$K$291,'Resultat-Produktion &amp; forbrug'!$A$4:$A$291,$A12,'Resultat-Produktion &amp; forbrug'!$E$4:$E$291,Biogasanlæg!F$11)-SUMIFS('Resultat-Produktion &amp; forbrug'!$N$4:$N$291,'Resultat-Produktion &amp; forbrug'!$A$4:$A$291,$A12,'Resultat-Produktion &amp; forbrug'!$E$4:$E$291,Biogasanlæg!F$11)</f>
        <v>1905113.7003338654</v>
      </c>
      <c r="G12" s="217">
        <f>SUMIFS('Resultat-Produktion &amp; forbrug'!$G$4:$G$291,'Resultat-Produktion &amp; forbrug'!$A$4:$A$291,$A12,'Resultat-Produktion &amp; forbrug'!$E$4:$E$291,Biogasanlæg!G$11)-SUMIFS('Resultat-Produktion &amp; forbrug'!$H$4:$H$291,'Resultat-Produktion &amp; forbrug'!$A$4:$A$291,$A12,'Resultat-Produktion &amp; forbrug'!$E$4:$E$291,Biogasanlæg!G$11)-SUMIFS('Resultat-Produktion &amp; forbrug'!$I$4:$I$291,'Resultat-Produktion &amp; forbrug'!$A$4:$A$291,$A12,'Resultat-Produktion &amp; forbrug'!$E$4:$E$291,Biogasanlæg!G$11)-SUMIFS('Resultat-Produktion &amp; forbrug'!$J$4:$J$291,'Resultat-Produktion &amp; forbrug'!$A$4:$A$291,$A12,'Resultat-Produktion &amp; forbrug'!$E$4:$E$291,Biogasanlæg!G$11)-SUMIFS('Resultat-Produktion &amp; forbrug'!$K$4:$K$291,'Resultat-Produktion &amp; forbrug'!$A$4:$A$291,$A12,'Resultat-Produktion &amp; forbrug'!$E$4:$E$291,Biogasanlæg!G$11)-SUMIFS('Resultat-Produktion &amp; forbrug'!$N$4:$N$291,'Resultat-Produktion &amp; forbrug'!$A$4:$A$291,$A12,'Resultat-Produktion &amp; forbrug'!$E$4:$E$291,Biogasanlæg!G$11)</f>
        <v>0</v>
      </c>
      <c r="H12" s="119">
        <f>VLOOKUP(A12,[1]Biogasudbytte!$A$2:$C$18,3,FALSE)</f>
        <v>0.05</v>
      </c>
      <c r="I12" s="120">
        <f>VLOOKUP(A12,[1]Biogasudbytte!$A$2:$C$18,2,FALSE)*IFERROR(VLOOKUP(A12,$F$3:$G$8,2,FALSE),1)</f>
        <v>12</v>
      </c>
      <c r="J12" s="119">
        <f t="shared" ref="J12:J28" si="1">C12/C$29</f>
        <v>0.22267199142680771</v>
      </c>
      <c r="K12" s="119">
        <f t="shared" ref="K12:K28" si="2">D12/D$29</f>
        <v>0.28127550137093515</v>
      </c>
      <c r="L12" s="119">
        <f t="shared" ref="L12:L28" si="3">E12/E$29</f>
        <v>0</v>
      </c>
      <c r="M12" s="114" t="s">
        <v>212</v>
      </c>
      <c r="N12" s="114">
        <f>S12+2/3*T12</f>
        <v>2914869.3333333335</v>
      </c>
      <c r="O12" s="136">
        <f t="shared" ref="O12:O16" si="4">N12-C12</f>
        <v>0</v>
      </c>
      <c r="P12" s="115">
        <f>C12*I12</f>
        <v>34978432</v>
      </c>
      <c r="Q12" s="114">
        <f>P12*35.9/1000000000</f>
        <v>1.2557257088</v>
      </c>
      <c r="S12" s="114">
        <v>2517134</v>
      </c>
      <c r="T12" s="114">
        <v>596603</v>
      </c>
      <c r="Y12" s="136"/>
      <c r="Z12" s="136"/>
      <c r="AA12" s="136"/>
    </row>
    <row r="13" spans="1:29" x14ac:dyDescent="0.2">
      <c r="A13" s="114" t="s">
        <v>136</v>
      </c>
      <c r="B13" s="114" t="s">
        <v>139</v>
      </c>
      <c r="C13" s="121">
        <f>SUMIFS('Resultater - Danmark'!H$3:H$504,'Resultater - Danmark'!$F$3:$F$504,$A13)*B4</f>
        <v>4353509.666666667</v>
      </c>
      <c r="D13" s="121">
        <f>SUMIFS('Resultater - Danmark'!I$3:I$504,'Resultater - Danmark'!$F$3:$F$504,$A13)*C4</f>
        <v>6149984.92344434</v>
      </c>
      <c r="E13" s="121">
        <f>SUMIFS('Resultater - Danmark'!J$3:J$504,'Resultater - Danmark'!$F$3:$F$504,$A13)*D4</f>
        <v>756558.64442740742</v>
      </c>
      <c r="F13" s="218">
        <f>SUMIFS('Resultat-Produktion &amp; forbrug'!$G$4:$G$291,'Resultat-Produktion &amp; forbrug'!$A$4:$A$291,$A13,'Resultat-Produktion &amp; forbrug'!$E$4:$E$291,Biogasanlæg!F$11)-SUMIFS('Resultat-Produktion &amp; forbrug'!$H$4:$H$291,'Resultat-Produktion &amp; forbrug'!$A$4:$A$291,$A13,'Resultat-Produktion &amp; forbrug'!$E$4:$E$291,Biogasanlæg!F$11)-SUMIFS('Resultat-Produktion &amp; forbrug'!$I$4:$I$291,'Resultat-Produktion &amp; forbrug'!$A$4:$A$291,$A13,'Resultat-Produktion &amp; forbrug'!$E$4:$E$291,Biogasanlæg!F$11)-SUMIFS('Resultat-Produktion &amp; forbrug'!$J$4:$J$291,'Resultat-Produktion &amp; forbrug'!$A$4:$A$291,$A13,'Resultat-Produktion &amp; forbrug'!$E$4:$E$291,Biogasanlæg!F$11)-SUMIFS('Resultat-Produktion &amp; forbrug'!$K$4:$K$291,'Resultat-Produktion &amp; forbrug'!$A$4:$A$291,$A13,'Resultat-Produktion &amp; forbrug'!$E$4:$E$291,Biogasanlæg!F$11)-SUMIFS('Resultat-Produktion &amp; forbrug'!$N$4:$N$291,'Resultat-Produktion &amp; forbrug'!$A$4:$A$291,$A13,'Resultat-Produktion &amp; forbrug'!$E$4:$E$291,Biogasanlæg!F$11)</f>
        <v>2049994.9744814476</v>
      </c>
      <c r="G13" s="218">
        <f>SUMIFS('Resultat-Produktion &amp; forbrug'!$G$4:$G$291,'Resultat-Produktion &amp; forbrug'!$A$4:$A$291,$A13,'Resultat-Produktion &amp; forbrug'!$E$4:$E$291,Biogasanlæg!G$11)-SUMIFS('Resultat-Produktion &amp; forbrug'!$H$4:$H$291,'Resultat-Produktion &amp; forbrug'!$A$4:$A$291,$A13,'Resultat-Produktion &amp; forbrug'!$E$4:$E$291,Biogasanlæg!G$11)-SUMIFS('Resultat-Produktion &amp; forbrug'!$I$4:$I$291,'Resultat-Produktion &amp; forbrug'!$A$4:$A$291,$A13,'Resultat-Produktion &amp; forbrug'!$E$4:$E$291,Biogasanlæg!G$11)-SUMIFS('Resultat-Produktion &amp; forbrug'!$J$4:$J$291,'Resultat-Produktion &amp; forbrug'!$A$4:$A$291,$A13,'Resultat-Produktion &amp; forbrug'!$E$4:$E$291,Biogasanlæg!G$11)-SUMIFS('Resultat-Produktion &amp; forbrug'!$K$4:$K$291,'Resultat-Produktion &amp; forbrug'!$A$4:$A$291,$A13,'Resultat-Produktion &amp; forbrug'!$E$4:$E$291,Biogasanlæg!G$11)-SUMIFS('Resultat-Produktion &amp; forbrug'!$N$4:$N$291,'Resultat-Produktion &amp; forbrug'!$A$4:$A$291,$A13,'Resultat-Produktion &amp; forbrug'!$E$4:$E$291,Biogasanlæg!G$11)</f>
        <v>84062.071603045217</v>
      </c>
      <c r="H13" s="122">
        <f>VLOOKUP(A13,[1]Biogasudbytte!$A$2:$C$18,3,FALSE)</f>
        <v>7.5999999999999998E-2</v>
      </c>
      <c r="I13" s="123">
        <f>VLOOKUP(A13,[1]Biogasudbytte!$A$2:$C$18,2,FALSE)*IFERROR(VLOOKUP(A13,$F$3:$G$8,2,FALSE),1)</f>
        <v>14.1</v>
      </c>
      <c r="J13" s="122">
        <f t="shared" si="1"/>
        <v>0.33257225498473725</v>
      </c>
      <c r="K13" s="122">
        <f t="shared" si="2"/>
        <v>0.30266611601927834</v>
      </c>
      <c r="L13" s="122">
        <f t="shared" si="3"/>
        <v>8.3654786233334846E-2</v>
      </c>
      <c r="M13" s="114" t="s">
        <v>213</v>
      </c>
      <c r="N13" s="114">
        <f>S13+1/3*T13</f>
        <v>4353509.666666667</v>
      </c>
      <c r="O13" s="136">
        <f t="shared" si="4"/>
        <v>0</v>
      </c>
      <c r="P13" s="115">
        <f t="shared" ref="P13:P28" si="5">C13*I13</f>
        <v>61384486.300000004</v>
      </c>
      <c r="Q13" s="114">
        <f t="shared" ref="Q13:Q28" si="6">P13*35.9/1000000000</f>
        <v>2.2037030581699999</v>
      </c>
      <c r="S13" s="114">
        <v>4154642</v>
      </c>
      <c r="T13" s="114">
        <v>596603</v>
      </c>
    </row>
    <row r="14" spans="1:29" x14ac:dyDescent="0.2">
      <c r="A14" s="114" t="s">
        <v>137</v>
      </c>
      <c r="B14" s="114" t="s">
        <v>139</v>
      </c>
      <c r="C14" s="121">
        <f>SUMIFS('Resultater - Danmark'!H$3:H$504,'Resultater - Danmark'!$F$3:$F$504,$A14)*B5</f>
        <v>4441.5</v>
      </c>
      <c r="D14" s="121">
        <f>SUMIFS('Resultater - Danmark'!I$3:I$504,'Resultater - Danmark'!$F$3:$F$504,$A14)*C5</f>
        <v>6572.2723545464542</v>
      </c>
      <c r="E14" s="121">
        <f>SUMIFS('Resultater - Danmark'!J$3:J$504,'Resultater - Danmark'!$F$3:$F$504,$A14)*D5</f>
        <v>5480.9700138047256</v>
      </c>
      <c r="F14" s="218">
        <f>SUMIFS('Resultat-Produktion &amp; forbrug'!$G$4:$G$291,'Resultat-Produktion &amp; forbrug'!$A$4:$A$291,$A14,'Resultat-Produktion &amp; forbrug'!$E$4:$E$291,Biogasanlæg!F$11)-SUMIFS('Resultat-Produktion &amp; forbrug'!$H$4:$H$291,'Resultat-Produktion &amp; forbrug'!$A$4:$A$291,$A14,'Resultat-Produktion &amp; forbrug'!$E$4:$E$291,Biogasanlæg!F$11)-SUMIFS('Resultat-Produktion &amp; forbrug'!$I$4:$I$291,'Resultat-Produktion &amp; forbrug'!$A$4:$A$291,$A14,'Resultat-Produktion &amp; forbrug'!$E$4:$E$291,Biogasanlæg!F$11)-SUMIFS('Resultat-Produktion &amp; forbrug'!$J$4:$J$291,'Resultat-Produktion &amp; forbrug'!$A$4:$A$291,$A14,'Resultat-Produktion &amp; forbrug'!$E$4:$E$291,Biogasanlæg!F$11)-SUMIFS('Resultat-Produktion &amp; forbrug'!$K$4:$K$291,'Resultat-Produktion &amp; forbrug'!$A$4:$A$291,$A14,'Resultat-Produktion &amp; forbrug'!$E$4:$E$291,Biogasanlæg!F$11)-SUMIFS('Resultat-Produktion &amp; forbrug'!$N$4:$N$291,'Resultat-Produktion &amp; forbrug'!$A$4:$A$291,$A14,'Resultat-Produktion &amp; forbrug'!$E$4:$E$291,Biogasanlæg!F$11)</f>
        <v>2190.7574515154847</v>
      </c>
      <c r="G14" s="218">
        <f>SUMIFS('Resultat-Produktion &amp; forbrug'!$G$4:$G$291,'Resultat-Produktion &amp; forbrug'!$A$4:$A$291,$A14,'Resultat-Produktion &amp; forbrug'!$E$4:$E$291,Biogasanlæg!G$11)-SUMIFS('Resultat-Produktion &amp; forbrug'!$H$4:$H$291,'Resultat-Produktion &amp; forbrug'!$A$4:$A$291,$A14,'Resultat-Produktion &amp; forbrug'!$E$4:$E$291,Biogasanlæg!G$11)-SUMIFS('Resultat-Produktion &amp; forbrug'!$I$4:$I$291,'Resultat-Produktion &amp; forbrug'!$A$4:$A$291,$A14,'Resultat-Produktion &amp; forbrug'!$E$4:$E$291,Biogasanlæg!G$11)-SUMIFS('Resultat-Produktion &amp; forbrug'!$J$4:$J$291,'Resultat-Produktion &amp; forbrug'!$A$4:$A$291,$A14,'Resultat-Produktion &amp; forbrug'!$E$4:$E$291,Biogasanlæg!G$11)-SUMIFS('Resultat-Produktion &amp; forbrug'!$K$4:$K$291,'Resultat-Produktion &amp; forbrug'!$A$4:$A$291,$A14,'Resultat-Produktion &amp; forbrug'!$E$4:$E$291,Biogasanlæg!G$11)-SUMIFS('Resultat-Produktion &amp; forbrug'!$N$4:$N$291,'Resultat-Produktion &amp; forbrug'!$A$4:$A$291,$A14,'Resultat-Produktion &amp; forbrug'!$E$4:$E$291,Biogasanlæg!G$11)</f>
        <v>608.99666820052425</v>
      </c>
      <c r="H14" s="122">
        <f>VLOOKUP(A14,[1]Biogasudbytte!$A$2:$C$18,3,FALSE)</f>
        <v>6.3E-2</v>
      </c>
      <c r="I14" s="123">
        <f>VLOOKUP(A14,[1]Biogasudbytte!$A$2:$C$18,2,FALSE)*IFERROR(VLOOKUP(A14,$F$3:$G$8,2,FALSE),1)</f>
        <v>13.1</v>
      </c>
      <c r="J14" s="122">
        <f t="shared" si="1"/>
        <v>3.3929399119623192E-4</v>
      </c>
      <c r="K14" s="122">
        <f t="shared" si="2"/>
        <v>3.2344862170123595E-4</v>
      </c>
      <c r="L14" s="122">
        <f t="shared" si="3"/>
        <v>6.0604604578032436E-4</v>
      </c>
      <c r="M14" s="114" t="s">
        <v>145</v>
      </c>
      <c r="N14" s="115">
        <v>11417</v>
      </c>
      <c r="O14" s="136">
        <f t="shared" si="4"/>
        <v>6975.5</v>
      </c>
      <c r="P14" s="115">
        <f t="shared" si="5"/>
        <v>58183.65</v>
      </c>
      <c r="Q14" s="114">
        <f t="shared" si="6"/>
        <v>2.0887930350000001E-3</v>
      </c>
    </row>
    <row r="15" spans="1:29" x14ac:dyDescent="0.2">
      <c r="A15" s="114" t="s">
        <v>140</v>
      </c>
      <c r="B15" s="114" t="s">
        <v>139</v>
      </c>
      <c r="C15" s="121">
        <f>SUMIFS('Resultater - Danmark'!H$3:H$504,'Resultater - Danmark'!$F$3:$F$504,$A15)*B6</f>
        <v>2668834</v>
      </c>
      <c r="D15" s="121">
        <f>SUMIFS('Resultater - Danmark'!I$3:I$504,'Resultater - Danmark'!$F$3:$F$504,$A15)*C6</f>
        <v>5448586.1690262407</v>
      </c>
      <c r="E15" s="121">
        <f>SUMIFS('Resultater - Danmark'!J$3:J$504,'Resultater - Danmark'!$F$3:$F$504,$A15)*D6</f>
        <v>6751934.139224072</v>
      </c>
      <c r="F15" s="218">
        <f>SUMIFS('Resultat-Produktion &amp; forbrug'!$G$4:$G$291,'Resultat-Produktion &amp; forbrug'!$A$4:$A$291,$A15,'Resultat-Produktion &amp; forbrug'!$E$4:$E$291,Biogasanlæg!F$11)-SUMIFS('Resultat-Produktion &amp; forbrug'!$H$4:$H$291,'Resultat-Produktion &amp; forbrug'!$A$4:$A$291,$A15,'Resultat-Produktion &amp; forbrug'!$E$4:$E$291,Biogasanlæg!F$11)-SUMIFS('Resultat-Produktion &amp; forbrug'!$I$4:$I$291,'Resultat-Produktion &amp; forbrug'!$A$4:$A$291,$A15,'Resultat-Produktion &amp; forbrug'!$E$4:$E$291,Biogasanlæg!F$11)-SUMIFS('Resultat-Produktion &amp; forbrug'!$J$4:$J$291,'Resultat-Produktion &amp; forbrug'!$A$4:$A$291,$A15,'Resultat-Produktion &amp; forbrug'!$E$4:$E$291,Biogasanlæg!F$11)-SUMIFS('Resultat-Produktion &amp; forbrug'!$K$4:$K$291,'Resultat-Produktion &amp; forbrug'!$A$4:$A$291,$A15,'Resultat-Produktion &amp; forbrug'!$E$4:$E$291,Biogasanlæg!F$11)-SUMIFS('Resultat-Produktion &amp; forbrug'!$N$4:$N$291,'Resultat-Produktion &amp; forbrug'!$A$4:$A$291,$A15,'Resultat-Produktion &amp; forbrug'!$E$4:$E$291,Biogasanlæg!F$11)</f>
        <v>1816195.3896754142</v>
      </c>
      <c r="G15" s="218">
        <f>SUMIFS('Resultat-Produktion &amp; forbrug'!$G$4:$G$291,'Resultat-Produktion &amp; forbrug'!$A$4:$A$291,$A15,'Resultat-Produktion &amp; forbrug'!$E$4:$E$291,Biogasanlæg!G$11)-SUMIFS('Resultat-Produktion &amp; forbrug'!$H$4:$H$291,'Resultat-Produktion &amp; forbrug'!$A$4:$A$291,$A15,'Resultat-Produktion &amp; forbrug'!$E$4:$E$291,Biogasanlæg!G$11)-SUMIFS('Resultat-Produktion &amp; forbrug'!$I$4:$I$291,'Resultat-Produktion &amp; forbrug'!$A$4:$A$291,$A15,'Resultat-Produktion &amp; forbrug'!$E$4:$E$291,Biogasanlæg!G$11)-SUMIFS('Resultat-Produktion &amp; forbrug'!$J$4:$J$291,'Resultat-Produktion &amp; forbrug'!$A$4:$A$291,$A15,'Resultat-Produktion &amp; forbrug'!$E$4:$E$291,Biogasanlæg!G$11)-SUMIFS('Resultat-Produktion &amp; forbrug'!$K$4:$K$291,'Resultat-Produktion &amp; forbrug'!$A$4:$A$291,$A15,'Resultat-Produktion &amp; forbrug'!$E$4:$E$291,Biogasanlæg!G$11)-SUMIFS('Resultat-Produktion &amp; forbrug'!$N$4:$N$291,'Resultat-Produktion &amp; forbrug'!$A$4:$A$291,$A15,'Resultat-Produktion &amp; forbrug'!$E$4:$E$291,Biogasanlæg!G$11)</f>
        <v>750214.90435823053</v>
      </c>
      <c r="H15" s="122">
        <f>VLOOKUP(A15,[1]Biogasudbytte!$A$2:$C$18,3,FALSE)</f>
        <v>0.06</v>
      </c>
      <c r="I15" s="123">
        <f>VLOOKUP(A15,[1]Biogasudbytte!$A$2:$C$18,2,FALSE)*IFERROR(VLOOKUP(A15,$F$3:$G$8,2,FALSE),1)</f>
        <v>13.9</v>
      </c>
      <c r="J15" s="122">
        <f t="shared" si="1"/>
        <v>0.20387691989197443</v>
      </c>
      <c r="K15" s="122">
        <f t="shared" si="2"/>
        <v>0.26814739127066683</v>
      </c>
      <c r="L15" s="122">
        <f t="shared" si="3"/>
        <v>0.74658007180108521</v>
      </c>
      <c r="M15" s="124" t="s">
        <v>291</v>
      </c>
      <c r="N15" s="125">
        <f>SUM(S15:Z15)</f>
        <v>2668834</v>
      </c>
      <c r="O15" s="136">
        <f t="shared" si="4"/>
        <v>0</v>
      </c>
      <c r="P15" s="115">
        <f>C15*I15</f>
        <v>37096792.600000001</v>
      </c>
      <c r="Q15" s="114">
        <f t="shared" si="6"/>
        <v>1.3317748543399999</v>
      </c>
      <c r="S15" s="149">
        <v>2666649</v>
      </c>
      <c r="T15" s="114">
        <v>2185</v>
      </c>
      <c r="U15" s="149" t="s">
        <v>293</v>
      </c>
    </row>
    <row r="16" spans="1:29" x14ac:dyDescent="0.2">
      <c r="A16" s="114" t="s">
        <v>101</v>
      </c>
      <c r="B16" s="114" t="s">
        <v>139</v>
      </c>
      <c r="C16" s="121">
        <f>SUMIFS('Resultater - Danmark'!H$3:H$504,'Resultater - Danmark'!$F$3:$F$504,$A16)*B7</f>
        <v>757087</v>
      </c>
      <c r="D16" s="121">
        <f>SUMIFS('Resultater - Danmark'!I$3:I$504,'Resultater - Danmark'!$F$3:$F$504,$A16)*C7</f>
        <v>2106143.9491047468</v>
      </c>
      <c r="E16" s="121">
        <f>SUMIFS('Resultater - Danmark'!J$3:J$504,'Resultater - Danmark'!$F$3:$F$504,$A16)*D7</f>
        <v>407102.04197368224</v>
      </c>
      <c r="F16" s="218">
        <f>SUMIFS('Resultat-Produktion &amp; forbrug'!$G$4:$G$291,'Resultat-Produktion &amp; forbrug'!$A$4:$A$291,$A16,'Resultat-Produktion &amp; forbrug'!$E$4:$E$291,Biogasanlæg!F$11)-SUMIFS('Resultat-Produktion &amp; forbrug'!$H$4:$H$291,'Resultat-Produktion &amp; forbrug'!$A$4:$A$291,$A16,'Resultat-Produktion &amp; forbrug'!$E$4:$E$291,Biogasanlæg!F$11)-SUMIFS('Resultat-Produktion &amp; forbrug'!$I$4:$I$291,'Resultat-Produktion &amp; forbrug'!$A$4:$A$291,$A16,'Resultat-Produktion &amp; forbrug'!$E$4:$E$291,Biogasanlæg!F$11)-SUMIFS('Resultat-Produktion &amp; forbrug'!$J$4:$J$291,'Resultat-Produktion &amp; forbrug'!$A$4:$A$291,$A16,'Resultat-Produktion &amp; forbrug'!$E$4:$E$291,Biogasanlæg!F$11)-SUMIFS('Resultat-Produktion &amp; forbrug'!$K$4:$K$291,'Resultat-Produktion &amp; forbrug'!$A$4:$A$291,$A16,'Resultat-Produktion &amp; forbrug'!$E$4:$E$291,Biogasanlæg!F$11)-SUMIFS('Resultat-Produktion &amp; forbrug'!$N$4:$N$291,'Resultat-Produktion &amp; forbrug'!$A$4:$A$291,$A16,'Resultat-Produktion &amp; forbrug'!$E$4:$E$291,Biogasanlæg!F$11)</f>
        <v>702047.98303491576</v>
      </c>
      <c r="G16" s="218">
        <f>SUMIFS('Resultat-Produktion &amp; forbrug'!$G$4:$G$291,'Resultat-Produktion &amp; forbrug'!$A$4:$A$291,$A16,'Resultat-Produktion &amp; forbrug'!$E$4:$E$291,Biogasanlæg!G$11)-SUMIFS('Resultat-Produktion &amp; forbrug'!$H$4:$H$291,'Resultat-Produktion &amp; forbrug'!$A$4:$A$291,$A16,'Resultat-Produktion &amp; forbrug'!$E$4:$E$291,Biogasanlæg!G$11)-SUMIFS('Resultat-Produktion &amp; forbrug'!$I$4:$I$291,'Resultat-Produktion &amp; forbrug'!$A$4:$A$291,$A16,'Resultat-Produktion &amp; forbrug'!$E$4:$E$291,Biogasanlæg!G$11)-SUMIFS('Resultat-Produktion &amp; forbrug'!$J$4:$J$291,'Resultat-Produktion &amp; forbrug'!$A$4:$A$291,$A16,'Resultat-Produktion &amp; forbrug'!$E$4:$E$291,Biogasanlæg!G$11)-SUMIFS('Resultat-Produktion &amp; forbrug'!$K$4:$K$291,'Resultat-Produktion &amp; forbrug'!$A$4:$A$291,$A16,'Resultat-Produktion &amp; forbrug'!$E$4:$E$291,Biogasanlæg!G$11)-SUMIFS('Resultat-Produktion &amp; forbrug'!$N$4:$N$291,'Resultat-Produktion &amp; forbrug'!$A$4:$A$291,$A16,'Resultat-Produktion &amp; forbrug'!$E$4:$E$291,Biogasanlæg!G$11)</f>
        <v>45233.560219298</v>
      </c>
      <c r="H16" s="122">
        <f>VLOOKUP(A16,[1]Biogasudbytte!$A$2:$C$18,3,FALSE)</f>
        <v>0.3</v>
      </c>
      <c r="I16" s="123">
        <f>VLOOKUP(A16,[1]Biogasudbytte!$A$2:$C$18,2,FALSE)*IFERROR(VLOOKUP(A16,$F$3:$G$8,2,FALSE),1)</f>
        <v>60</v>
      </c>
      <c r="J16" s="122">
        <f t="shared" si="1"/>
        <v>5.7835206554718369E-2</v>
      </c>
      <c r="K16" s="122">
        <f t="shared" si="2"/>
        <v>0.10365202789733435</v>
      </c>
      <c r="L16" s="122">
        <f t="shared" si="3"/>
        <v>4.5014401127142514E-2</v>
      </c>
      <c r="M16" s="222" t="s">
        <v>156</v>
      </c>
      <c r="N16" s="223">
        <v>757087</v>
      </c>
      <c r="O16" s="136">
        <f t="shared" si="4"/>
        <v>0</v>
      </c>
      <c r="P16" s="115">
        <f t="shared" si="5"/>
        <v>45425220</v>
      </c>
      <c r="Q16" s="114">
        <f t="shared" si="6"/>
        <v>1.6307653980000001</v>
      </c>
    </row>
    <row r="17" spans="1:23" x14ac:dyDescent="0.2">
      <c r="A17" s="114" t="s">
        <v>208</v>
      </c>
      <c r="B17" s="114" t="s">
        <v>139</v>
      </c>
      <c r="C17" s="121">
        <f>SUMIFS('Resultater - Danmark'!H$3:H$504,'Resultater - Danmark'!$F$3:$F$504,$A17)*B8</f>
        <v>0</v>
      </c>
      <c r="D17" s="121">
        <f>SUMIFS('Resultater - Danmark'!I$3:I$504,'Resultater - Danmark'!$F$3:$F$504,$A17)*C8</f>
        <v>0</v>
      </c>
      <c r="E17" s="121">
        <f>SUMIFS('Resultater - Danmark'!J$3:J$504,'Resultater - Danmark'!$F$3:$F$504,$A17)*D8</f>
        <v>0</v>
      </c>
      <c r="F17" s="218">
        <f>SUMIFS('Resultat-Produktion &amp; forbrug'!$G$4:$G$291,'Resultat-Produktion &amp; forbrug'!$A$4:$A$291,$A17,'Resultat-Produktion &amp; forbrug'!$E$4:$E$291,Biogasanlæg!F$11)-SUMIFS('Resultat-Produktion &amp; forbrug'!$H$4:$H$291,'Resultat-Produktion &amp; forbrug'!$A$4:$A$291,$A17,'Resultat-Produktion &amp; forbrug'!$E$4:$E$291,Biogasanlæg!F$11)-SUMIFS('Resultat-Produktion &amp; forbrug'!$I$4:$I$291,'Resultat-Produktion &amp; forbrug'!$A$4:$A$291,$A17,'Resultat-Produktion &amp; forbrug'!$E$4:$E$291,Biogasanlæg!F$11)-SUMIFS('Resultat-Produktion &amp; forbrug'!$J$4:$J$291,'Resultat-Produktion &amp; forbrug'!$A$4:$A$291,$A17,'Resultat-Produktion &amp; forbrug'!$E$4:$E$291,Biogasanlæg!F$11)-SUMIFS('Resultat-Produktion &amp; forbrug'!$K$4:$K$291,'Resultat-Produktion &amp; forbrug'!$A$4:$A$291,$A17,'Resultat-Produktion &amp; forbrug'!$E$4:$E$291,Biogasanlæg!F$11)-SUMIFS('Resultat-Produktion &amp; forbrug'!$N$4:$N$291,'Resultat-Produktion &amp; forbrug'!$A$4:$A$291,$A17,'Resultat-Produktion &amp; forbrug'!$E$4:$E$291,Biogasanlæg!F$11)</f>
        <v>0</v>
      </c>
      <c r="G17" s="218">
        <f>SUMIFS('Resultat-Produktion &amp; forbrug'!$G$4:$G$291,'Resultat-Produktion &amp; forbrug'!$A$4:$A$291,$A17,'Resultat-Produktion &amp; forbrug'!$E$4:$E$291,Biogasanlæg!G$11)-SUMIFS('Resultat-Produktion &amp; forbrug'!$H$4:$H$291,'Resultat-Produktion &amp; forbrug'!$A$4:$A$291,$A17,'Resultat-Produktion &amp; forbrug'!$E$4:$E$291,Biogasanlæg!G$11)-SUMIFS('Resultat-Produktion &amp; forbrug'!$I$4:$I$291,'Resultat-Produktion &amp; forbrug'!$A$4:$A$291,$A17,'Resultat-Produktion &amp; forbrug'!$E$4:$E$291,Biogasanlæg!G$11)-SUMIFS('Resultat-Produktion &amp; forbrug'!$J$4:$J$291,'Resultat-Produktion &amp; forbrug'!$A$4:$A$291,$A17,'Resultat-Produktion &amp; forbrug'!$E$4:$E$291,Biogasanlæg!G$11)-SUMIFS('Resultat-Produktion &amp; forbrug'!$K$4:$K$291,'Resultat-Produktion &amp; forbrug'!$A$4:$A$291,$A17,'Resultat-Produktion &amp; forbrug'!$E$4:$E$291,Biogasanlæg!G$11)-SUMIFS('Resultat-Produktion &amp; forbrug'!$N$4:$N$291,'Resultat-Produktion &amp; forbrug'!$A$4:$A$291,$A17,'Resultat-Produktion &amp; forbrug'!$E$4:$E$291,Biogasanlæg!G$11)</f>
        <v>0</v>
      </c>
      <c r="H17" s="122">
        <f>VLOOKUP(A17,[1]Biogasudbytte!$A$2:$C$18,3,FALSE)</f>
        <v>4.2763387558472386E-2</v>
      </c>
      <c r="I17" s="123">
        <f>VLOOKUP(A17,[1]Biogasudbytte!$A$2:$C$18,2,FALSE)*IFERROR(VLOOKUP(A17,$F$3:$G$8,2,FALSE),1)</f>
        <v>15.822453396634783</v>
      </c>
      <c r="J17" s="122">
        <f t="shared" si="1"/>
        <v>0</v>
      </c>
      <c r="K17" s="122">
        <f t="shared" si="2"/>
        <v>0</v>
      </c>
      <c r="L17" s="122">
        <f t="shared" si="3"/>
        <v>0</v>
      </c>
      <c r="M17" s="114" t="s">
        <v>149</v>
      </c>
      <c r="N17" s="115"/>
      <c r="O17" s="136"/>
      <c r="P17" s="115">
        <f t="shared" si="5"/>
        <v>0</v>
      </c>
      <c r="Q17" s="114">
        <f t="shared" si="6"/>
        <v>0</v>
      </c>
    </row>
    <row r="18" spans="1:23" x14ac:dyDescent="0.2">
      <c r="A18" s="114" t="s">
        <v>102</v>
      </c>
      <c r="B18" s="114" t="s">
        <v>139</v>
      </c>
      <c r="C18" s="225">
        <f t="shared" ref="C18" si="7">N18</f>
        <v>729134</v>
      </c>
      <c r="D18" s="226"/>
      <c r="E18" s="226"/>
      <c r="F18" s="218">
        <f ca="1">SUMIFS('Resultat-Produktion &amp; forbrug'!$G$4:$G$291,'Resultat-Produktion &amp; forbrug'!$A$4:$A$291,$A18,'Resultat-Produktion &amp; forbrug'!$E$4:$E$291,Biogasanlæg!F$11)-SUMIFS('Resultat-Produktion &amp; forbrug'!$H$4:$H$291,'Resultat-Produktion &amp; forbrug'!$A$4:$A$291,$A18,'Resultat-Produktion &amp; forbrug'!$E$4:$E$291,Biogasanlæg!F$11)-SUMIFS('Resultat-Produktion &amp; forbrug'!$I$4:$I$291,'Resultat-Produktion &amp; forbrug'!$A$4:$A$291,$A18,'Resultat-Produktion &amp; forbrug'!$E$4:$E$291,Biogasanlæg!F$11)-SUMIFS('Resultat-Produktion &amp; forbrug'!$J$4:$J$291,'Resultat-Produktion &amp; forbrug'!$A$4:$A$291,$A18,'Resultat-Produktion &amp; forbrug'!$E$4:$E$291,Biogasanlæg!F$11)-SUMIFS('Resultat-Produktion &amp; forbrug'!$K$4:$K$291,'Resultat-Produktion &amp; forbrug'!$A$4:$A$291,$A18,'Resultat-Produktion &amp; forbrug'!$E$4:$E$291,Biogasanlæg!F$11)-SUMIFS('Resultat-Produktion &amp; forbrug'!$N$4:$N$291,'Resultat-Produktion &amp; forbrug'!$A$4:$A$291,$A18,'Resultat-Produktion &amp; forbrug'!$E$4:$E$291,Biogasanlæg!F$11)</f>
        <v>363994.97174274386</v>
      </c>
      <c r="G18" s="218">
        <f ca="1">SUMIFS('Resultat-Produktion &amp; forbrug'!$G$4:$G$291,'Resultat-Produktion &amp; forbrug'!$A$4:$A$291,$A18,'Resultat-Produktion &amp; forbrug'!$E$4:$E$291,Biogasanlæg!G$11)-SUMIFS('Resultat-Produktion &amp; forbrug'!$H$4:$H$291,'Resultat-Produktion &amp; forbrug'!$A$4:$A$291,$A18,'Resultat-Produktion &amp; forbrug'!$E$4:$E$291,Biogasanlæg!G$11)-SUMIFS('Resultat-Produktion &amp; forbrug'!$I$4:$I$291,'Resultat-Produktion &amp; forbrug'!$A$4:$A$291,$A18,'Resultat-Produktion &amp; forbrug'!$E$4:$E$291,Biogasanlæg!G$11)-SUMIFS('Resultat-Produktion &amp; forbrug'!$J$4:$J$291,'Resultat-Produktion &amp; forbrug'!$A$4:$A$291,$A18,'Resultat-Produktion &amp; forbrug'!$E$4:$E$291,Biogasanlæg!G$11)-SUMIFS('Resultat-Produktion &amp; forbrug'!$K$4:$K$291,'Resultat-Produktion &amp; forbrug'!$A$4:$A$291,$A18,'Resultat-Produktion &amp; forbrug'!$E$4:$E$291,Biogasanlæg!G$11)-SUMIFS('Resultat-Produktion &amp; forbrug'!$N$4:$N$291,'Resultat-Produktion &amp; forbrug'!$A$4:$A$291,$A18,'Resultat-Produktion &amp; forbrug'!$E$4:$E$291,Biogasanlæg!G$11)</f>
        <v>369776.8151095995</v>
      </c>
      <c r="H18" s="122">
        <f>VLOOKUP(A18,[1]Biogasudbytte!$A$2:$C$18,3,FALSE)</f>
        <v>0.28000000000000003</v>
      </c>
      <c r="I18" s="123">
        <f>VLOOKUP(A18,[1]Biogasudbytte!$A$2:$C$18,2,FALSE)*IFERROR(VLOOKUP(A18,$F$3:$G$8,2,FALSE),1)</f>
        <v>94.9</v>
      </c>
      <c r="J18" s="122">
        <f t="shared" si="1"/>
        <v>5.5699827755684647E-2</v>
      </c>
      <c r="K18" s="122">
        <f t="shared" si="2"/>
        <v>0</v>
      </c>
      <c r="L18" s="122">
        <f t="shared" si="3"/>
        <v>0</v>
      </c>
      <c r="M18" s="143" t="s">
        <v>289</v>
      </c>
      <c r="N18" s="144">
        <f>SUM(S18:Z18)</f>
        <v>729134</v>
      </c>
      <c r="O18" s="136">
        <f>N18-C18</f>
        <v>0</v>
      </c>
      <c r="P18" s="115">
        <f>C18*I18</f>
        <v>69194816.600000009</v>
      </c>
      <c r="Q18" s="114">
        <f>P18*35.9/1000000000</f>
        <v>2.48409391594</v>
      </c>
      <c r="S18" s="114">
        <v>338470</v>
      </c>
      <c r="T18" s="114">
        <v>199809</v>
      </c>
      <c r="U18" s="114">
        <v>60011</v>
      </c>
      <c r="V18" s="114">
        <v>44821</v>
      </c>
      <c r="W18" s="114">
        <v>86023</v>
      </c>
    </row>
    <row r="19" spans="1:23" x14ac:dyDescent="0.2">
      <c r="A19" s="114" t="s">
        <v>103</v>
      </c>
      <c r="B19" s="114" t="s">
        <v>139</v>
      </c>
      <c r="C19" s="225">
        <f>N19</f>
        <v>995654</v>
      </c>
      <c r="D19" s="226"/>
      <c r="E19" s="226"/>
      <c r="F19" s="218">
        <f>SUMIFS('Resultat-Produktion &amp; forbrug'!$G$4:$G$291,'Resultat-Produktion &amp; forbrug'!$A$4:$A$291,$A19,'Resultat-Produktion &amp; forbrug'!$E$4:$E$291,Biogasanlæg!F$11)-SUMIFS('Resultat-Produktion &amp; forbrug'!$H$4:$H$291,'Resultat-Produktion &amp; forbrug'!$A$4:$A$291,$A19,'Resultat-Produktion &amp; forbrug'!$E$4:$E$291,Biogasanlæg!F$11)-SUMIFS('Resultat-Produktion &amp; forbrug'!$I$4:$I$291,'Resultat-Produktion &amp; forbrug'!$A$4:$A$291,$A19,'Resultat-Produktion &amp; forbrug'!$E$4:$E$291,Biogasanlæg!F$11)-SUMIFS('Resultat-Produktion &amp; forbrug'!$J$4:$J$291,'Resultat-Produktion &amp; forbrug'!$A$4:$A$291,$A19,'Resultat-Produktion &amp; forbrug'!$E$4:$E$291,Biogasanlæg!F$11)-SUMIFS('Resultat-Produktion &amp; forbrug'!$K$4:$K$291,'Resultat-Produktion &amp; forbrug'!$A$4:$A$291,$A19,'Resultat-Produktion &amp; forbrug'!$E$4:$E$291,Biogasanlæg!F$11)-SUMIFS('Resultat-Produktion &amp; forbrug'!$N$4:$N$291,'Resultat-Produktion &amp; forbrug'!$A$4:$A$291,$A19,'Resultat-Produktion &amp; forbrug'!$E$4:$E$291,Biogasanlæg!F$11)</f>
        <v>591642.55905312812</v>
      </c>
      <c r="G19" s="218">
        <f>SUMIFS('Resultat-Produktion &amp; forbrug'!$G$4:$G$291,'Resultat-Produktion &amp; forbrug'!$A$4:$A$291,$A19,'Resultat-Produktion &amp; forbrug'!$E$4:$E$291,Biogasanlæg!G$11)-SUMIFS('Resultat-Produktion &amp; forbrug'!$H$4:$H$291,'Resultat-Produktion &amp; forbrug'!$A$4:$A$291,$A19,'Resultat-Produktion &amp; forbrug'!$E$4:$E$291,Biogasanlæg!G$11)-SUMIFS('Resultat-Produktion &amp; forbrug'!$I$4:$I$291,'Resultat-Produktion &amp; forbrug'!$A$4:$A$291,$A19,'Resultat-Produktion &amp; forbrug'!$E$4:$E$291,Biogasanlæg!G$11)-SUMIFS('Resultat-Produktion &amp; forbrug'!$J$4:$J$291,'Resultat-Produktion &amp; forbrug'!$A$4:$A$291,$A19,'Resultat-Produktion &amp; forbrug'!$E$4:$E$291,Biogasanlæg!G$11)-SUMIFS('Resultat-Produktion &amp; forbrug'!$K$4:$K$291,'Resultat-Produktion &amp; forbrug'!$A$4:$A$291,$A19,'Resultat-Produktion &amp; forbrug'!$E$4:$E$291,Biogasanlæg!G$11)-SUMIFS('Resultat-Produktion &amp; forbrug'!$N$4:$N$291,'Resultat-Produktion &amp; forbrug'!$A$4:$A$291,$A19,'Resultat-Produktion &amp; forbrug'!$E$4:$E$291,Biogasanlæg!G$11)</f>
        <v>382368.42148557794</v>
      </c>
      <c r="H19" s="122">
        <f>VLOOKUP(A19,[1]Biogasudbytte!$A$2:$C$18,3,FALSE)</f>
        <v>0.42</v>
      </c>
      <c r="I19" s="123">
        <f>VLOOKUP(A19,[1]Biogasudbytte!$A$2:$C$18,2,FALSE)*IFERROR(VLOOKUP(A19,$F$3:$G$8,2,FALSE),1)</f>
        <v>102.595</v>
      </c>
      <c r="J19" s="122">
        <f t="shared" si="1"/>
        <v>7.6059758980185313E-2</v>
      </c>
      <c r="K19" s="122">
        <f t="shared" si="2"/>
        <v>0</v>
      </c>
      <c r="L19" s="122">
        <f t="shared" si="3"/>
        <v>0</v>
      </c>
      <c r="M19" s="145" t="s">
        <v>290</v>
      </c>
      <c r="N19" s="146">
        <f>SUM(S19:Z19)</f>
        <v>995654</v>
      </c>
      <c r="O19" s="136">
        <f>N19-C19</f>
        <v>0</v>
      </c>
      <c r="P19" s="115">
        <f>C19*I19</f>
        <v>102149122.13</v>
      </c>
      <c r="Q19" s="114">
        <f>P19*35.9/1000000000</f>
        <v>3.6671534844669997</v>
      </c>
      <c r="S19" s="114">
        <v>995654</v>
      </c>
    </row>
    <row r="20" spans="1:23" x14ac:dyDescent="0.2">
      <c r="A20" s="114" t="s">
        <v>67</v>
      </c>
      <c r="B20" s="114" t="s">
        <v>139</v>
      </c>
      <c r="C20" s="225">
        <f>N20</f>
        <v>75934</v>
      </c>
      <c r="D20" s="226"/>
      <c r="E20" s="226"/>
      <c r="F20" s="218">
        <f>SUMIFS('Resultat-Produktion &amp; forbrug'!$G$4:$G$291,'Resultat-Produktion &amp; forbrug'!$A$4:$A$291,$A20,'Resultat-Produktion &amp; forbrug'!$E$4:$E$291,Biogasanlæg!F$11)-SUMIFS('Resultat-Produktion &amp; forbrug'!$H$4:$H$291,'Resultat-Produktion &amp; forbrug'!$A$4:$A$291,$A20,'Resultat-Produktion &amp; forbrug'!$E$4:$E$291,Biogasanlæg!F$11)-SUMIFS('Resultat-Produktion &amp; forbrug'!$I$4:$I$291,'Resultat-Produktion &amp; forbrug'!$A$4:$A$291,$A20,'Resultat-Produktion &amp; forbrug'!$E$4:$E$291,Biogasanlæg!F$11)-SUMIFS('Resultat-Produktion &amp; forbrug'!$J$4:$J$291,'Resultat-Produktion &amp; forbrug'!$A$4:$A$291,$A20,'Resultat-Produktion &amp; forbrug'!$E$4:$E$291,Biogasanlæg!F$11)-SUMIFS('Resultat-Produktion &amp; forbrug'!$K$4:$K$291,'Resultat-Produktion &amp; forbrug'!$A$4:$A$291,$A20,'Resultat-Produktion &amp; forbrug'!$E$4:$E$291,Biogasanlæg!F$11)-SUMIFS('Resultat-Produktion &amp; forbrug'!$N$4:$N$291,'Resultat-Produktion &amp; forbrug'!$A$4:$A$291,$A20,'Resultat-Produktion &amp; forbrug'!$E$4:$E$291,Biogasanlæg!F$11)</f>
        <v>2110603.0181052471</v>
      </c>
      <c r="G20" s="218">
        <f>SUMIFS('Resultat-Produktion &amp; forbrug'!$G$4:$G$291,'Resultat-Produktion &amp; forbrug'!$A$4:$A$291,$A20,'Resultat-Produktion &amp; forbrug'!$E$4:$E$291,Biogasanlæg!G$11)-SUMIFS('Resultat-Produktion &amp; forbrug'!$H$4:$H$291,'Resultat-Produktion &amp; forbrug'!$A$4:$A$291,$A20,'Resultat-Produktion &amp; forbrug'!$E$4:$E$291,Biogasanlæg!G$11)-SUMIFS('Resultat-Produktion &amp; forbrug'!$I$4:$I$291,'Resultat-Produktion &amp; forbrug'!$A$4:$A$291,$A20,'Resultat-Produktion &amp; forbrug'!$E$4:$E$291,Biogasanlæg!G$11)-SUMIFS('Resultat-Produktion &amp; forbrug'!$J$4:$J$291,'Resultat-Produktion &amp; forbrug'!$A$4:$A$291,$A20,'Resultat-Produktion &amp; forbrug'!$E$4:$E$291,Biogasanlæg!G$11)-SUMIFS('Resultat-Produktion &amp; forbrug'!$K$4:$K$291,'Resultat-Produktion &amp; forbrug'!$A$4:$A$291,$A20,'Resultat-Produktion &amp; forbrug'!$E$4:$E$291,Biogasanlæg!G$11)-SUMIFS('Resultat-Produktion &amp; forbrug'!$N$4:$N$291,'Resultat-Produktion &amp; forbrug'!$A$4:$A$291,$A20,'Resultat-Produktion &amp; forbrug'!$E$4:$E$291,Biogasanlæg!G$11)</f>
        <v>1328675.8469298114</v>
      </c>
      <c r="H20" s="122">
        <f>VLOOKUP(A20,[1]Biogasudbytte!$A$2:$C$18,3,FALSE)</f>
        <v>0.85</v>
      </c>
      <c r="I20" s="123">
        <f>VLOOKUP(A20,[1]Biogasudbytte!$A$2:$C$18,2,FALSE)*IFERROR(VLOOKUP(A20,$F$3:$G$8,2,FALSE),1)</f>
        <v>160.6</v>
      </c>
      <c r="J20" s="122">
        <f t="shared" si="1"/>
        <v>5.8007317184497744E-3</v>
      </c>
      <c r="K20" s="122">
        <f t="shared" si="2"/>
        <v>0</v>
      </c>
      <c r="L20" s="122">
        <f t="shared" si="3"/>
        <v>0</v>
      </c>
      <c r="M20" s="114" t="s">
        <v>146</v>
      </c>
      <c r="N20" s="115">
        <v>75934</v>
      </c>
      <c r="O20" s="136">
        <f t="shared" ref="O20:O28" si="8">N20-C20</f>
        <v>0</v>
      </c>
      <c r="P20" s="115">
        <f t="shared" si="5"/>
        <v>12195000.4</v>
      </c>
      <c r="Q20" s="114">
        <f t="shared" si="6"/>
        <v>0.43780051436</v>
      </c>
    </row>
    <row r="21" spans="1:23" x14ac:dyDescent="0.2">
      <c r="A21" s="114" t="s">
        <v>48</v>
      </c>
      <c r="B21" s="114" t="s">
        <v>139</v>
      </c>
      <c r="C21" s="225">
        <f t="shared" ref="C21:C28" si="9">N21</f>
        <v>3786</v>
      </c>
      <c r="D21" s="226"/>
      <c r="E21" s="226"/>
      <c r="F21" s="218">
        <f>SUMIFS('Resultat-Produktion &amp; forbrug'!$G$4:$G$291,'Resultat-Produktion &amp; forbrug'!$A$4:$A$291,$A21,'Resultat-Produktion &amp; forbrug'!$E$4:$E$291,Biogasanlæg!F$11)-SUMIFS('Resultat-Produktion &amp; forbrug'!$H$4:$H$291,'Resultat-Produktion &amp; forbrug'!$A$4:$A$291,$A21,'Resultat-Produktion &amp; forbrug'!$E$4:$E$291,Biogasanlæg!F$11)-SUMIFS('Resultat-Produktion &amp; forbrug'!$I$4:$I$291,'Resultat-Produktion &amp; forbrug'!$A$4:$A$291,$A21,'Resultat-Produktion &amp; forbrug'!$E$4:$E$291,Biogasanlæg!F$11)-SUMIFS('Resultat-Produktion &amp; forbrug'!$J$4:$J$291,'Resultat-Produktion &amp; forbrug'!$A$4:$A$291,$A21,'Resultat-Produktion &amp; forbrug'!$E$4:$E$291,Biogasanlæg!F$11)-SUMIFS('Resultat-Produktion &amp; forbrug'!$K$4:$K$291,'Resultat-Produktion &amp; forbrug'!$A$4:$A$291,$A21,'Resultat-Produktion &amp; forbrug'!$E$4:$E$291,Biogasanlæg!F$11)-SUMIFS('Resultat-Produktion &amp; forbrug'!$N$4:$N$291,'Resultat-Produktion &amp; forbrug'!$A$4:$A$291,$A21,'Resultat-Produktion &amp; forbrug'!$E$4:$E$291,Biogasanlæg!F$11)</f>
        <v>1698285.9277597941</v>
      </c>
      <c r="G21" s="218">
        <f>SUMIFS('Resultat-Produktion &amp; forbrug'!$G$4:$G$291,'Resultat-Produktion &amp; forbrug'!$A$4:$A$291,$A21,'Resultat-Produktion &amp; forbrug'!$E$4:$E$291,Biogasanlæg!G$11)-SUMIFS('Resultat-Produktion &amp; forbrug'!$H$4:$H$291,'Resultat-Produktion &amp; forbrug'!$A$4:$A$291,$A21,'Resultat-Produktion &amp; forbrug'!$E$4:$E$291,Biogasanlæg!G$11)-SUMIFS('Resultat-Produktion &amp; forbrug'!$I$4:$I$291,'Resultat-Produktion &amp; forbrug'!$A$4:$A$291,$A21,'Resultat-Produktion &amp; forbrug'!$E$4:$E$291,Biogasanlæg!G$11)-SUMIFS('Resultat-Produktion &amp; forbrug'!$J$4:$J$291,'Resultat-Produktion &amp; forbrug'!$A$4:$A$291,$A21,'Resultat-Produktion &amp; forbrug'!$E$4:$E$291,Biogasanlæg!G$11)-SUMIFS('Resultat-Produktion &amp; forbrug'!$K$4:$K$291,'Resultat-Produktion &amp; forbrug'!$A$4:$A$291,$A21,'Resultat-Produktion &amp; forbrug'!$E$4:$E$291,Biogasanlæg!G$11)-SUMIFS('Resultat-Produktion &amp; forbrug'!$N$4:$N$291,'Resultat-Produktion &amp; forbrug'!$A$4:$A$291,$A21,'Resultat-Produktion &amp; forbrug'!$E$4:$E$291,Biogasanlæg!G$11)</f>
        <v>-1117452.9738889411</v>
      </c>
      <c r="H21" s="122">
        <f>VLOOKUP(A21,[1]Biogasudbytte!$A$2:$C$18,3,FALSE)</f>
        <v>0.31</v>
      </c>
      <c r="I21" s="123">
        <f>VLOOKUP(A21,[1]Biogasudbytte!$A$2:$C$18,2,FALSE)*IFERROR(VLOOKUP(A21,$F$3:$G$8,2,FALSE),1)</f>
        <v>95.4</v>
      </c>
      <c r="J21" s="122">
        <f t="shared" si="1"/>
        <v>2.8921919411661239E-4</v>
      </c>
      <c r="K21" s="122">
        <f t="shared" si="2"/>
        <v>0</v>
      </c>
      <c r="L21" s="122">
        <f t="shared" si="3"/>
        <v>0</v>
      </c>
      <c r="M21" s="114" t="s">
        <v>157</v>
      </c>
      <c r="N21" s="115">
        <v>3786</v>
      </c>
      <c r="O21" s="136">
        <f t="shared" si="8"/>
        <v>0</v>
      </c>
      <c r="P21" s="115">
        <f t="shared" si="5"/>
        <v>361184.4</v>
      </c>
      <c r="Q21" s="114">
        <f t="shared" si="6"/>
        <v>1.2966519960000001E-2</v>
      </c>
    </row>
    <row r="22" spans="1:23" x14ac:dyDescent="0.2">
      <c r="A22" s="114" t="s">
        <v>51</v>
      </c>
      <c r="B22" s="114" t="s">
        <v>139</v>
      </c>
      <c r="C22" s="225">
        <f t="shared" si="9"/>
        <v>85677</v>
      </c>
      <c r="D22" s="226"/>
      <c r="E22" s="226"/>
      <c r="F22" s="218">
        <f>SUMIFS('Resultat-Produktion &amp; forbrug'!$G$4:$G$291,'Resultat-Produktion &amp; forbrug'!$A$4:$A$291,$A22,'Resultat-Produktion &amp; forbrug'!$E$4:$E$291,Biogasanlæg!F$11)-SUMIFS('Resultat-Produktion &amp; forbrug'!$H$4:$H$291,'Resultat-Produktion &amp; forbrug'!$A$4:$A$291,$A22,'Resultat-Produktion &amp; forbrug'!$E$4:$E$291,Biogasanlæg!F$11)-SUMIFS('Resultat-Produktion &amp; forbrug'!$I$4:$I$291,'Resultat-Produktion &amp; forbrug'!$A$4:$A$291,$A22,'Resultat-Produktion &amp; forbrug'!$E$4:$E$291,Biogasanlæg!F$11)-SUMIFS('Resultat-Produktion &amp; forbrug'!$J$4:$J$291,'Resultat-Produktion &amp; forbrug'!$A$4:$A$291,$A22,'Resultat-Produktion &amp; forbrug'!$E$4:$E$291,Biogasanlæg!F$11)-SUMIFS('Resultat-Produktion &amp; forbrug'!$K$4:$K$291,'Resultat-Produktion &amp; forbrug'!$A$4:$A$291,$A22,'Resultat-Produktion &amp; forbrug'!$E$4:$E$291,Biogasanlæg!F$11)-SUMIFS('Resultat-Produktion &amp; forbrug'!$N$4:$N$291,'Resultat-Produktion &amp; forbrug'!$A$4:$A$291,$A22,'Resultat-Produktion &amp; forbrug'!$E$4:$E$291,Biogasanlæg!F$11)</f>
        <v>7296587.5607431885</v>
      </c>
      <c r="G22" s="218">
        <f>SUMIFS('Resultat-Produktion &amp; forbrug'!$G$4:$G$291,'Resultat-Produktion &amp; forbrug'!$A$4:$A$291,$A22,'Resultat-Produktion &amp; forbrug'!$E$4:$E$291,Biogasanlæg!G$11)-SUMIFS('Resultat-Produktion &amp; forbrug'!$H$4:$H$291,'Resultat-Produktion &amp; forbrug'!$A$4:$A$291,$A22,'Resultat-Produktion &amp; forbrug'!$E$4:$E$291,Biogasanlæg!G$11)-SUMIFS('Resultat-Produktion &amp; forbrug'!$I$4:$I$291,'Resultat-Produktion &amp; forbrug'!$A$4:$A$291,$A22,'Resultat-Produktion &amp; forbrug'!$E$4:$E$291,Biogasanlæg!G$11)-SUMIFS('Resultat-Produktion &amp; forbrug'!$J$4:$J$291,'Resultat-Produktion &amp; forbrug'!$A$4:$A$291,$A22,'Resultat-Produktion &amp; forbrug'!$E$4:$E$291,Biogasanlæg!G$11)-SUMIFS('Resultat-Produktion &amp; forbrug'!$K$4:$K$291,'Resultat-Produktion &amp; forbrug'!$A$4:$A$291,$A22,'Resultat-Produktion &amp; forbrug'!$E$4:$E$291,Biogasanlæg!G$11)-SUMIFS('Resultat-Produktion &amp; forbrug'!$N$4:$N$291,'Resultat-Produktion &amp; forbrug'!$A$4:$A$291,$A22,'Resultat-Produktion &amp; forbrug'!$E$4:$E$291,Biogasanlæg!G$11)</f>
        <v>34880161.601057798</v>
      </c>
      <c r="H22" s="122">
        <f>VLOOKUP(A22,[1]Biogasudbytte!$A$2:$C$18,3,FALSE)</f>
        <v>0.28000000000000003</v>
      </c>
      <c r="I22" s="123">
        <f>VLOOKUP(A22,[1]Biogasudbytte!$A$2:$C$18,2,FALSE)*IFERROR(VLOOKUP(A22,$F$3:$G$8,2,FALSE),1)</f>
        <v>51.25</v>
      </c>
      <c r="J22" s="122">
        <f t="shared" si="1"/>
        <v>6.5450166123425784E-3</v>
      </c>
      <c r="K22" s="122">
        <f t="shared" si="2"/>
        <v>0</v>
      </c>
      <c r="L22" s="122">
        <f t="shared" si="3"/>
        <v>0</v>
      </c>
      <c r="M22" s="147" t="s">
        <v>292</v>
      </c>
      <c r="N22" s="148">
        <f>SUM(S22:Z22)</f>
        <v>85677</v>
      </c>
      <c r="O22" s="136">
        <f t="shared" si="8"/>
        <v>0</v>
      </c>
      <c r="P22" s="115">
        <f t="shared" si="5"/>
        <v>4390946.25</v>
      </c>
      <c r="Q22" s="114">
        <f t="shared" si="6"/>
        <v>0.15763497037499999</v>
      </c>
      <c r="S22" s="114">
        <v>66010</v>
      </c>
      <c r="T22" s="114">
        <v>2139</v>
      </c>
      <c r="U22" s="114">
        <v>14273</v>
      </c>
      <c r="V22" s="114">
        <v>3255</v>
      </c>
    </row>
    <row r="23" spans="1:23" x14ac:dyDescent="0.2">
      <c r="A23" s="114" t="s">
        <v>53</v>
      </c>
      <c r="B23" s="114" t="s">
        <v>139</v>
      </c>
      <c r="C23" s="225">
        <f t="shared" si="9"/>
        <v>330026</v>
      </c>
      <c r="D23" s="226"/>
      <c r="E23" s="226"/>
      <c r="F23" s="218">
        <f>SUMIFS('Resultat-Produktion &amp; forbrug'!$G$4:$G$291,'Resultat-Produktion &amp; forbrug'!$A$4:$A$291,$A23,'Resultat-Produktion &amp; forbrug'!$E$4:$E$291,Biogasanlæg!F$11)-SUMIFS('Resultat-Produktion &amp; forbrug'!$H$4:$H$291,'Resultat-Produktion &amp; forbrug'!$A$4:$A$291,$A23,'Resultat-Produktion &amp; forbrug'!$E$4:$E$291,Biogasanlæg!F$11)-SUMIFS('Resultat-Produktion &amp; forbrug'!$I$4:$I$291,'Resultat-Produktion &amp; forbrug'!$A$4:$A$291,$A23,'Resultat-Produktion &amp; forbrug'!$E$4:$E$291,Biogasanlæg!F$11)-SUMIFS('Resultat-Produktion &amp; forbrug'!$J$4:$J$291,'Resultat-Produktion &amp; forbrug'!$A$4:$A$291,$A23,'Resultat-Produktion &amp; forbrug'!$E$4:$E$291,Biogasanlæg!F$11)-SUMIFS('Resultat-Produktion &amp; forbrug'!$K$4:$K$291,'Resultat-Produktion &amp; forbrug'!$A$4:$A$291,$A23,'Resultat-Produktion &amp; forbrug'!$E$4:$E$291,Biogasanlæg!F$11)-SUMIFS('Resultat-Produktion &amp; forbrug'!$N$4:$N$291,'Resultat-Produktion &amp; forbrug'!$A$4:$A$291,$A23,'Resultat-Produktion &amp; forbrug'!$E$4:$E$291,Biogasanlæg!F$11)</f>
        <v>1703831.2509753667</v>
      </c>
      <c r="G23" s="218">
        <f>SUMIFS('Resultat-Produktion &amp; forbrug'!$G$4:$G$291,'Resultat-Produktion &amp; forbrug'!$A$4:$A$291,$A23,'Resultat-Produktion &amp; forbrug'!$E$4:$E$291,Biogasanlæg!G$11)-SUMIFS('Resultat-Produktion &amp; forbrug'!$H$4:$H$291,'Resultat-Produktion &amp; forbrug'!$A$4:$A$291,$A23,'Resultat-Produktion &amp; forbrug'!$E$4:$E$291,Biogasanlæg!G$11)-SUMIFS('Resultat-Produktion &amp; forbrug'!$I$4:$I$291,'Resultat-Produktion &amp; forbrug'!$A$4:$A$291,$A23,'Resultat-Produktion &amp; forbrug'!$E$4:$E$291,Biogasanlæg!G$11)-SUMIFS('Resultat-Produktion &amp; forbrug'!$J$4:$J$291,'Resultat-Produktion &amp; forbrug'!$A$4:$A$291,$A23,'Resultat-Produktion &amp; forbrug'!$E$4:$E$291,Biogasanlæg!G$11)-SUMIFS('Resultat-Produktion &amp; forbrug'!$K$4:$K$291,'Resultat-Produktion &amp; forbrug'!$A$4:$A$291,$A23,'Resultat-Produktion &amp; forbrug'!$E$4:$E$291,Biogasanlæg!G$11)-SUMIFS('Resultat-Produktion &amp; forbrug'!$N$4:$N$291,'Resultat-Produktion &amp; forbrug'!$A$4:$A$291,$A23,'Resultat-Produktion &amp; forbrug'!$E$4:$E$291,Biogasanlæg!G$11)</f>
        <v>-516494.58495904895</v>
      </c>
      <c r="H23" s="122">
        <f>VLOOKUP(A23,[1]Biogasudbytte!$A$2:$C$18,3,FALSE)</f>
        <v>0.3</v>
      </c>
      <c r="I23" s="123">
        <f>VLOOKUP(A23,[1]Biogasudbytte!$A$2:$C$18,2,FALSE)*IFERROR(VLOOKUP(A23,$F$3:$G$8,2,FALSE),1)</f>
        <v>100</v>
      </c>
      <c r="J23" s="122">
        <f t="shared" si="1"/>
        <v>2.5211266180012976E-2</v>
      </c>
      <c r="K23" s="122">
        <f t="shared" si="2"/>
        <v>0</v>
      </c>
      <c r="L23" s="122">
        <f t="shared" si="3"/>
        <v>0</v>
      </c>
      <c r="M23" s="114" t="s">
        <v>147</v>
      </c>
      <c r="N23" s="115">
        <v>330026</v>
      </c>
      <c r="O23" s="136">
        <f t="shared" si="8"/>
        <v>0</v>
      </c>
      <c r="P23" s="115">
        <f t="shared" si="5"/>
        <v>33002600</v>
      </c>
      <c r="Q23" s="114">
        <f t="shared" si="6"/>
        <v>1.1847933399999999</v>
      </c>
    </row>
    <row r="24" spans="1:23" x14ac:dyDescent="0.2">
      <c r="A24" s="114" t="s">
        <v>52</v>
      </c>
      <c r="B24" s="114" t="s">
        <v>139</v>
      </c>
      <c r="C24" s="225">
        <f t="shared" si="9"/>
        <v>28645</v>
      </c>
      <c r="D24" s="226"/>
      <c r="E24" s="226"/>
      <c r="F24" s="218">
        <f>SUMIFS('Resultat-Produktion &amp; forbrug'!$G$4:$G$291,'Resultat-Produktion &amp; forbrug'!$A$4:$A$291,$A24,'Resultat-Produktion &amp; forbrug'!$E$4:$E$291,Biogasanlæg!F$11)-SUMIFS('Resultat-Produktion &amp; forbrug'!$H$4:$H$291,'Resultat-Produktion &amp; forbrug'!$A$4:$A$291,$A24,'Resultat-Produktion &amp; forbrug'!$E$4:$E$291,Biogasanlæg!F$11)-SUMIFS('Resultat-Produktion &amp; forbrug'!$I$4:$I$291,'Resultat-Produktion &amp; forbrug'!$A$4:$A$291,$A24,'Resultat-Produktion &amp; forbrug'!$E$4:$E$291,Biogasanlæg!F$11)-SUMIFS('Resultat-Produktion &amp; forbrug'!$J$4:$J$291,'Resultat-Produktion &amp; forbrug'!$A$4:$A$291,$A24,'Resultat-Produktion &amp; forbrug'!$E$4:$E$291,Biogasanlæg!F$11)-SUMIFS('Resultat-Produktion &amp; forbrug'!$K$4:$K$291,'Resultat-Produktion &amp; forbrug'!$A$4:$A$291,$A24,'Resultat-Produktion &amp; forbrug'!$E$4:$E$291,Biogasanlæg!F$11)-SUMIFS('Resultat-Produktion &amp; forbrug'!$N$4:$N$291,'Resultat-Produktion &amp; forbrug'!$A$4:$A$291,$A24,'Resultat-Produktion &amp; forbrug'!$E$4:$E$291,Biogasanlæg!F$11)</f>
        <v>1787607.2617034707</v>
      </c>
      <c r="G24" s="218">
        <f>SUMIFS('Resultat-Produktion &amp; forbrug'!$G$4:$G$291,'Resultat-Produktion &amp; forbrug'!$A$4:$A$291,$A24,'Resultat-Produktion &amp; forbrug'!$E$4:$E$291,Biogasanlæg!G$11)-SUMIFS('Resultat-Produktion &amp; forbrug'!$H$4:$H$291,'Resultat-Produktion &amp; forbrug'!$A$4:$A$291,$A24,'Resultat-Produktion &amp; forbrug'!$E$4:$E$291,Biogasanlæg!G$11)-SUMIFS('Resultat-Produktion &amp; forbrug'!$I$4:$I$291,'Resultat-Produktion &amp; forbrug'!$A$4:$A$291,$A24,'Resultat-Produktion &amp; forbrug'!$E$4:$E$291,Biogasanlæg!G$11)-SUMIFS('Resultat-Produktion &amp; forbrug'!$J$4:$J$291,'Resultat-Produktion &amp; forbrug'!$A$4:$A$291,$A24,'Resultat-Produktion &amp; forbrug'!$E$4:$E$291,Biogasanlæg!G$11)-SUMIFS('Resultat-Produktion &amp; forbrug'!$K$4:$K$291,'Resultat-Produktion &amp; forbrug'!$A$4:$A$291,$A24,'Resultat-Produktion &amp; forbrug'!$E$4:$E$291,Biogasanlæg!G$11)-SUMIFS('Resultat-Produktion &amp; forbrug'!$N$4:$N$291,'Resultat-Produktion &amp; forbrug'!$A$4:$A$291,$A24,'Resultat-Produktion &amp; forbrug'!$E$4:$E$291,Biogasanlæg!G$11)</f>
        <v>-79045.945262496723</v>
      </c>
      <c r="H24" s="122">
        <f>VLOOKUP(A24,[1]Biogasudbytte!$A$2:$C$18,3,FALSE)</f>
        <v>0.2</v>
      </c>
      <c r="I24" s="123">
        <f>VLOOKUP(A24,[1]Biogasudbytte!$A$2:$C$18,2,FALSE)*IFERROR(VLOOKUP(A24,$F$3:$G$8,2,FALSE),1)</f>
        <v>75.599999999999994</v>
      </c>
      <c r="J24" s="122">
        <f t="shared" si="1"/>
        <v>2.1882418952642265E-3</v>
      </c>
      <c r="K24" s="122">
        <f t="shared" si="2"/>
        <v>0</v>
      </c>
      <c r="L24" s="122">
        <f t="shared" si="3"/>
        <v>0</v>
      </c>
      <c r="M24" s="114" t="s">
        <v>148</v>
      </c>
      <c r="N24" s="115">
        <v>28645</v>
      </c>
      <c r="O24" s="136">
        <f t="shared" si="8"/>
        <v>0</v>
      </c>
      <c r="P24" s="115">
        <f t="shared" si="5"/>
        <v>2165562</v>
      </c>
      <c r="Q24" s="114">
        <f t="shared" si="6"/>
        <v>7.7743675799999995E-2</v>
      </c>
    </row>
    <row r="25" spans="1:23" x14ac:dyDescent="0.2">
      <c r="A25" s="114" t="s">
        <v>162</v>
      </c>
      <c r="B25" s="114" t="s">
        <v>139</v>
      </c>
      <c r="C25" s="225">
        <f t="shared" si="9"/>
        <v>78</v>
      </c>
      <c r="D25" s="226">
        <v>750000</v>
      </c>
      <c r="E25" s="226">
        <v>980000</v>
      </c>
      <c r="F25" s="218">
        <f>SUMIFS('Resultat-Produktion &amp; forbrug'!$G$4:$G$291,'Resultat-Produktion &amp; forbrug'!$A$4:$A$291,$A25,'Resultat-Produktion &amp; forbrug'!$E$4:$E$291,Biogasanlæg!F$11)-SUMIFS('Resultat-Produktion &amp; forbrug'!$H$4:$H$291,'Resultat-Produktion &amp; forbrug'!$A$4:$A$291,$A25,'Resultat-Produktion &amp; forbrug'!$E$4:$E$291,Biogasanlæg!F$11)-SUMIFS('Resultat-Produktion &amp; forbrug'!$I$4:$I$291,'Resultat-Produktion &amp; forbrug'!$A$4:$A$291,$A25,'Resultat-Produktion &amp; forbrug'!$E$4:$E$291,Biogasanlæg!F$11)-SUMIFS('Resultat-Produktion &amp; forbrug'!$J$4:$J$291,'Resultat-Produktion &amp; forbrug'!$A$4:$A$291,$A25,'Resultat-Produktion &amp; forbrug'!$E$4:$E$291,Biogasanlæg!F$11)-SUMIFS('Resultat-Produktion &amp; forbrug'!$K$4:$K$291,'Resultat-Produktion &amp; forbrug'!$A$4:$A$291,$A25,'Resultat-Produktion &amp; forbrug'!$E$4:$E$291,Biogasanlæg!F$11)-SUMIFS('Resultat-Produktion &amp; forbrug'!$N$4:$N$291,'Resultat-Produktion &amp; forbrug'!$A$4:$A$291,$A25,'Resultat-Produktion &amp; forbrug'!$E$4:$E$291,Biogasanlæg!F$11)</f>
        <v>232809</v>
      </c>
      <c r="G25" s="218">
        <f>SUMIFS('Resultat-Produktion &amp; forbrug'!$G$4:$G$291,'Resultat-Produktion &amp; forbrug'!$A$4:$A$291,$A25,'Resultat-Produktion &amp; forbrug'!$E$4:$E$291,Biogasanlæg!G$11)-SUMIFS('Resultat-Produktion &amp; forbrug'!$H$4:$H$291,'Resultat-Produktion &amp; forbrug'!$A$4:$A$291,$A25,'Resultat-Produktion &amp; forbrug'!$E$4:$E$291,Biogasanlæg!G$11)-SUMIFS('Resultat-Produktion &amp; forbrug'!$I$4:$I$291,'Resultat-Produktion &amp; forbrug'!$A$4:$A$291,$A25,'Resultat-Produktion &amp; forbrug'!$E$4:$E$291,Biogasanlæg!G$11)-SUMIFS('Resultat-Produktion &amp; forbrug'!$J$4:$J$291,'Resultat-Produktion &amp; forbrug'!$A$4:$A$291,$A25,'Resultat-Produktion &amp; forbrug'!$E$4:$E$291,Biogasanlæg!G$11)-SUMIFS('Resultat-Produktion &amp; forbrug'!$K$4:$K$291,'Resultat-Produktion &amp; forbrug'!$A$4:$A$291,$A25,'Resultat-Produktion &amp; forbrug'!$E$4:$E$291,Biogasanlæg!G$11)-SUMIFS('Resultat-Produktion &amp; forbrug'!$N$4:$N$291,'Resultat-Produktion &amp; forbrug'!$A$4:$A$291,$A25,'Resultat-Produktion &amp; forbrug'!$E$4:$E$291,Biogasanlæg!G$11)</f>
        <v>2809</v>
      </c>
      <c r="H25" s="122">
        <f>VLOOKUP(A25,[1]Biogasudbytte!$A$2:$C$18,3,FALSE)</f>
        <v>0.3</v>
      </c>
      <c r="I25" s="123">
        <f>VLOOKUP(A25,[1]Biogasudbytte!$A$2:$C$18,2,FALSE)*IFERROR(VLOOKUP(A25,$F$3:$G$8,2,FALSE),1)</f>
        <v>47.3</v>
      </c>
      <c r="J25" s="122">
        <f t="shared" si="1"/>
        <v>5.9585570895657067E-6</v>
      </c>
      <c r="K25" s="122">
        <f t="shared" si="2"/>
        <v>3.6910592438871563E-2</v>
      </c>
      <c r="L25" s="122">
        <f t="shared" si="3"/>
        <v>0.1083613162211834</v>
      </c>
      <c r="M25" s="114" t="s">
        <v>163</v>
      </c>
      <c r="N25" s="115">
        <v>78</v>
      </c>
      <c r="O25" s="136">
        <f t="shared" si="8"/>
        <v>0</v>
      </c>
      <c r="P25" s="115">
        <f t="shared" si="5"/>
        <v>3689.3999999999996</v>
      </c>
      <c r="Q25" s="114">
        <f t="shared" si="6"/>
        <v>1.3244945999999998E-4</v>
      </c>
    </row>
    <row r="26" spans="1:23" x14ac:dyDescent="0.2">
      <c r="A26" s="114" t="s">
        <v>158</v>
      </c>
      <c r="B26" s="114" t="s">
        <v>139</v>
      </c>
      <c r="C26" s="225">
        <f t="shared" si="9"/>
        <v>142742</v>
      </c>
      <c r="D26" s="226">
        <f>C26</f>
        <v>142742</v>
      </c>
      <c r="E26" s="226">
        <f>C26</f>
        <v>142742</v>
      </c>
      <c r="F26" s="218">
        <f>SUMIFS('Resultat-Produktion &amp; forbrug'!$G$4:$G$291,'Resultat-Produktion &amp; forbrug'!$A$4:$A$291,$A26,'Resultat-Produktion &amp; forbrug'!$E$4:$E$291,Biogasanlæg!F$11)-SUMIFS('Resultat-Produktion &amp; forbrug'!$H$4:$H$291,'Resultat-Produktion &amp; forbrug'!$A$4:$A$291,$A26,'Resultat-Produktion &amp; forbrug'!$E$4:$E$291,Biogasanlæg!F$11)-SUMIFS('Resultat-Produktion &amp; forbrug'!$I$4:$I$291,'Resultat-Produktion &amp; forbrug'!$A$4:$A$291,$A26,'Resultat-Produktion &amp; forbrug'!$E$4:$E$291,Biogasanlæg!F$11)-SUMIFS('Resultat-Produktion &amp; forbrug'!$J$4:$J$291,'Resultat-Produktion &amp; forbrug'!$A$4:$A$291,$A26,'Resultat-Produktion &amp; forbrug'!$E$4:$E$291,Biogasanlæg!F$11)-SUMIFS('Resultat-Produktion &amp; forbrug'!$K$4:$K$291,'Resultat-Produktion &amp; forbrug'!$A$4:$A$291,$A26,'Resultat-Produktion &amp; forbrug'!$E$4:$E$291,Biogasanlæg!F$11)-SUMIFS('Resultat-Produktion &amp; forbrug'!$N$4:$N$291,'Resultat-Produktion &amp; forbrug'!$A$4:$A$291,$A26,'Resultat-Produktion &amp; forbrug'!$E$4:$E$291,Biogasanlæg!F$11)</f>
        <v>-142742</v>
      </c>
      <c r="G26" s="218">
        <f>SUMIFS('Resultat-Produktion &amp; forbrug'!$G$4:$G$291,'Resultat-Produktion &amp; forbrug'!$A$4:$A$291,$A26,'Resultat-Produktion &amp; forbrug'!$E$4:$E$291,Biogasanlæg!G$11)-SUMIFS('Resultat-Produktion &amp; forbrug'!$H$4:$H$291,'Resultat-Produktion &amp; forbrug'!$A$4:$A$291,$A26,'Resultat-Produktion &amp; forbrug'!$E$4:$E$291,Biogasanlæg!G$11)-SUMIFS('Resultat-Produktion &amp; forbrug'!$I$4:$I$291,'Resultat-Produktion &amp; forbrug'!$A$4:$A$291,$A26,'Resultat-Produktion &amp; forbrug'!$E$4:$E$291,Biogasanlæg!G$11)-SUMIFS('Resultat-Produktion &amp; forbrug'!$J$4:$J$291,'Resultat-Produktion &amp; forbrug'!$A$4:$A$291,$A26,'Resultat-Produktion &amp; forbrug'!$E$4:$E$291,Biogasanlæg!G$11)-SUMIFS('Resultat-Produktion &amp; forbrug'!$K$4:$K$291,'Resultat-Produktion &amp; forbrug'!$A$4:$A$291,$A26,'Resultat-Produktion &amp; forbrug'!$E$4:$E$291,Biogasanlæg!G$11)-SUMIFS('Resultat-Produktion &amp; forbrug'!$N$4:$N$291,'Resultat-Produktion &amp; forbrug'!$A$4:$A$291,$A26,'Resultat-Produktion &amp; forbrug'!$E$4:$E$291,Biogasanlæg!G$11)</f>
        <v>-142742</v>
      </c>
      <c r="H26" s="122">
        <f>VLOOKUP(A26,[1]Biogasudbytte!$A$2:$C$18,3,FALSE)</f>
        <v>0.9</v>
      </c>
      <c r="I26" s="123">
        <f>VLOOKUP(A26,[1]Biogasudbytte!$A$2:$C$18,2,FALSE)*IFERROR(VLOOKUP(A26,$F$3:$G$8,2,FALSE),1)</f>
        <v>423.36</v>
      </c>
      <c r="J26" s="122">
        <f t="shared" si="1"/>
        <v>1.090431225742036E-2</v>
      </c>
      <c r="K26" s="122">
        <f t="shared" si="2"/>
        <v>7.0249223812125393E-3</v>
      </c>
      <c r="L26" s="122">
        <f t="shared" si="3"/>
        <v>1.5783378571473636E-2</v>
      </c>
      <c r="M26" s="114" t="s">
        <v>161</v>
      </c>
      <c r="N26" s="114">
        <v>142742</v>
      </c>
      <c r="O26" s="136">
        <f t="shared" si="8"/>
        <v>0</v>
      </c>
      <c r="P26" s="115">
        <f t="shared" si="5"/>
        <v>60431253.120000005</v>
      </c>
      <c r="Q26" s="114">
        <f t="shared" si="6"/>
        <v>2.169481987008</v>
      </c>
    </row>
    <row r="27" spans="1:23" x14ac:dyDescent="0.2">
      <c r="A27" s="114" t="s">
        <v>106</v>
      </c>
      <c r="B27" s="114" t="s">
        <v>139</v>
      </c>
      <c r="C27" s="225">
        <f t="shared" si="9"/>
        <v>0</v>
      </c>
      <c r="D27" s="226"/>
      <c r="E27" s="226"/>
      <c r="F27" s="218">
        <f>SUMIFS('Resultat-Produktion &amp; forbrug'!$G$4:$G$291,'Resultat-Produktion &amp; forbrug'!$A$4:$A$291,$A27,'Resultat-Produktion &amp; forbrug'!$E$4:$E$291,Biogasanlæg!F$11)-SUMIFS('Resultat-Produktion &amp; forbrug'!$H$4:$H$291,'Resultat-Produktion &amp; forbrug'!$A$4:$A$291,$A27,'Resultat-Produktion &amp; forbrug'!$E$4:$E$291,Biogasanlæg!F$11)-SUMIFS('Resultat-Produktion &amp; forbrug'!$I$4:$I$291,'Resultat-Produktion &amp; forbrug'!$A$4:$A$291,$A27,'Resultat-Produktion &amp; forbrug'!$E$4:$E$291,Biogasanlæg!F$11)-SUMIFS('Resultat-Produktion &amp; forbrug'!$J$4:$J$291,'Resultat-Produktion &amp; forbrug'!$A$4:$A$291,$A27,'Resultat-Produktion &amp; forbrug'!$E$4:$E$291,Biogasanlæg!F$11)-SUMIFS('Resultat-Produktion &amp; forbrug'!$K$4:$K$291,'Resultat-Produktion &amp; forbrug'!$A$4:$A$291,$A27,'Resultat-Produktion &amp; forbrug'!$E$4:$E$291,Biogasanlæg!F$11)-SUMIFS('Resultat-Produktion &amp; forbrug'!$N$4:$N$291,'Resultat-Produktion &amp; forbrug'!$A$4:$A$291,$A27,'Resultat-Produktion &amp; forbrug'!$E$4:$E$291,Biogasanlæg!F$11)</f>
        <v>880.09999999999991</v>
      </c>
      <c r="G27" s="218">
        <f>SUMIFS('Resultat-Produktion &amp; forbrug'!$G$4:$G$291,'Resultat-Produktion &amp; forbrug'!$A$4:$A$291,$A27,'Resultat-Produktion &amp; forbrug'!$E$4:$E$291,Biogasanlæg!G$11)-SUMIFS('Resultat-Produktion &amp; forbrug'!$H$4:$H$291,'Resultat-Produktion &amp; forbrug'!$A$4:$A$291,$A27,'Resultat-Produktion &amp; forbrug'!$E$4:$E$291,Biogasanlæg!G$11)-SUMIFS('Resultat-Produktion &amp; forbrug'!$I$4:$I$291,'Resultat-Produktion &amp; forbrug'!$A$4:$A$291,$A27,'Resultat-Produktion &amp; forbrug'!$E$4:$E$291,Biogasanlæg!G$11)-SUMIFS('Resultat-Produktion &amp; forbrug'!$J$4:$J$291,'Resultat-Produktion &amp; forbrug'!$A$4:$A$291,$A27,'Resultat-Produktion &amp; forbrug'!$E$4:$E$291,Biogasanlæg!G$11)-SUMIFS('Resultat-Produktion &amp; forbrug'!$K$4:$K$291,'Resultat-Produktion &amp; forbrug'!$A$4:$A$291,$A27,'Resultat-Produktion &amp; forbrug'!$E$4:$E$291,Biogasanlæg!G$11)-SUMIFS('Resultat-Produktion &amp; forbrug'!$N$4:$N$291,'Resultat-Produktion &amp; forbrug'!$A$4:$A$291,$A27,'Resultat-Produktion &amp; forbrug'!$E$4:$E$291,Biogasanlæg!G$11)</f>
        <v>880.09999999999991</v>
      </c>
      <c r="H27" s="122">
        <f>VLOOKUP(A27,[1]Biogasudbytte!$A$2:$C$18,3,FALSE)</f>
        <v>0.15</v>
      </c>
      <c r="I27" s="123">
        <f>VLOOKUP(A27,[1]Biogasudbytte!$A$2:$C$18,2,FALSE)*IFERROR(VLOOKUP(A27,$F$3:$G$8,2,FALSE),1)</f>
        <v>25</v>
      </c>
      <c r="J27" s="122">
        <f t="shared" si="1"/>
        <v>0</v>
      </c>
      <c r="K27" s="122">
        <f t="shared" si="2"/>
        <v>0</v>
      </c>
      <c r="L27" s="122">
        <f t="shared" si="3"/>
        <v>0</v>
      </c>
      <c r="M27" s="114" t="s">
        <v>149</v>
      </c>
      <c r="O27" s="136">
        <f t="shared" si="8"/>
        <v>0</v>
      </c>
      <c r="P27" s="115">
        <f t="shared" si="5"/>
        <v>0</v>
      </c>
      <c r="Q27" s="114">
        <f t="shared" si="6"/>
        <v>0</v>
      </c>
    </row>
    <row r="28" spans="1:23" ht="12.75" thickBot="1" x14ac:dyDescent="0.25">
      <c r="A28" s="126" t="s">
        <v>99</v>
      </c>
      <c r="B28" s="126" t="s">
        <v>139</v>
      </c>
      <c r="C28" s="227">
        <f t="shared" si="9"/>
        <v>0</v>
      </c>
      <c r="D28" s="228"/>
      <c r="E28" s="228"/>
      <c r="F28" s="219">
        <f>SUMIFS('Resultat-Produktion &amp; forbrug'!$G$4:$G$291,'Resultat-Produktion &amp; forbrug'!$A$4:$A$291,$A28,'Resultat-Produktion &amp; forbrug'!$E$4:$E$291,Biogasanlæg!F$11)-SUMIFS('Resultat-Produktion &amp; forbrug'!$H$4:$H$291,'Resultat-Produktion &amp; forbrug'!$A$4:$A$291,$A28,'Resultat-Produktion &amp; forbrug'!$E$4:$E$291,Biogasanlæg!F$11)-SUMIFS('Resultat-Produktion &amp; forbrug'!$I$4:$I$291,'Resultat-Produktion &amp; forbrug'!$A$4:$A$291,$A28,'Resultat-Produktion &amp; forbrug'!$E$4:$E$291,Biogasanlæg!F$11)-SUMIFS('Resultat-Produktion &amp; forbrug'!$J$4:$J$291,'Resultat-Produktion &amp; forbrug'!$A$4:$A$291,$A28,'Resultat-Produktion &amp; forbrug'!$E$4:$E$291,Biogasanlæg!F$11)-SUMIFS('Resultat-Produktion &amp; forbrug'!$K$4:$K$291,'Resultat-Produktion &amp; forbrug'!$A$4:$A$291,$A28,'Resultat-Produktion &amp; forbrug'!$E$4:$E$291,Biogasanlæg!F$11)-SUMIFS('Resultat-Produktion &amp; forbrug'!$N$4:$N$291,'Resultat-Produktion &amp; forbrug'!$A$4:$A$291,$A28,'Resultat-Produktion &amp; forbrug'!$E$4:$E$291,Biogasanlæg!F$11)</f>
        <v>382.5</v>
      </c>
      <c r="G28" s="219">
        <f>SUMIFS('Resultat-Produktion &amp; forbrug'!$G$4:$G$291,'Resultat-Produktion &amp; forbrug'!$A$4:$A$291,$A28,'Resultat-Produktion &amp; forbrug'!$E$4:$E$291,Biogasanlæg!G$11)-SUMIFS('Resultat-Produktion &amp; forbrug'!$H$4:$H$291,'Resultat-Produktion &amp; forbrug'!$A$4:$A$291,$A28,'Resultat-Produktion &amp; forbrug'!$E$4:$E$291,Biogasanlæg!G$11)-SUMIFS('Resultat-Produktion &amp; forbrug'!$I$4:$I$291,'Resultat-Produktion &amp; forbrug'!$A$4:$A$291,$A28,'Resultat-Produktion &amp; forbrug'!$E$4:$E$291,Biogasanlæg!G$11)-SUMIFS('Resultat-Produktion &amp; forbrug'!$J$4:$J$291,'Resultat-Produktion &amp; forbrug'!$A$4:$A$291,$A28,'Resultat-Produktion &amp; forbrug'!$E$4:$E$291,Biogasanlæg!G$11)-SUMIFS('Resultat-Produktion &amp; forbrug'!$K$4:$K$291,'Resultat-Produktion &amp; forbrug'!$A$4:$A$291,$A28,'Resultat-Produktion &amp; forbrug'!$E$4:$E$291,Biogasanlæg!G$11)-SUMIFS('Resultat-Produktion &amp; forbrug'!$N$4:$N$291,'Resultat-Produktion &amp; forbrug'!$A$4:$A$291,$A28,'Resultat-Produktion &amp; forbrug'!$E$4:$E$291,Biogasanlæg!G$11)</f>
        <v>382.5</v>
      </c>
      <c r="H28" s="127">
        <f>VLOOKUP(A28,[1]Biogasudbytte!$A$2:$C$18,3,FALSE)</f>
        <v>0.15</v>
      </c>
      <c r="I28" s="128">
        <f>VLOOKUP(A28,[1]Biogasudbytte!$A$2:$C$18,2,FALSE)*IFERROR(VLOOKUP(A28,$F$3:$G$8,2,FALSE),1)</f>
        <v>25</v>
      </c>
      <c r="J28" s="127">
        <f t="shared" si="1"/>
        <v>0</v>
      </c>
      <c r="K28" s="127">
        <f t="shared" si="2"/>
        <v>0</v>
      </c>
      <c r="L28" s="127">
        <f t="shared" si="3"/>
        <v>0</v>
      </c>
      <c r="M28" s="114" t="s">
        <v>149</v>
      </c>
      <c r="O28" s="136">
        <f t="shared" si="8"/>
        <v>0</v>
      </c>
      <c r="P28" s="115">
        <f t="shared" si="5"/>
        <v>0</v>
      </c>
      <c r="Q28" s="114">
        <f t="shared" si="6"/>
        <v>0</v>
      </c>
    </row>
    <row r="29" spans="1:23" x14ac:dyDescent="0.2">
      <c r="A29" s="114" t="s">
        <v>104</v>
      </c>
      <c r="B29" s="114" t="s">
        <v>139</v>
      </c>
      <c r="C29" s="129">
        <f>SUM(C12:C28)</f>
        <v>13090417.5</v>
      </c>
      <c r="D29" s="129">
        <f>SUM(D12:D28)</f>
        <v>20319370.414931469</v>
      </c>
      <c r="E29" s="129">
        <f>SUM(E12:E28)</f>
        <v>9043817.7956389673</v>
      </c>
      <c r="F29" s="129"/>
      <c r="G29" s="129"/>
      <c r="H29" s="130"/>
      <c r="I29" s="130"/>
      <c r="J29" s="131">
        <f>SUM(J12:J28)</f>
        <v>1</v>
      </c>
      <c r="K29" s="131">
        <f>SUM(K12:K28)</f>
        <v>0.99999999999999989</v>
      </c>
      <c r="L29" s="131">
        <f>SUM(L12:L28)</f>
        <v>0.99999999999999989</v>
      </c>
      <c r="N29" s="114">
        <f>SUM(N12:N28)</f>
        <v>13097393</v>
      </c>
      <c r="P29" s="115">
        <f>SUM(P12:P28)</f>
        <v>462837288.84999996</v>
      </c>
      <c r="Q29" s="114">
        <f>P29*35.9/1000000000</f>
        <v>16.615858669714999</v>
      </c>
    </row>
    <row r="30" spans="1:23" x14ac:dyDescent="0.2">
      <c r="A30" s="132" t="s">
        <v>123</v>
      </c>
      <c r="C30" s="133">
        <f>SUMPRODUCT(C12:C28,$H$12:$H$28)/C29</f>
        <v>0.13822427556900557</v>
      </c>
      <c r="D30" s="133">
        <f>SUMPRODUCT(D12:D28,$H$12:$H$28)/D29</f>
        <v>0.10166683686937217</v>
      </c>
      <c r="E30" s="133">
        <f>SUMPRODUCT(E12:E28,$H$12:$H$28)/E29</f>
        <v>0.11140850488150678</v>
      </c>
      <c r="F30" s="142"/>
      <c r="G30" s="142"/>
    </row>
    <row r="31" spans="1:23" x14ac:dyDescent="0.2">
      <c r="A31" s="132" t="s">
        <v>160</v>
      </c>
      <c r="C31" s="133">
        <f>SUM(C21:C24)/C29</f>
        <v>3.4233743881736389E-2</v>
      </c>
      <c r="D31" s="133">
        <f>SUM(D21:D24)/D29</f>
        <v>0</v>
      </c>
      <c r="E31" s="133">
        <f>SUM(E21:E24)/E29</f>
        <v>0</v>
      </c>
      <c r="F31" s="142"/>
      <c r="G31" s="142"/>
    </row>
    <row r="32" spans="1:23" x14ac:dyDescent="0.2">
      <c r="A32" s="114" t="s">
        <v>142</v>
      </c>
      <c r="B32" s="114" t="s">
        <v>143</v>
      </c>
      <c r="C32" s="114">
        <f>SUMPRODUCT(C12:C28,$I$12:$I$28)</f>
        <v>462837288.84999996</v>
      </c>
      <c r="D32" s="114">
        <f>SUMPRODUCT(D12:D28,$I$12:$I$28)</f>
        <v>453395215.21617842</v>
      </c>
      <c r="E32" s="114">
        <f>SUMPRODUCT(E12:E28,$I$12:$I$28)</f>
        <v>235802537.76724285</v>
      </c>
    </row>
    <row r="33" spans="1:15" x14ac:dyDescent="0.2">
      <c r="A33" s="114" t="s">
        <v>142</v>
      </c>
      <c r="B33" s="114" t="s">
        <v>122</v>
      </c>
      <c r="C33" s="114">
        <f>C32*[1]Energiindhold!$C$10</f>
        <v>16.615858669714999</v>
      </c>
      <c r="D33" s="114">
        <f>D32*[1]Energiindhold!$C$10</f>
        <v>16.276888226260805</v>
      </c>
      <c r="E33" s="114">
        <f>E32*[1]Energiindhold!$C$10</f>
        <v>8.4653111058440196</v>
      </c>
    </row>
    <row r="34" spans="1:15" x14ac:dyDescent="0.2">
      <c r="C34" s="229"/>
    </row>
    <row r="35" spans="1:15" x14ac:dyDescent="0.2">
      <c r="A35" s="161"/>
      <c r="B35" s="161" t="s">
        <v>27</v>
      </c>
      <c r="C35" s="161" t="s">
        <v>28</v>
      </c>
    </row>
    <row r="36" spans="1:15" x14ac:dyDescent="0.2">
      <c r="A36" s="161" t="s">
        <v>158</v>
      </c>
      <c r="B36" s="162">
        <v>0.8</v>
      </c>
      <c r="C36" s="162">
        <v>0.2</v>
      </c>
    </row>
    <row r="38" spans="1:15" hidden="1" x14ac:dyDescent="0.2">
      <c r="C38" s="116">
        <f>År1</f>
        <v>2019</v>
      </c>
      <c r="D38" s="116">
        <f>År2</f>
        <v>2030</v>
      </c>
      <c r="E38" s="116">
        <f>År3</f>
        <v>2050</v>
      </c>
      <c r="F38" s="116" t="s">
        <v>105</v>
      </c>
      <c r="G38" s="116" t="s">
        <v>144</v>
      </c>
      <c r="K38" s="116">
        <f>År1</f>
        <v>2019</v>
      </c>
      <c r="L38" s="116">
        <f>År2</f>
        <v>2030</v>
      </c>
      <c r="M38" s="116">
        <f>År3</f>
        <v>2050</v>
      </c>
      <c r="N38" s="116" t="s">
        <v>105</v>
      </c>
      <c r="O38" s="116" t="s">
        <v>144</v>
      </c>
    </row>
    <row r="39" spans="1:15" hidden="1" x14ac:dyDescent="0.2">
      <c r="A39" s="117" t="str">
        <f t="shared" ref="A39:A55" si="10">A12</f>
        <v>Svinegylle</v>
      </c>
      <c r="B39" s="117" t="s">
        <v>139</v>
      </c>
      <c r="C39" s="118">
        <f>SUMIFS('Resultater - Vestdanmark'!H$3:H$504,'Resultater - Vestdanmark'!$F$3:$F$504,$A39)*B3</f>
        <v>2534442.072977222</v>
      </c>
      <c r="D39" s="118">
        <f>SUMIFS('Resultater - Vestdanmark'!I$3:I$504,'Resultater - Vestdanmark'!$F$3:$F$504,$A39)*C3</f>
        <v>4992012.841626931</v>
      </c>
      <c r="E39" s="118">
        <f>SUMIFS('Resultater - Vestdanmark'!J$3:J$504,'Resultater - Vestdanmark'!$F$3:$F$504,$A39)*D3</f>
        <v>0</v>
      </c>
      <c r="F39" s="119">
        <f>VLOOKUP(A39,[1]Biogasudbytte!$A$2:$C$18,3,FALSE)</f>
        <v>0.05</v>
      </c>
      <c r="G39" s="120">
        <f t="shared" ref="G39:G55" si="11">I12</f>
        <v>12</v>
      </c>
      <c r="I39" s="117" t="str">
        <f>A39</f>
        <v>Svinegylle</v>
      </c>
      <c r="J39" s="117" t="s">
        <v>139</v>
      </c>
      <c r="K39" s="118">
        <f>SUMIFS('Resultater - Østdanmark'!H$3:H$504,'Resultater - Østdanmark'!$F$3:$F$504,$A39)*B3</f>
        <v>380427.26035611134</v>
      </c>
      <c r="L39" s="118">
        <f>SUMIFS('Resultater - Østdanmark'!I$3:I$504,'Resultater - Østdanmark'!$F$3:$F$504,$A39)*C3</f>
        <v>723328.25937466533</v>
      </c>
      <c r="M39" s="118">
        <f>SUMIFS('Resultater - Østdanmark'!J$3:J$504,'Resultater - Østdanmark'!$F$3:$F$504,$A39)*D3</f>
        <v>0</v>
      </c>
      <c r="N39" s="119">
        <f>VLOOKUP(I39,[1]Biogasudbytte!$A$2:$C$18,3,FALSE)</f>
        <v>0.05</v>
      </c>
      <c r="O39" s="120">
        <f t="shared" ref="O39:O55" si="12">I12</f>
        <v>12</v>
      </c>
    </row>
    <row r="40" spans="1:15" hidden="1" x14ac:dyDescent="0.2">
      <c r="A40" s="114" t="str">
        <f t="shared" si="10"/>
        <v>Kvæggylle</v>
      </c>
      <c r="B40" s="114" t="s">
        <v>139</v>
      </c>
      <c r="C40" s="121">
        <f>SUMIFS('Resultater - Vestdanmark'!H$3:H$504,'Resultater - Vestdanmark'!$F$3:$F$504,$A40)*B4</f>
        <v>4066864.6068164087</v>
      </c>
      <c r="D40" s="121">
        <f>SUMIFS('Resultater - Vestdanmark'!I$3:I$504,'Resultater - Vestdanmark'!$F$3:$F$504,$A40)*C4</f>
        <v>5741886.057452837</v>
      </c>
      <c r="E40" s="121">
        <f>SUMIFS('Resultater - Vestdanmark'!J$3:J$504,'Resultater - Vestdanmark'!$F$3:$F$504,$A40)*D4</f>
        <v>706355.15146112291</v>
      </c>
      <c r="F40" s="122">
        <f>VLOOKUP(A40,[1]Biogasudbytte!$A$2:$C$18,3,FALSE)</f>
        <v>7.5999999999999998E-2</v>
      </c>
      <c r="G40" s="123">
        <f t="shared" si="11"/>
        <v>14.1</v>
      </c>
      <c r="I40" s="114" t="str">
        <f t="shared" ref="I40:I55" si="13">A40</f>
        <v>Kvæggylle</v>
      </c>
      <c r="J40" s="114" t="s">
        <v>139</v>
      </c>
      <c r="K40" s="121">
        <f>SUMIFS('Resultater - Østdanmark'!H$3:H$504,'Resultater - Østdanmark'!$F$3:$F$504,$A40)*B4</f>
        <v>286645.05985025823</v>
      </c>
      <c r="L40" s="121">
        <f>SUMIFS('Resultater - Østdanmark'!I$3:I$504,'Resultater - Østdanmark'!$F$3:$F$504,$A40)*C4</f>
        <v>408098.865991503</v>
      </c>
      <c r="M40" s="121">
        <f>SUMIFS('Resultater - Østdanmark'!J$3:J$504,'Resultater - Østdanmark'!$F$3:$F$504,$A40)*D4</f>
        <v>50203.492966284524</v>
      </c>
      <c r="N40" s="122">
        <f>VLOOKUP(I40,[1]Biogasudbytte!$A$2:$C$18,3,FALSE)</f>
        <v>7.5999999999999998E-2</v>
      </c>
      <c r="O40" s="123">
        <f t="shared" si="12"/>
        <v>14.1</v>
      </c>
    </row>
    <row r="41" spans="1:15" hidden="1" x14ac:dyDescent="0.2">
      <c r="A41" s="114" t="str">
        <f t="shared" si="10"/>
        <v>Fjerkrægylle</v>
      </c>
      <c r="B41" s="114" t="s">
        <v>139</v>
      </c>
      <c r="C41" s="121">
        <f>SUMIFS('Resultater - Vestdanmark'!H$3:H$504,'Resultater - Vestdanmark'!$F$3:$F$504,$A41)*B5</f>
        <v>4103.8061780475591</v>
      </c>
      <c r="D41" s="121">
        <f>SUMIFS('Resultater - Vestdanmark'!I$3:I$504,'Resultater - Vestdanmark'!$F$3:$F$504,$A41)*C5</f>
        <v>6063.3754879128683</v>
      </c>
      <c r="E41" s="121">
        <f>SUMIFS('Resultater - Vestdanmark'!J$3:J$504,'Resultater - Vestdanmark'!$F$3:$F$504,$A41)*D5</f>
        <v>5056.5736535095893</v>
      </c>
      <c r="F41" s="122">
        <f>VLOOKUP(A41,[1]Biogasudbytte!$A$2:$C$18,3,FALSE)</f>
        <v>6.3E-2</v>
      </c>
      <c r="G41" s="123">
        <f t="shared" si="11"/>
        <v>13.1</v>
      </c>
      <c r="I41" s="114" t="str">
        <f t="shared" si="13"/>
        <v>Fjerkrægylle</v>
      </c>
      <c r="J41" s="114" t="s">
        <v>139</v>
      </c>
      <c r="K41" s="121">
        <f>SUMIFS('Resultater - Østdanmark'!H$3:H$504,'Resultater - Østdanmark'!$F$3:$F$504,$A41)*B5</f>
        <v>337.693821952441</v>
      </c>
      <c r="L41" s="121">
        <f>SUMIFS('Resultater - Østdanmark'!I$3:I$504,'Resultater - Østdanmark'!$F$3:$F$504,$A41)*C5</f>
        <v>508.89686663358577</v>
      </c>
      <c r="M41" s="121">
        <f>SUMIFS('Resultater - Østdanmark'!J$3:J$504,'Resultater - Østdanmark'!$F$3:$F$504,$A41)*D5</f>
        <v>424.39636029513713</v>
      </c>
      <c r="N41" s="122">
        <f>VLOOKUP(I41,[1]Biogasudbytte!$A$2:$C$18,3,FALSE)</f>
        <v>6.3E-2</v>
      </c>
      <c r="O41" s="123">
        <f t="shared" si="12"/>
        <v>13.1</v>
      </c>
    </row>
    <row r="42" spans="1:15" hidden="1" x14ac:dyDescent="0.2">
      <c r="A42" s="114" t="str">
        <f t="shared" si="10"/>
        <v>Spildevandsslam</v>
      </c>
      <c r="B42" s="114" t="s">
        <v>139</v>
      </c>
      <c r="C42" s="121">
        <f>SUMIFS('Resultater - Vestdanmark'!H$3:H$504,'Resultater - Vestdanmark'!$F$3:$F$504,$A42)*B6</f>
        <v>1460182.5874658169</v>
      </c>
      <c r="D42" s="121">
        <f>SUMIFS('Resultater - Vestdanmark'!I$3:I$504,'Resultater - Vestdanmark'!$F$3:$F$504,$A42)*C6</f>
        <v>2943192.4535522191</v>
      </c>
      <c r="E42" s="121">
        <f>SUMIFS('Resultater - Vestdanmark'!J$3:J$504,'Resultater - Vestdanmark'!$F$3:$F$504,$A42)*D6</f>
        <v>3608845.3408527621</v>
      </c>
      <c r="F42" s="122">
        <f>VLOOKUP(A42,[1]Biogasudbytte!$A$2:$C$18,3,FALSE)</f>
        <v>0.06</v>
      </c>
      <c r="G42" s="123">
        <f t="shared" si="11"/>
        <v>13.9</v>
      </c>
      <c r="I42" s="114" t="str">
        <f t="shared" si="13"/>
        <v>Spildevandsslam</v>
      </c>
      <c r="J42" s="114" t="s">
        <v>139</v>
      </c>
      <c r="K42" s="121">
        <f>SUMIFS('Resultater - Østdanmark'!H$3:H$504,'Resultater - Østdanmark'!$F$3:$F$504,$A42)*B6</f>
        <v>1208651.4125341829</v>
      </c>
      <c r="L42" s="121">
        <f>SUMIFS('Resultater - Østdanmark'!I$3:I$504,'Resultater - Østdanmark'!$F$3:$F$504,$A42)*C6</f>
        <v>2505393.7154740216</v>
      </c>
      <c r="M42" s="121">
        <f>SUMIFS('Resultater - Østdanmark'!J$3:J$504,'Resultater - Østdanmark'!$F$3:$F$504,$A42)*D6</f>
        <v>3143088.7983713108</v>
      </c>
      <c r="N42" s="122">
        <f>VLOOKUP(I42,[1]Biogasudbytte!$A$2:$C$18,3,FALSE)</f>
        <v>0.06</v>
      </c>
      <c r="O42" s="123">
        <f t="shared" si="12"/>
        <v>13.9</v>
      </c>
    </row>
    <row r="43" spans="1:15" hidden="1" x14ac:dyDescent="0.2">
      <c r="A43" s="114" t="str">
        <f t="shared" si="10"/>
        <v>Dybstrøelse</v>
      </c>
      <c r="B43" s="114" t="s">
        <v>139</v>
      </c>
      <c r="C43" s="121">
        <f>SUMIFS('Resultater - Vestdanmark'!H$3:H$504,'Resultater - Vestdanmark'!$F$3:$F$504,$A43)*B7</f>
        <v>671194.67155029252</v>
      </c>
      <c r="D43" s="121">
        <f>SUMIFS('Resultater - Vestdanmark'!I$3:I$504,'Resultater - Vestdanmark'!$F$3:$F$504,$A43)*C7</f>
        <v>1849052.8375378796</v>
      </c>
      <c r="E43" s="121">
        <f>SUMIFS('Resultater - Vestdanmark'!J$3:J$504,'Resultater - Vestdanmark'!$F$3:$F$504,$A43)*D7</f>
        <v>356969.53284222382</v>
      </c>
      <c r="F43" s="122">
        <f>VLOOKUP(A43,[1]Biogasudbytte!$A$2:$C$18,3,FALSE)</f>
        <v>0.3</v>
      </c>
      <c r="G43" s="123">
        <f t="shared" si="11"/>
        <v>60</v>
      </c>
      <c r="I43" s="114" t="str">
        <f t="shared" si="13"/>
        <v>Dybstrøelse</v>
      </c>
      <c r="J43" s="114" t="s">
        <v>139</v>
      </c>
      <c r="K43" s="121">
        <f>SUMIFS('Resultater - Østdanmark'!H$3:H$504,'Resultater - Østdanmark'!$F$3:$F$504,$A43)*B7</f>
        <v>85892.328449707566</v>
      </c>
      <c r="L43" s="121">
        <f>SUMIFS('Resultater - Østdanmark'!I$3:I$504,'Resultater - Østdanmark'!$F$3:$F$504,$A43)*C7</f>
        <v>257091.11156686768</v>
      </c>
      <c r="M43" s="121">
        <f>SUMIFS('Resultater - Østdanmark'!J$3:J$504,'Resultater - Østdanmark'!$F$3:$F$504,$A43)*D7</f>
        <v>50132.50913145845</v>
      </c>
      <c r="N43" s="122">
        <f>VLOOKUP(I43,[1]Biogasudbytte!$A$2:$C$18,3,FALSE)</f>
        <v>0.3</v>
      </c>
      <c r="O43" s="123">
        <f t="shared" si="12"/>
        <v>60</v>
      </c>
    </row>
    <row r="44" spans="1:15" hidden="1" x14ac:dyDescent="0.2">
      <c r="A44" s="114" t="str">
        <f t="shared" si="10"/>
        <v>Brun saft</v>
      </c>
      <c r="B44" s="114" t="s">
        <v>139</v>
      </c>
      <c r="C44" s="121">
        <f>SUMIFS('Resultater - Vestdanmark'!H$3:H$504,'Resultater - Vestdanmark'!$F$3:$F$504,$A44)*B8</f>
        <v>0</v>
      </c>
      <c r="D44" s="121">
        <f>SUMIFS('Resultater - Vestdanmark'!I$3:I$504,'Resultater - Vestdanmark'!$F$3:$F$504,$A44)*C8</f>
        <v>0</v>
      </c>
      <c r="E44" s="121">
        <f>SUMIFS('Resultater - Vestdanmark'!J$3:J$504,'Resultater - Vestdanmark'!$F$3:$F$504,$A44)*D8</f>
        <v>0</v>
      </c>
      <c r="F44" s="122">
        <f>VLOOKUP(A44,[1]Biogasudbytte!$A$2:$C$18,3,FALSE)</f>
        <v>4.2763387558472386E-2</v>
      </c>
      <c r="G44" s="123">
        <f t="shared" si="11"/>
        <v>15.822453396634783</v>
      </c>
      <c r="I44" s="114" t="str">
        <f t="shared" si="13"/>
        <v>Brun saft</v>
      </c>
      <c r="J44" s="114" t="s">
        <v>139</v>
      </c>
      <c r="K44" s="121">
        <f>SUMIFS('Resultater - Østdanmark'!H$3:H$504,'Resultater - Østdanmark'!$F$3:$F$504,$A44)*B8</f>
        <v>0</v>
      </c>
      <c r="L44" s="121">
        <f>SUMIFS('Resultater - Østdanmark'!I$3:I$504,'Resultater - Østdanmark'!$F$3:$F$504,$A44)*C8</f>
        <v>0</v>
      </c>
      <c r="M44" s="121">
        <f>SUMIFS('Resultater - Østdanmark'!J$3:J$504,'Resultater - Østdanmark'!$F$3:$F$504,$A44)*D8</f>
        <v>0</v>
      </c>
      <c r="N44" s="122">
        <f>VLOOKUP(I44,[1]Biogasudbytte!$A$2:$C$18,3,FALSE)</f>
        <v>4.2763387558472386E-2</v>
      </c>
      <c r="O44" s="123">
        <f t="shared" si="12"/>
        <v>15.822453396634783</v>
      </c>
    </row>
    <row r="45" spans="1:15" hidden="1" x14ac:dyDescent="0.2">
      <c r="A45" s="114" t="str">
        <f t="shared" si="10"/>
        <v>Bioaffald</v>
      </c>
      <c r="B45" s="114" t="s">
        <v>139</v>
      </c>
      <c r="C45" s="121">
        <f ca="1">SUMIFS('Resultater - Vestdanmark'!H$3:H$504,'Resultater - Vestdanmark'!$F$3:$F$504,$A45)/SUMIFS('Resultater - Danmark'!H$3:H$504,'Resultater - Danmark'!$F$3:$F$504,$A45)*C18</f>
        <v>393543.64426779439</v>
      </c>
      <c r="D45" s="121">
        <f ca="1">SUMIFS('Resultater - Vestdanmark'!I$3:I$504,'Resultater - Vestdanmark'!$F$3:$F$504,$A45)/SUMIFS('Resultater - Danmark'!I$3:I$504,'Resultater - Danmark'!$F$3:$F$504,$A45)*D18</f>
        <v>0</v>
      </c>
      <c r="E45" s="121">
        <f ca="1">SUMIFS('Resultater - Vestdanmark'!J$3:J$504,'Resultater - Vestdanmark'!$F$3:$F$504,$A45)/SUMIFS('Resultater - Danmark'!J$3:J$504,'Resultater - Danmark'!$F$3:$F$504,$A45)*E18</f>
        <v>0</v>
      </c>
      <c r="F45" s="122">
        <f>VLOOKUP(A45,[1]Biogasudbytte!$A$2:$C$18,3,FALSE)</f>
        <v>0.28000000000000003</v>
      </c>
      <c r="G45" s="123">
        <f t="shared" si="11"/>
        <v>94.9</v>
      </c>
      <c r="I45" s="114" t="str">
        <f t="shared" si="13"/>
        <v>Bioaffald</v>
      </c>
      <c r="J45" s="114" t="s">
        <v>139</v>
      </c>
      <c r="K45" s="121">
        <f ca="1">SUMIFS('Resultater - Østdanmark'!H$3:H$504,'Resultater - Østdanmark'!$F$3:$F$504,$A45)/SUMIFS('Resultater - Danmark'!H$3:H$504,'Resultater - Danmark'!$F$3:$F$504,$A45)*C18</f>
        <v>335590.35573220561</v>
      </c>
      <c r="L45" s="121">
        <f ca="1">SUMIFS('Resultater - Østdanmark'!I$3:I$504,'Resultater - Østdanmark'!$F$3:$F$504,$A45)/SUMIFS('Resultater - Danmark'!I$3:I$504,'Resultater - Danmark'!$F$3:$F$504,$A45)*D18</f>
        <v>0</v>
      </c>
      <c r="M45" s="121">
        <f ca="1">SUMIFS('Resultater - Østdanmark'!J$3:J$504,'Resultater - Østdanmark'!$F$3:$F$504,$A45)/SUMIFS('Resultater - Danmark'!J$3:J$504,'Resultater - Danmark'!$F$3:$F$504,$A45)*E18</f>
        <v>0</v>
      </c>
      <c r="N45" s="122">
        <f>VLOOKUP(I45,[1]Biogasudbytte!$A$2:$C$18,3,FALSE)</f>
        <v>0.28000000000000003</v>
      </c>
      <c r="O45" s="123">
        <f t="shared" si="12"/>
        <v>94.9</v>
      </c>
    </row>
    <row r="46" spans="1:15" hidden="1" x14ac:dyDescent="0.2">
      <c r="A46" s="114" t="str">
        <f t="shared" si="10"/>
        <v>Industriaffald</v>
      </c>
      <c r="B46" s="114" t="s">
        <v>139</v>
      </c>
      <c r="C46" s="121">
        <f>SUMIFS('Resultater - Vestdanmark'!H$3:H$504,'Resultater - Vestdanmark'!$F$3:$F$504,$A46)/SUMIFS('Resultater - Danmark'!H$3:H$504,'Resultater - Danmark'!$F$3:$F$504,$A46)*C19</f>
        <v>716103.75203569303</v>
      </c>
      <c r="D46" s="121">
        <f>SUMIFS('Resultater - Vestdanmark'!I$3:I$504,'Resultater - Vestdanmark'!$F$3:$F$504,$A46)/SUMIFS('Resultater - Danmark'!I$3:I$504,'Resultater - Danmark'!$F$3:$F$504,$A46)*D19</f>
        <v>0</v>
      </c>
      <c r="E46" s="121">
        <f>SUMIFS('Resultater - Vestdanmark'!J$3:J$504,'Resultater - Vestdanmark'!$F$3:$F$504,$A46)/SUMIFS('Resultater - Danmark'!J$3:J$504,'Resultater - Danmark'!$F$3:$F$504,$A46)*E19</f>
        <v>0</v>
      </c>
      <c r="F46" s="122">
        <f>VLOOKUP(A46,[1]Biogasudbytte!$A$2:$C$18,3,FALSE)</f>
        <v>0.42</v>
      </c>
      <c r="G46" s="123">
        <f t="shared" si="11"/>
        <v>102.595</v>
      </c>
      <c r="I46" s="114" t="str">
        <f t="shared" si="13"/>
        <v>Industriaffald</v>
      </c>
      <c r="J46" s="114" t="s">
        <v>139</v>
      </c>
      <c r="K46" s="121">
        <f>SUMIFS('Resultater - Østdanmark'!H$3:H$504,'Resultater - Østdanmark'!$F$3:$F$504,$A46)/SUMIFS('Resultater - Danmark'!H$3:H$504,'Resultater - Danmark'!$F$3:$F$504,$A46)*C19</f>
        <v>279550.24796430691</v>
      </c>
      <c r="L46" s="121">
        <f>SUMIFS('Resultater - Østdanmark'!I$3:I$504,'Resultater - Østdanmark'!$F$3:$F$504,$A46)/SUMIFS('Resultater - Danmark'!I$3:I$504,'Resultater - Danmark'!$F$3:$F$504,$A46)*D19</f>
        <v>0</v>
      </c>
      <c r="M46" s="121">
        <f>SUMIFS('Resultater - Østdanmark'!J$3:J$504,'Resultater - Østdanmark'!$F$3:$F$504,$A46)/SUMIFS('Resultater - Danmark'!J$3:J$504,'Resultater - Danmark'!$F$3:$F$504,$A46)*E19</f>
        <v>0</v>
      </c>
      <c r="N46" s="122">
        <f>VLOOKUP(I46,[1]Biogasudbytte!$A$2:$C$18,3,FALSE)</f>
        <v>0.42</v>
      </c>
      <c r="O46" s="123">
        <f t="shared" si="12"/>
        <v>102.595</v>
      </c>
    </row>
    <row r="47" spans="1:15" hidden="1" x14ac:dyDescent="0.2">
      <c r="A47" s="114" t="str">
        <f t="shared" si="10"/>
        <v>Halm</v>
      </c>
      <c r="B47" s="114" t="s">
        <v>139</v>
      </c>
      <c r="C47" s="121">
        <f>SUMIFS('Resultater - Vestdanmark'!H$3:H$504,'Resultater - Vestdanmark'!$F$3:$F$504,$A47)/SUMIFS('Resultater - Danmark'!H$3:H$504,'Resultater - Danmark'!$F$3:$F$504,$A47)*C20</f>
        <v>53194.904606816119</v>
      </c>
      <c r="D47" s="121">
        <f>SUMIFS('Resultater - Vestdanmark'!I$3:I$504,'Resultater - Vestdanmark'!$F$3:$F$504,$A47)/SUMIFS('Resultater - Danmark'!I$3:I$504,'Resultater - Danmark'!$F$3:$F$504,$A47)*D20</f>
        <v>0</v>
      </c>
      <c r="E47" s="121">
        <f>SUMIFS('Resultater - Vestdanmark'!J$3:J$504,'Resultater - Vestdanmark'!$F$3:$F$504,$A47)/SUMIFS('Resultater - Danmark'!J$3:J$504,'Resultater - Danmark'!$F$3:$F$504,$A47)*E20</f>
        <v>0</v>
      </c>
      <c r="F47" s="122">
        <f>VLOOKUP(A47,[1]Biogasudbytte!$A$2:$C$18,3,FALSE)</f>
        <v>0.85</v>
      </c>
      <c r="G47" s="123">
        <f t="shared" si="11"/>
        <v>160.6</v>
      </c>
      <c r="I47" s="114" t="str">
        <f t="shared" si="13"/>
        <v>Halm</v>
      </c>
      <c r="J47" s="114" t="s">
        <v>139</v>
      </c>
      <c r="K47" s="121">
        <f>SUMIFS('Resultater - Østdanmark'!H$3:H$504,'Resultater - Østdanmark'!$F$3:$F$504,$A47)/SUMIFS('Resultater - Danmark'!H$3:H$504,'Resultater - Danmark'!$F$3:$F$504,$A47)*C20</f>
        <v>22739.095393183845</v>
      </c>
      <c r="L47" s="121">
        <f>SUMIFS('Resultater - Østdanmark'!I$3:I$504,'Resultater - Østdanmark'!$F$3:$F$504,$A47)/SUMIFS('Resultater - Danmark'!I$3:I$504,'Resultater - Danmark'!$F$3:$F$504,$A47)*D20</f>
        <v>0</v>
      </c>
      <c r="M47" s="121">
        <f>SUMIFS('Resultater - Østdanmark'!J$3:J$504,'Resultater - Østdanmark'!$F$3:$F$504,$A47)/SUMIFS('Resultater - Danmark'!J$3:J$504,'Resultater - Danmark'!$F$3:$F$504,$A47)*E20</f>
        <v>0</v>
      </c>
      <c r="N47" s="122">
        <f>VLOOKUP(I47,[1]Biogasudbytte!$A$2:$C$18,3,FALSE)</f>
        <v>0.85</v>
      </c>
      <c r="O47" s="123">
        <f t="shared" si="12"/>
        <v>160.6</v>
      </c>
    </row>
    <row r="48" spans="1:15" hidden="1" x14ac:dyDescent="0.2">
      <c r="A48" s="114" t="str">
        <f t="shared" si="10"/>
        <v>Korn</v>
      </c>
      <c r="B48" s="114" t="s">
        <v>139</v>
      </c>
      <c r="C48" s="121">
        <f>SUMIFS('Resultater - Vestdanmark'!H$3:H$504,'Resultater - Vestdanmark'!$F$3:$F$504,$A48)/SUMIFS('Resultater - Danmark'!H$3:H$504,'Resultater - Danmark'!$F$3:$F$504,$A48)*C21</f>
        <v>2843.3935258054057</v>
      </c>
      <c r="D48" s="121">
        <f>SUMIFS('Resultater - Vestdanmark'!I$3:I$504,'Resultater - Vestdanmark'!$F$3:$F$504,$A48)/SUMIFS('Resultater - Danmark'!I$3:I$504,'Resultater - Danmark'!$F$3:$F$504,$A48)*D21</f>
        <v>0</v>
      </c>
      <c r="E48" s="121">
        <f>SUMIFS('Resultater - Vestdanmark'!J$3:J$504,'Resultater - Vestdanmark'!$F$3:$F$504,$A48)/SUMIFS('Resultater - Danmark'!J$3:J$504,'Resultater - Danmark'!$F$3:$F$504,$A48)*E21</f>
        <v>0</v>
      </c>
      <c r="F48" s="122">
        <f>VLOOKUP(A48,[1]Biogasudbytte!$A$2:$C$18,3,FALSE)</f>
        <v>0.31</v>
      </c>
      <c r="G48" s="123">
        <f t="shared" si="11"/>
        <v>95.4</v>
      </c>
      <c r="I48" s="114" t="str">
        <f t="shared" si="13"/>
        <v>Korn</v>
      </c>
      <c r="J48" s="114" t="s">
        <v>139</v>
      </c>
      <c r="K48" s="121">
        <f>SUMIFS('Resultater - Østdanmark'!H$3:H$504,'Resultater - Østdanmark'!$F$3:$F$504,$A48)/SUMIFS('Resultater - Danmark'!H$3:H$504,'Resultater - Danmark'!$F$3:$F$504,$A48)*C21</f>
        <v>942.6064741945944</v>
      </c>
      <c r="L48" s="121">
        <f>SUMIFS('Resultater - Østdanmark'!I$3:I$504,'Resultater - Østdanmark'!$F$3:$F$504,$A48)/SUMIFS('Resultater - Danmark'!I$3:I$504,'Resultater - Danmark'!$F$3:$F$504,$A48)*D21</f>
        <v>0</v>
      </c>
      <c r="M48" s="121">
        <f>SUMIFS('Resultater - Østdanmark'!J$3:J$504,'Resultater - Østdanmark'!$F$3:$F$504,$A48)/SUMIFS('Resultater - Danmark'!J$3:J$504,'Resultater - Danmark'!$F$3:$F$504,$A48)*E21</f>
        <v>0</v>
      </c>
      <c r="N48" s="122">
        <f>VLOOKUP(I48,[1]Biogasudbytte!$A$2:$C$18,3,FALSE)</f>
        <v>0.31</v>
      </c>
      <c r="O48" s="123">
        <f t="shared" si="12"/>
        <v>95.4</v>
      </c>
    </row>
    <row r="49" spans="1:15" hidden="1" x14ac:dyDescent="0.2">
      <c r="A49" s="114" t="str">
        <f t="shared" si="10"/>
        <v>Græs</v>
      </c>
      <c r="B49" s="114" t="s">
        <v>139</v>
      </c>
      <c r="C49" s="121">
        <f>SUMIFS('Resultater - Vestdanmark'!H$3:H$504,'Resultater - Vestdanmark'!$F$3:$F$504,$A49)/SUMIFS('Resultater - Danmark'!H$3:H$504,'Resultater - Danmark'!$F$3:$F$504,$A49)*C22</f>
        <v>75399.16825098735</v>
      </c>
      <c r="D49" s="121">
        <f>SUMIFS('Resultater - Vestdanmark'!I$3:I$504,'Resultater - Vestdanmark'!$F$3:$F$504,$A49)/SUMIFS('Resultater - Danmark'!I$3:I$504,'Resultater - Danmark'!$F$3:$F$504,$A49)*D22</f>
        <v>0</v>
      </c>
      <c r="E49" s="121">
        <f>SUMIFS('Resultater - Vestdanmark'!J$3:J$504,'Resultater - Vestdanmark'!$F$3:$F$504,$A49)/SUMIFS('Resultater - Danmark'!J$3:J$504,'Resultater - Danmark'!$F$3:$F$504,$A49)*E22</f>
        <v>0</v>
      </c>
      <c r="F49" s="122">
        <f>VLOOKUP(A49,[1]Biogasudbytte!$A$2:$C$18,3,FALSE)</f>
        <v>0.28000000000000003</v>
      </c>
      <c r="G49" s="123">
        <f t="shared" si="11"/>
        <v>51.25</v>
      </c>
      <c r="I49" s="114" t="str">
        <f t="shared" si="13"/>
        <v>Græs</v>
      </c>
      <c r="J49" s="114" t="s">
        <v>139</v>
      </c>
      <c r="K49" s="121">
        <f>SUMIFS('Resultater - Østdanmark'!H$3:H$504,'Resultater - Østdanmark'!$F$3:$F$504,$A49)/SUMIFS('Resultater - Danmark'!H$3:H$504,'Resultater - Danmark'!$F$3:$F$504,$A49)*C22</f>
        <v>10277.831749012612</v>
      </c>
      <c r="L49" s="121">
        <f>SUMIFS('Resultater - Østdanmark'!I$3:I$504,'Resultater - Østdanmark'!$F$3:$F$504,$A49)/SUMIFS('Resultater - Danmark'!I$3:I$504,'Resultater - Danmark'!$F$3:$F$504,$A49)*D22</f>
        <v>0</v>
      </c>
      <c r="M49" s="121">
        <f>SUMIFS('Resultater - Østdanmark'!J$3:J$504,'Resultater - Østdanmark'!$F$3:$F$504,$A49)/SUMIFS('Resultater - Danmark'!J$3:J$504,'Resultater - Danmark'!$F$3:$F$504,$A49)*E22</f>
        <v>0</v>
      </c>
      <c r="N49" s="122">
        <f>VLOOKUP(I49,[1]Biogasudbytte!$A$2:$C$18,3,FALSE)</f>
        <v>0.28000000000000003</v>
      </c>
      <c r="O49" s="123">
        <f t="shared" si="12"/>
        <v>51.25</v>
      </c>
    </row>
    <row r="50" spans="1:15" hidden="1" x14ac:dyDescent="0.2">
      <c r="A50" s="114" t="str">
        <f t="shared" si="10"/>
        <v>Majs</v>
      </c>
      <c r="B50" s="114" t="s">
        <v>139</v>
      </c>
      <c r="C50" s="121">
        <f>SUMIFS('Resultater - Vestdanmark'!H$3:H$504,'Resultater - Vestdanmark'!$F$3:$F$504,$A50)/SUMIFS('Resultater - Danmark'!H$3:H$504,'Resultater - Danmark'!$F$3:$F$504,$A50)*C23</f>
        <v>314874.94627501385</v>
      </c>
      <c r="D50" s="121">
        <f>SUMIFS('Resultater - Vestdanmark'!I$3:I$504,'Resultater - Vestdanmark'!$F$3:$F$504,$A50)/SUMIFS('Resultater - Danmark'!I$3:I$504,'Resultater - Danmark'!$F$3:$F$504,$A50)*D23</f>
        <v>0</v>
      </c>
      <c r="E50" s="121">
        <f>SUMIFS('Resultater - Vestdanmark'!J$3:J$504,'Resultater - Vestdanmark'!$F$3:$F$504,$A50)/SUMIFS('Resultater - Danmark'!J$3:J$504,'Resultater - Danmark'!$F$3:$F$504,$A50)*E23</f>
        <v>0</v>
      </c>
      <c r="F50" s="122">
        <f>VLOOKUP(A50,[1]Biogasudbytte!$A$2:$C$18,3,FALSE)</f>
        <v>0.3</v>
      </c>
      <c r="G50" s="123">
        <f t="shared" si="11"/>
        <v>100</v>
      </c>
      <c r="I50" s="114" t="str">
        <f t="shared" si="13"/>
        <v>Majs</v>
      </c>
      <c r="J50" s="114" t="s">
        <v>139</v>
      </c>
      <c r="K50" s="121">
        <f>SUMIFS('Resultater - Østdanmark'!H$3:H$504,'Resultater - Østdanmark'!$F$3:$F$504,$A50)/SUMIFS('Resultater - Danmark'!H$3:H$504,'Resultater - Danmark'!$F$3:$F$504,$A50)*C23</f>
        <v>15151.053724986185</v>
      </c>
      <c r="L50" s="121">
        <f>SUMIFS('Resultater - Østdanmark'!I$3:I$504,'Resultater - Østdanmark'!$F$3:$F$504,$A50)/SUMIFS('Resultater - Danmark'!I$3:I$504,'Resultater - Danmark'!$F$3:$F$504,$A50)*D23</f>
        <v>0</v>
      </c>
      <c r="M50" s="121">
        <f>SUMIFS('Resultater - Østdanmark'!J$3:J$504,'Resultater - Østdanmark'!$F$3:$F$504,$A50)/SUMIFS('Resultater - Danmark'!J$3:J$504,'Resultater - Danmark'!$F$3:$F$504,$A50)*E23</f>
        <v>0</v>
      </c>
      <c r="N50" s="122">
        <f>VLOOKUP(I50,[1]Biogasudbytte!$A$2:$C$18,3,FALSE)</f>
        <v>0.3</v>
      </c>
      <c r="O50" s="123">
        <f t="shared" si="12"/>
        <v>100</v>
      </c>
    </row>
    <row r="51" spans="1:15" hidden="1" x14ac:dyDescent="0.2">
      <c r="A51" s="114" t="str">
        <f t="shared" si="10"/>
        <v>Roer</v>
      </c>
      <c r="B51" s="114" t="s">
        <v>139</v>
      </c>
      <c r="C51" s="121">
        <f>SUMIFS('Resultater - Vestdanmark'!H$3:H$504,'Resultater - Vestdanmark'!$F$3:$F$504,$A51)/SUMIFS('Resultater - Danmark'!H$3:H$504,'Resultater - Danmark'!$F$3:$F$504,$A51)*C24</f>
        <v>4141.9679702877811</v>
      </c>
      <c r="D51" s="121">
        <f>SUMIFS('Resultater - Vestdanmark'!I$3:I$504,'Resultater - Vestdanmark'!$F$3:$F$504,$A51)/SUMIFS('Resultater - Danmark'!I$3:I$504,'Resultater - Danmark'!$F$3:$F$504,$A51)*D24</f>
        <v>0</v>
      </c>
      <c r="E51" s="121">
        <f>SUMIFS('Resultater - Vestdanmark'!J$3:J$504,'Resultater - Vestdanmark'!$F$3:$F$504,$A51)/SUMIFS('Resultater - Danmark'!J$3:J$504,'Resultater - Danmark'!$F$3:$F$504,$A51)*E24</f>
        <v>0</v>
      </c>
      <c r="F51" s="122">
        <f>VLOOKUP(A51,[1]Biogasudbytte!$A$2:$C$18,3,FALSE)</f>
        <v>0.2</v>
      </c>
      <c r="G51" s="123">
        <f t="shared" si="11"/>
        <v>75.599999999999994</v>
      </c>
      <c r="I51" s="114" t="str">
        <f t="shared" si="13"/>
        <v>Roer</v>
      </c>
      <c r="J51" s="114" t="s">
        <v>139</v>
      </c>
      <c r="K51" s="121">
        <f>SUMIFS('Resultater - Østdanmark'!H$3:H$504,'Resultater - Østdanmark'!$F$3:$F$504,$A51)/SUMIFS('Resultater - Danmark'!H$3:H$504,'Resultater - Danmark'!$F$3:$F$504,$A51)*C24</f>
        <v>24503.032029712213</v>
      </c>
      <c r="L51" s="121">
        <f>SUMIFS('Resultater - Østdanmark'!I$3:I$504,'Resultater - Østdanmark'!$F$3:$F$504,$A51)/SUMIFS('Resultater - Danmark'!I$3:I$504,'Resultater - Danmark'!$F$3:$F$504,$A51)*D24</f>
        <v>0</v>
      </c>
      <c r="M51" s="121">
        <f>SUMIFS('Resultater - Østdanmark'!J$3:J$504,'Resultater - Østdanmark'!$F$3:$F$504,$A51)/SUMIFS('Resultater - Danmark'!J$3:J$504,'Resultater - Danmark'!$F$3:$F$504,$A51)*E24</f>
        <v>0</v>
      </c>
      <c r="N51" s="122">
        <f>VLOOKUP(I51,[1]Biogasudbytte!$A$2:$C$18,3,FALSE)</f>
        <v>0.2</v>
      </c>
      <c r="O51" s="123">
        <f t="shared" si="12"/>
        <v>75.599999999999994</v>
      </c>
    </row>
    <row r="52" spans="1:15" hidden="1" x14ac:dyDescent="0.2">
      <c r="A52" s="114" t="str">
        <f t="shared" si="10"/>
        <v>Have/parkaffald</v>
      </c>
      <c r="B52" s="114" t="s">
        <v>139</v>
      </c>
      <c r="C52" s="121">
        <f>SUMIFS('Resultater - Vestdanmark'!H$3:H$504,'Resultater - Vestdanmark'!$F$3:$F$504,$A52)/SUMIFS('Resultater - Danmark'!H$3:H$504,'Resultater - Danmark'!$F$3:$F$504,$A52)*C25</f>
        <v>42.099811904105366</v>
      </c>
      <c r="D52" s="121">
        <f>SUMIFS('Resultater - Vestdanmark'!I$3:I$504,'Resultater - Vestdanmark'!$F$3:$F$504,$A52)/SUMIFS('Resultater - Danmark'!I$3:I$504,'Resultater - Danmark'!$F$3:$F$504,$A52)*D25</f>
        <v>401960.68859899876</v>
      </c>
      <c r="E52" s="121">
        <f>SUMIFS('Resultater - Vestdanmark'!J$3:J$504,'Resultater - Vestdanmark'!$F$3:$F$504,$A52)/SUMIFS('Resultater - Danmark'!J$3:J$504,'Resultater - Danmark'!$F$3:$F$504,$A52)*E25</f>
        <v>523381.79192356829</v>
      </c>
      <c r="F52" s="122">
        <f>VLOOKUP(A52,[1]Biogasudbytte!$A$2:$C$18,3,FALSE)</f>
        <v>0.3</v>
      </c>
      <c r="G52" s="123">
        <f t="shared" si="11"/>
        <v>47.3</v>
      </c>
      <c r="I52" s="114" t="str">
        <f t="shared" si="13"/>
        <v>Have/parkaffald</v>
      </c>
      <c r="J52" s="114" t="s">
        <v>139</v>
      </c>
      <c r="K52" s="121">
        <f>SUMIFS('Resultater - Østdanmark'!H$3:H$504,'Resultater - Østdanmark'!$F$3:$F$504,$A52)/SUMIFS('Resultater - Danmark'!H$3:H$504,'Resultater - Danmark'!$F$3:$F$504,$A52)*C25</f>
        <v>35.900188095894634</v>
      </c>
      <c r="L52" s="121">
        <f>SUMIFS('Resultater - Østdanmark'!I$3:I$504,'Resultater - Østdanmark'!$F$3:$F$504,$A52)/SUMIFS('Resultater - Danmark'!I$3:I$504,'Resultater - Danmark'!$F$3:$F$504,$A52)*D25</f>
        <v>348039.31140100124</v>
      </c>
      <c r="M52" s="121">
        <f>SUMIFS('Resultater - Østdanmark'!J$3:J$504,'Resultater - Østdanmark'!$F$3:$F$504,$A52)/SUMIFS('Resultater - Danmark'!J$3:J$504,'Resultater - Danmark'!$F$3:$F$504,$A52)*E25</f>
        <v>456618.20807643177</v>
      </c>
      <c r="N52" s="122">
        <f>VLOOKUP(I52,[1]Biogasudbytte!$A$2:$C$18,3,FALSE)</f>
        <v>0.3</v>
      </c>
      <c r="O52" s="123">
        <f t="shared" si="12"/>
        <v>47.3</v>
      </c>
    </row>
    <row r="53" spans="1:15" hidden="1" x14ac:dyDescent="0.2">
      <c r="A53" s="114" t="str">
        <f t="shared" si="10"/>
        <v>Glycerin</v>
      </c>
      <c r="B53" s="114" t="s">
        <v>139</v>
      </c>
      <c r="C53" s="121">
        <f>C26*$B$36</f>
        <v>114193.60000000001</v>
      </c>
      <c r="D53" s="121">
        <f>D26*$B$36</f>
        <v>114193.60000000001</v>
      </c>
      <c r="E53" s="121">
        <f>E26*$B$36</f>
        <v>114193.60000000001</v>
      </c>
      <c r="F53" s="122">
        <f>VLOOKUP(A53,[1]Biogasudbytte!$A$2:$C$18,3,FALSE)</f>
        <v>0.9</v>
      </c>
      <c r="G53" s="123">
        <f t="shared" si="11"/>
        <v>423.36</v>
      </c>
      <c r="I53" s="114" t="str">
        <f t="shared" si="13"/>
        <v>Glycerin</v>
      </c>
      <c r="J53" s="114" t="s">
        <v>139</v>
      </c>
      <c r="K53" s="121">
        <f>C26*$C$36</f>
        <v>28548.400000000001</v>
      </c>
      <c r="L53" s="121">
        <f>D26*$C$36</f>
        <v>28548.400000000001</v>
      </c>
      <c r="M53" s="121">
        <f>E26*$C$36</f>
        <v>28548.400000000001</v>
      </c>
      <c r="N53" s="122">
        <f>VLOOKUP(I53,[1]Biogasudbytte!$A$2:$C$18,3,FALSE)</f>
        <v>0.9</v>
      </c>
      <c r="O53" s="123">
        <f t="shared" si="12"/>
        <v>423.36</v>
      </c>
    </row>
    <row r="54" spans="1:15" hidden="1" x14ac:dyDescent="0.2">
      <c r="A54" s="114" t="str">
        <f t="shared" si="10"/>
        <v>Muslinger</v>
      </c>
      <c r="B54" s="114" t="s">
        <v>139</v>
      </c>
      <c r="C54" s="121">
        <f>SUMIFS('Resultater - Vestdanmark'!H$3:H$504,'Resultater - Vestdanmark'!$F$3:$F$504,$A54)/SUMIFS('Resultater - Danmark'!H$3:H$504,'Resultater - Danmark'!$F$3:$F$504,$A54)*C27</f>
        <v>0</v>
      </c>
      <c r="D54" s="121">
        <f>SUMIFS('Resultater - Vestdanmark'!I$3:I$504,'Resultater - Vestdanmark'!$F$3:$F$504,$A54)/SUMIFS('Resultater - Danmark'!I$3:I$504,'Resultater - Danmark'!$F$3:$F$504,$A54)*D27</f>
        <v>0</v>
      </c>
      <c r="E54" s="121">
        <f>SUMIFS('Resultater - Vestdanmark'!J$3:J$504,'Resultater - Vestdanmark'!$F$3:$F$504,$A54)/SUMIFS('Resultater - Danmark'!J$3:J$504,'Resultater - Danmark'!$F$3:$F$504,$A54)*E27</f>
        <v>0</v>
      </c>
      <c r="F54" s="122">
        <f>VLOOKUP(A54,[1]Biogasudbytte!$A$2:$C$18,3,FALSE)</f>
        <v>0.15</v>
      </c>
      <c r="G54" s="123">
        <f t="shared" si="11"/>
        <v>25</v>
      </c>
      <c r="I54" s="114" t="str">
        <f t="shared" si="13"/>
        <v>Muslinger</v>
      </c>
      <c r="J54" s="114" t="s">
        <v>139</v>
      </c>
      <c r="K54" s="121">
        <f>SUMIFS('Resultater - Østdanmark'!H$3:H$504,'Resultater - Østdanmark'!$F$3:$F$504,$A54)/SUMIFS('Resultater - Danmark'!H$3:H$504,'Resultater - Danmark'!$F$3:$F$504,$A54)*C27</f>
        <v>0</v>
      </c>
      <c r="L54" s="121">
        <f>SUMIFS('Resultater - Østdanmark'!I$3:I$504,'Resultater - Østdanmark'!$F$3:$F$504,$A54)/SUMIFS('Resultater - Danmark'!I$3:I$504,'Resultater - Danmark'!$F$3:$F$504,$A54)*D27</f>
        <v>0</v>
      </c>
      <c r="M54" s="121">
        <f>SUMIFS('Resultater - Østdanmark'!J$3:J$504,'Resultater - Østdanmark'!$F$3:$F$504,$A54)/SUMIFS('Resultater - Danmark'!J$3:J$504,'Resultater - Danmark'!$F$3:$F$504,$A54)*E27</f>
        <v>0</v>
      </c>
      <c r="N54" s="122">
        <f>VLOOKUP(I54,[1]Biogasudbytte!$A$2:$C$18,3,FALSE)</f>
        <v>0.15</v>
      </c>
      <c r="O54" s="123">
        <f t="shared" si="12"/>
        <v>25</v>
      </c>
    </row>
    <row r="55" spans="1:15" ht="12.75" hidden="1" thickBot="1" x14ac:dyDescent="0.25">
      <c r="A55" s="126" t="str">
        <f t="shared" si="10"/>
        <v>Tang</v>
      </c>
      <c r="B55" s="126" t="s">
        <v>139</v>
      </c>
      <c r="C55" s="160">
        <f>SUMIFS('Resultater - Vestdanmark'!H$3:H$504,'Resultater - Vestdanmark'!$F$3:$F$504,$A55)/SUMIFS('Resultater - Danmark'!H$3:H$504,'Resultater - Danmark'!$F$3:$F$504,$A55)*C28</f>
        <v>0</v>
      </c>
      <c r="D55" s="160">
        <f>SUMIFS('Resultater - Vestdanmark'!I$3:I$504,'Resultater - Vestdanmark'!$F$3:$F$504,$A55)/SUMIFS('Resultater - Danmark'!I$3:I$504,'Resultater - Danmark'!$F$3:$F$504,$A55)*D28</f>
        <v>0</v>
      </c>
      <c r="E55" s="160">
        <f>SUMIFS('Resultater - Vestdanmark'!J$3:J$504,'Resultater - Vestdanmark'!$F$3:$F$504,$A55)/SUMIFS('Resultater - Danmark'!J$3:J$504,'Resultater - Danmark'!$F$3:$F$504,$A55)*E28</f>
        <v>0</v>
      </c>
      <c r="F55" s="127">
        <f>VLOOKUP(A55,[1]Biogasudbytte!$A$2:$C$18,3,FALSE)</f>
        <v>0.15</v>
      </c>
      <c r="G55" s="128">
        <f t="shared" si="11"/>
        <v>25</v>
      </c>
      <c r="I55" s="126" t="str">
        <f t="shared" si="13"/>
        <v>Tang</v>
      </c>
      <c r="J55" s="126" t="s">
        <v>139</v>
      </c>
      <c r="K55" s="160">
        <f>SUMIFS('Resultater - Østdanmark'!H$3:H$504,'Resultater - Østdanmark'!$F$3:$F$504,$A55)/SUMIFS('Resultater - Danmark'!H$3:H$504,'Resultater - Danmark'!$F$3:$F$504,$A55)*C28</f>
        <v>0</v>
      </c>
      <c r="L55" s="160">
        <f>SUMIFS('Resultater - Østdanmark'!I$3:I$504,'Resultater - Østdanmark'!$F$3:$F$504,$A55)/SUMIFS('Resultater - Danmark'!I$3:I$504,'Resultater - Danmark'!$F$3:$F$504,$A55)*D28</f>
        <v>0</v>
      </c>
      <c r="M55" s="160">
        <f>SUMIFS('Resultater - Østdanmark'!J$3:J$504,'Resultater - Østdanmark'!$F$3:$F$504,$A55)/SUMIFS('Resultater - Danmark'!J$3:J$504,'Resultater - Danmark'!$F$3:$F$504,$A55)*E28</f>
        <v>0</v>
      </c>
      <c r="N55" s="127">
        <f>VLOOKUP(I55,[1]Biogasudbytte!$A$2:$C$18,3,FALSE)</f>
        <v>0.15</v>
      </c>
      <c r="O55" s="128">
        <f t="shared" si="12"/>
        <v>25</v>
      </c>
    </row>
    <row r="56" spans="1:15" hidden="1" x14ac:dyDescent="0.2">
      <c r="A56" s="114" t="s">
        <v>104</v>
      </c>
      <c r="B56" s="114" t="s">
        <v>139</v>
      </c>
      <c r="C56" s="129">
        <f ca="1">SUM(C39:C55)</f>
        <v>10411125.221732087</v>
      </c>
      <c r="D56" s="129">
        <f ca="1">SUM(D39:D55)</f>
        <v>16048361.854256775</v>
      </c>
      <c r="E56" s="129">
        <f ca="1">SUM(E39:E55)</f>
        <v>5314801.9907331867</v>
      </c>
      <c r="F56" s="130"/>
      <c r="G56" s="130"/>
      <c r="I56" s="114" t="s">
        <v>104</v>
      </c>
      <c r="J56" s="114" t="s">
        <v>139</v>
      </c>
      <c r="K56" s="129">
        <f ca="1">SUM(K39:K55)</f>
        <v>2679292.2782679098</v>
      </c>
      <c r="L56" s="129">
        <f ca="1">SUM(L39:L55)</f>
        <v>4271008.5606746925</v>
      </c>
      <c r="M56" s="129">
        <f ca="1">SUM(M39:M55)</f>
        <v>3729015.8049057811</v>
      </c>
      <c r="N56" s="130"/>
      <c r="O56" s="130"/>
    </row>
    <row r="57" spans="1:15" hidden="1" x14ac:dyDescent="0.2">
      <c r="A57" s="132" t="s">
        <v>123</v>
      </c>
      <c r="C57" s="133">
        <f ca="1">SUMPRODUCT(C39:C55,$F$39:$F$55)/C56</f>
        <v>0.13459391872775978</v>
      </c>
      <c r="D57" s="133">
        <f ca="1">SUMPRODUCT(D39:D55,$F$39:$F$55)/D56</f>
        <v>0.10225565917947058</v>
      </c>
      <c r="E57" s="133">
        <f ca="1">SUMPRODUCT(E39:E55,$F$39:$F$55)/E56</f>
        <v>0.11993145081293755</v>
      </c>
      <c r="I57" s="132" t="s">
        <v>123</v>
      </c>
      <c r="K57" s="133">
        <f ca="1">SUMPRODUCT(K39:K55,$N$39:$N$55)/K56</f>
        <v>0.15233102307854454</v>
      </c>
      <c r="L57" s="133">
        <f ca="1">SUMPRODUCT(L39:L55,$N$39:$N$55)/L56</f>
        <v>9.9454330533672891E-2</v>
      </c>
      <c r="M57" s="133">
        <f ca="1">SUMPRODUCT(M39:M55,$N$39:$N$55)/M56</f>
        <v>9.926112541915981E-2</v>
      </c>
    </row>
    <row r="58" spans="1:15" hidden="1" x14ac:dyDescent="0.2">
      <c r="A58" s="132" t="s">
        <v>160</v>
      </c>
      <c r="C58" s="133">
        <f ca="1">SUM(C48:C51)/C56</f>
        <v>3.81572085208291E-2</v>
      </c>
      <c r="D58" s="133">
        <f ca="1">SUM(D48:D51)/D56</f>
        <v>0</v>
      </c>
      <c r="E58" s="133">
        <f ca="1">SUM(E48:E51)/E56</f>
        <v>0</v>
      </c>
      <c r="I58" s="132" t="s">
        <v>160</v>
      </c>
      <c r="K58" s="133">
        <f ca="1">SUM(K48:K51)/K56</f>
        <v>1.898804560837036E-2</v>
      </c>
      <c r="L58" s="133">
        <f ca="1">SUM(L48:L51)/L56</f>
        <v>0</v>
      </c>
      <c r="M58" s="133">
        <f ca="1">SUM(M48:M51)/M56</f>
        <v>0</v>
      </c>
    </row>
    <row r="59" spans="1:15" hidden="1" x14ac:dyDescent="0.2">
      <c r="A59" s="114" t="s">
        <v>142</v>
      </c>
      <c r="B59" s="114" t="s">
        <v>143</v>
      </c>
      <c r="C59" s="114">
        <f ca="1">SUMPRODUCT(C39:C55,$I$12:$I$28)</f>
        <v>352020220.2509163</v>
      </c>
      <c r="D59" s="114">
        <f ca="1">SUMPRODUCT(D39:D55,$I$12:$I$28)</f>
        <v>360155466.15188104</v>
      </c>
      <c r="E59" s="114">
        <f ca="1">SUMPRODUCT(E39:E55,$I$12:$I$28)</f>
        <v>154707932.21283442</v>
      </c>
      <c r="I59" s="114" t="s">
        <v>142</v>
      </c>
      <c r="J59" s="114" t="s">
        <v>143</v>
      </c>
      <c r="K59" s="114">
        <f ca="1">SUMPRODUCT(K39:K55,$I$12:$I$28)</f>
        <v>110817068.59908372</v>
      </c>
      <c r="L59" s="114">
        <f ca="1">SUMPRODUCT(L39:L55,$I$12:$I$28)</f>
        <v>93239749.064297393</v>
      </c>
      <c r="M59" s="114">
        <f ca="1">SUMPRODUCT(M39:M55,$I$12:$I$28)</f>
        <v>81094605.554408416</v>
      </c>
    </row>
    <row r="60" spans="1:15" hidden="1" x14ac:dyDescent="0.2">
      <c r="A60" s="114" t="s">
        <v>142</v>
      </c>
      <c r="B60" s="114" t="s">
        <v>122</v>
      </c>
      <c r="C60" s="114">
        <f ca="1">C59*[1]Energiindhold!$C$10</f>
        <v>12.637525907007896</v>
      </c>
      <c r="D60" s="114">
        <f ca="1">D59*[1]Energiindhold!$C$10</f>
        <v>12.929581234852531</v>
      </c>
      <c r="E60" s="114">
        <f ca="1">E59*[1]Energiindhold!$C$10</f>
        <v>5.5540147664407558</v>
      </c>
      <c r="I60" s="114" t="s">
        <v>142</v>
      </c>
      <c r="J60" s="114" t="s">
        <v>122</v>
      </c>
      <c r="K60" s="114">
        <f ca="1">K59*[1]Energiindhold!$C$10</f>
        <v>3.9783327627071059</v>
      </c>
      <c r="L60" s="114">
        <f ca="1">L59*[1]Energiindhold!$C$10</f>
        <v>3.3473069914082769</v>
      </c>
      <c r="M60" s="114">
        <f ca="1">M59*[1]Energiindhold!$C$10</f>
        <v>2.9112963394032625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F20"/>
  <sheetViews>
    <sheetView zoomScaleNormal="100" workbookViewId="0">
      <selection activeCell="F17" sqref="F17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05" t="s">
        <v>271</v>
      </c>
    </row>
    <row r="2" spans="1:4" ht="15.75" x14ac:dyDescent="0.25">
      <c r="A2" s="203" t="s">
        <v>308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3">
        <v>0</v>
      </c>
      <c r="C4" s="388">
        <v>0</v>
      </c>
      <c r="D4" s="388">
        <v>0</v>
      </c>
    </row>
    <row r="5" spans="1:4" x14ac:dyDescent="0.25">
      <c r="A5" s="285"/>
    </row>
    <row r="6" spans="1:4" x14ac:dyDescent="0.25">
      <c r="A6" s="285"/>
    </row>
    <row r="7" spans="1:4" ht="15.75" x14ac:dyDescent="0.25">
      <c r="A7" s="203" t="s">
        <v>294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4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4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4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4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4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22">
        <f>SUMIFS('Forbrug af biomasse'!$E$2:$E$403,'Forbrug af biomasse'!$D$2:$D$403,'Forbrug til andet'!B$15,'Forbrug af biomasse'!$C$2:$C$403,'Forbrug til andet'!$A16,'Forbrug af biomasse'!$A$2:$A$403,"Materialer")</f>
        <v>0</v>
      </c>
      <c r="C16" s="322">
        <f>SUMIFS('Forbrug af biomasse'!$E$2:$E$403,'Forbrug af biomasse'!$D$2:$D$403,'Forbrug til andet'!C$15,'Forbrug af biomasse'!$C$2:$C$403,'Forbrug til andet'!$A16,'Forbrug af biomasse'!$A$2:$A$403,"Materialer")</f>
        <v>0</v>
      </c>
      <c r="D16" s="322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6" x14ac:dyDescent="0.25">
      <c r="A17" s="2" t="str">
        <f>A10</f>
        <v>Rapsolie</v>
      </c>
      <c r="B17" s="322">
        <v>0</v>
      </c>
      <c r="C17" s="322">
        <f>SUMIFS('Forbrug af biomasse'!$E$2:$E$403,'Forbrug af biomasse'!$D$2:$D$403,'Forbrug til andet'!C$15,'Forbrug af biomasse'!$C$2:$C$403,'Forbrug til andet'!$A17,'Forbrug af biomasse'!$A$2:$A$403,"Materialer")</f>
        <v>0</v>
      </c>
      <c r="D17" s="322">
        <f>SUMIFS('Forbrug af biomasse'!$E$2:$E$403,'Forbrug af biomasse'!$D$2:$D$403,'Forbrug til andet'!D$15,'Forbrug af biomasse'!$C$2:$C$403,'Forbrug til andet'!$A17,'Forbrug af biomasse'!$A$2:$A$403,"Materialer")</f>
        <v>0</v>
      </c>
      <c r="F17" s="1">
        <f>SUMIFS('Forbrug af biomasse'!$E$2:$E$403,'Forbrug af biomasse'!$D$2:$D$403,'Forbrug til andet'!B$15,'Forbrug af biomasse'!$C$2:$C$403,'Forbrug til andet'!$A17,'Forbrug af biomasse'!$A$2:$A$403,"Materialer")</f>
        <v>104190.75509932752</v>
      </c>
    </row>
    <row r="18" spans="1:6" x14ac:dyDescent="0.25">
      <c r="A18" s="2" t="str">
        <f>A11</f>
        <v>Pil &amp; poppel</v>
      </c>
      <c r="B18" s="322">
        <f>SUMIFS('Forbrug af biomasse'!$E$2:$E$403,'Forbrug af biomasse'!$D$2:$D$403,'Forbrug til andet'!B$15,'Forbrug af biomasse'!$C$2:$C$403,'Forbrug til andet'!$A18,'Forbrug af biomasse'!$A$2:$A$403,"Materialer")</f>
        <v>0</v>
      </c>
      <c r="C18" s="322">
        <f>SUMIFS('Forbrug af biomasse'!$E$2:$E$403,'Forbrug af biomasse'!$D$2:$D$403,'Forbrug til andet'!C$15,'Forbrug af biomasse'!$C$2:$C$403,'Forbrug til andet'!$A18,'Forbrug af biomasse'!$A$2:$A$403,"Materialer")</f>
        <v>0</v>
      </c>
      <c r="D18" s="322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6" x14ac:dyDescent="0.25">
      <c r="A19" s="2" t="str">
        <f t="shared" ref="A19:A20" si="0">A12</f>
        <v>Have/parkaffald</v>
      </c>
      <c r="B19" s="322">
        <f>SUMIFS('Forbrug af biomasse'!$E$2:$E$403,'Forbrug af biomasse'!$D$2:$D$403,'Forbrug til andet'!B$15,'Forbrug af biomasse'!$C$2:$C$403,'Forbrug til andet'!$A19,'Forbrug af biomasse'!$A$2:$A$403,"Materialer")</f>
        <v>0</v>
      </c>
      <c r="C19" s="322">
        <f>SUMIFS('Forbrug af biomasse'!$E$2:$E$403,'Forbrug af biomasse'!$D$2:$D$403,'Forbrug til andet'!C$15,'Forbrug af biomasse'!$C$2:$C$403,'Forbrug til andet'!$A19,'Forbrug af biomasse'!$A$2:$A$403,"Materialer")</f>
        <v>0</v>
      </c>
      <c r="D19" s="322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6" x14ac:dyDescent="0.25">
      <c r="A20" s="2" t="str">
        <f t="shared" si="0"/>
        <v>Bioaffald</v>
      </c>
      <c r="B20" s="322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22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22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1"/>
      <c r="B1" s="91"/>
      <c r="C1" s="91"/>
      <c r="D1" s="91"/>
      <c r="E1" s="91"/>
      <c r="F1" s="91"/>
      <c r="G1" s="91" t="s">
        <v>85</v>
      </c>
      <c r="H1" s="91"/>
      <c r="I1" s="91"/>
    </row>
    <row r="2" spans="1:9" x14ac:dyDescent="0.25">
      <c r="A2" s="91" t="s">
        <v>64</v>
      </c>
      <c r="B2" s="91" t="s">
        <v>57</v>
      </c>
      <c r="C2" s="91" t="s">
        <v>59</v>
      </c>
      <c r="D2" s="91" t="s">
        <v>63</v>
      </c>
      <c r="E2" s="91"/>
      <c r="F2" s="91" t="s">
        <v>97</v>
      </c>
      <c r="G2" s="91">
        <f>År1</f>
        <v>2019</v>
      </c>
      <c r="H2" s="91">
        <f>År2</f>
        <v>2030</v>
      </c>
      <c r="I2" s="91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2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2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637347.23520128522</v>
      </c>
      <c r="I3" s="92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0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2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2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189649.66510867511</v>
      </c>
      <c r="I4" s="92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337598.06480333197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2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2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101555.35706467889</v>
      </c>
      <c r="I5" s="92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202558.83888199917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2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2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139905.49065394065</v>
      </c>
      <c r="I6" s="92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472637.29072466469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2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2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46635.163551313555</v>
      </c>
      <c r="I7" s="92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135039.22592133281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2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2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34039.446970381257</v>
      </c>
      <c r="I8" s="92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0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2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2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20934.388749875463</v>
      </c>
      <c r="I9" s="92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0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2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2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87052.305295785307</v>
      </c>
      <c r="I10" s="92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0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2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2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3155.9435616144051</v>
      </c>
      <c r="I11" s="92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188373.71840347553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2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2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43477.4503319453</v>
      </c>
      <c r="I12" s="92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0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2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2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62794.725438569862</v>
      </c>
      <c r="I13" s="92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0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2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2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11793.931779450841</v>
      </c>
      <c r="I14" s="92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10245.338260561472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2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2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4535.2843920639016</v>
      </c>
      <c r="I15" s="92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3939.7822179621876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2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2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170995.5996881497</v>
      </c>
      <c r="I16" s="92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0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2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2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16851.178700525419</v>
      </c>
      <c r="I17" s="92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1830.4013535168494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2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2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1444.5538636691219</v>
      </c>
      <c r="I18" s="92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156.90969719557435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2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2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1546.8037177185506</v>
      </c>
      <c r="I19" s="92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168.0162360659466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2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2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14274.450695696209</v>
      </c>
      <c r="I20" s="92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1550.5131325500222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2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2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66.762142822909354</v>
      </c>
      <c r="I21" s="92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7.2518082419319594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2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2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1054.0011940040383</v>
      </c>
      <c r="I22" s="92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114.48725613794682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2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2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27.652057994053425</v>
      </c>
      <c r="I23" s="92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3.0036097343305523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2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2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3569.4651454094223</v>
      </c>
      <c r="I24" s="92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387.72087992188403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2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2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60.808907260539151</v>
      </c>
      <c r="I25" s="92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6.6051584956547265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2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2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1075.4603376621412</v>
      </c>
      <c r="I26" s="92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116.81818184321391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2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2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2654.553265707737</v>
      </c>
      <c r="I27" s="92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288.34172237355216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2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2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304.98975247773001</v>
      </c>
      <c r="I28" s="92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33.128463335719047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2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2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500.90563602022252</v>
      </c>
      <c r="I29" s="92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54.409152644440603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2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2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14158.130367806998</v>
      </c>
      <c r="I30" s="92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1537.8782368318195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2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2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8266.7568307088786</v>
      </c>
      <c r="I31" s="92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2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2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475.99342925102297</v>
      </c>
      <c r="I32" s="92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2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2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616.38993680991337</v>
      </c>
      <c r="I33" s="92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2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2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14215.89771790568</v>
      </c>
      <c r="I34" s="92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2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2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16.523315723463227</v>
      </c>
      <c r="I35" s="92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2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2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874.58394661057821</v>
      </c>
      <c r="I36" s="92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2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2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9.4578056299713129</v>
      </c>
      <c r="I37" s="92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2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2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1176.1707180927949</v>
      </c>
      <c r="I38" s="92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2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2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33.705478633164141</v>
      </c>
      <c r="I39" s="92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2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2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596.11177153005485</v>
      </c>
      <c r="I40" s="92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2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2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1896.6283551983877</v>
      </c>
      <c r="I41" s="92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2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2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169.05131252281291</v>
      </c>
      <c r="I42" s="92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2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2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399.04965430443821</v>
      </c>
      <c r="I43" s="92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2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2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14758.95687153021</v>
      </c>
      <c r="I44" s="92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2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2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99671.748639212907</v>
      </c>
      <c r="I45" s="92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0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2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2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29658.422765814572</v>
      </c>
      <c r="I46" s="92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71611.710715858295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2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2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15881.766583829967</v>
      </c>
      <c r="I47" s="92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42967.026429514983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2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2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21879.164335436981</v>
      </c>
      <c r="I48" s="92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100256.39500220161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2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2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7293.0547784789933</v>
      </c>
      <c r="I49" s="92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28644.684286343319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2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2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5323.269663479693</v>
      </c>
      <c r="I50" s="92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0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2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2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3273.8309953351877</v>
      </c>
      <c r="I51" s="92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0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2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2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13613.702253160789</v>
      </c>
      <c r="I52" s="92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0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2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2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493.54323047064037</v>
      </c>
      <c r="I53" s="92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39958.061479525117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2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2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6799.2347995216924</v>
      </c>
      <c r="I54" s="92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0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2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2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9820.1729671030407</v>
      </c>
      <c r="I55" s="92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0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2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2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1844.3977456310754</v>
      </c>
      <c r="I56" s="92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2173.2535704221305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2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2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709.25188181035526</v>
      </c>
      <c r="I57" s="92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835.7113795677368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2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2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26741.200854422976</v>
      </c>
      <c r="I58" s="92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0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2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2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2635.2769023667065</v>
      </c>
      <c r="I59" s="92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388.26695377630136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2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2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225.90701213281457</v>
      </c>
      <c r="I60" s="92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33.283875162697591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2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2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241.89738784691369</v>
      </c>
      <c r="I61" s="92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35.63980765035231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2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2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2232.3144796492898</v>
      </c>
      <c r="I62" s="92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328.89672508636835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2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2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10.440618787588701</v>
      </c>
      <c r="I63" s="92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1.5382623543492036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2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2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164.83030955805884</v>
      </c>
      <c r="I64" s="92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24.285175544412962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2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2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4.3243758213994576</v>
      </c>
      <c r="I65" s="92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0.63712933758526868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2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2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558.21193393475642</v>
      </c>
      <c r="I66" s="92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82.243823013732964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2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2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9.5096201642477052</v>
      </c>
      <c r="I67" s="92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1.4010942263510027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2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2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168.18620451542492</v>
      </c>
      <c r="I68" s="92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24.77961433037871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2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2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415.13315071565842</v>
      </c>
      <c r="I69" s="92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61.163395654995902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2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2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47.695918751252741</v>
      </c>
      <c r="I70" s="92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7.0272497984858573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2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2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78.334286065593687</v>
      </c>
      <c r="I71" s="92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11.541335409426795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2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2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2214.1236884405648</v>
      </c>
      <c r="I72" s="92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326.21659569159806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2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2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1292.799377456608</v>
      </c>
      <c r="I73" s="92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2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2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74.438382743186438</v>
      </c>
      <c r="I74" s="92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2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2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96.394334912357877</v>
      </c>
      <c r="I75" s="92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2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2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2223.1576537275891</v>
      </c>
      <c r="I76" s="92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2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2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2.5840039471658796</v>
      </c>
      <c r="I77" s="92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2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2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136.7720866678431</v>
      </c>
      <c r="I78" s="92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2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2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1.479061920040055</v>
      </c>
      <c r="I79" s="92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2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2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183.93582916151516</v>
      </c>
      <c r="I80" s="92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2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2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5.2710419196030802</v>
      </c>
      <c r="I81" s="92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2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2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93.223127631604285</v>
      </c>
      <c r="I82" s="92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2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2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296.60482424723369</v>
      </c>
      <c r="I83" s="92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2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2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26.437142892102489</v>
      </c>
      <c r="I84" s="92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2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2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62.405506200768976</v>
      </c>
      <c r="I85" s="92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2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2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2308.0841309550201</v>
      </c>
      <c r="I86" s="92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2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2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190577.22290130702</v>
      </c>
      <c r="I87" s="92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0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2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2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56708.344375510875</v>
      </c>
      <c r="I88" s="92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105826.23519666794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2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2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30366.708838118309</v>
      </c>
      <c r="I89" s="92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63495.741118000762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2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2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41834.0245393113</v>
      </c>
      <c r="I90" s="92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148156.72927533509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2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2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13944.674846437101</v>
      </c>
      <c r="I91" s="92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42330.49407866718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2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2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10178.350064800734</v>
      </c>
      <c r="I92" s="92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0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2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2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6259.7238220193121</v>
      </c>
      <c r="I93" s="92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0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2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2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26030.059713349256</v>
      </c>
      <c r="I94" s="92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0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2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2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943.67862036113604</v>
      </c>
      <c r="I95" s="92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59049.1578802449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2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2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13000.467069532109</v>
      </c>
      <c r="I96" s="92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0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2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2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18776.64752582357</v>
      </c>
      <c r="I97" s="92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0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2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2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3526.5780432943488</v>
      </c>
      <c r="I98" s="92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3211.5870600834623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2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2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1356.1240353293651</v>
      </c>
      <c r="I99" s="92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1234.9961776724069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2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2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51130.474436936034</v>
      </c>
      <c r="I100" s="92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0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2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2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3357.5605834995149</v>
      </c>
      <c r="I101" s="92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364.7034753931315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2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2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90.793805177184794</v>
      </c>
      <c r="I102" s="92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9.8621649464842704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2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2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366.73036231407929</v>
      </c>
      <c r="I103" s="92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39.83482482056197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2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2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1078.3409265177115</v>
      </c>
      <c r="I104" s="92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117.13107590444632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2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2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20.422609337589453</v>
      </c>
      <c r="I105" s="92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2.2183357282125327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2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2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34.720305000251777</v>
      </c>
      <c r="I106" s="92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3.7713737653851549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2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2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97.001227381554372</v>
      </c>
      <c r="I107" s="92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10.536424842878008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2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2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103.41827733151489</v>
      </c>
      <c r="I108" s="92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11.233454832455337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2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2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22.309448342014662</v>
      </c>
      <c r="I109" s="92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2.4232871282864399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2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2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159.30028150544692</v>
      </c>
      <c r="I110" s="92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17.303445418574402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2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2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1156.5124894314743</v>
      </c>
      <c r="I111" s="92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125.62219317919325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2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2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34.958778596980039</v>
      </c>
      <c r="I112" s="92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3.7972771399791134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2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2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74.1955849335599</v>
      </c>
      <c r="I113" s="92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8.0592403356999522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2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2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2150.2962504007219</v>
      </c>
      <c r="I114" s="92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233.56853767582237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2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2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1796.1549250748035</v>
      </c>
      <c r="I115" s="92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2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2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32.624096434599416</v>
      </c>
      <c r="I116" s="92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2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2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159.36107732825297</v>
      </c>
      <c r="I117" s="92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2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2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1171.0785614452748</v>
      </c>
      <c r="I118" s="92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2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2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5.5117970826864369</v>
      </c>
      <c r="I119" s="92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2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2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31.416585856718971</v>
      </c>
      <c r="I120" s="92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2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2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36.178887809125172</v>
      </c>
      <c r="I121" s="92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2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2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37.160330995922486</v>
      </c>
      <c r="I122" s="92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2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2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13.484572661869436</v>
      </c>
      <c r="I123" s="92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2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2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96.286388981255755</v>
      </c>
      <c r="I124" s="92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2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2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901.06512085105521</v>
      </c>
      <c r="I125" s="92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2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2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21.130248625350497</v>
      </c>
      <c r="I126" s="92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2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2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64.456117245548413</v>
      </c>
      <c r="I127" s="92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2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2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2241.5480572801857</v>
      </c>
      <c r="I128" s="92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2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2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29803.479184120606</v>
      </c>
      <c r="I129" s="92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0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2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2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8868.3523425919848</v>
      </c>
      <c r="I130" s="92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22447.989284141684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2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2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4748.9073508841821</v>
      </c>
      <c r="I131" s="92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13468.79357048501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2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2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6542.2271379776948</v>
      </c>
      <c r="I132" s="92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31427.184997798355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2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2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2180.7423793258981</v>
      </c>
      <c r="I133" s="92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8979.1957136566725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2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2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1591.7444890152233</v>
      </c>
      <c r="I134" s="92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0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2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2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978.92888660944459</v>
      </c>
      <c r="I135" s="92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0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2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2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4070.7191080750104</v>
      </c>
      <c r="I136" s="92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0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2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2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147.57747904112145</v>
      </c>
      <c r="I137" s="92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12525.578944294373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2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2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2033.0821479715682</v>
      </c>
      <c r="I138" s="92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0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2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2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2936.3919526377699</v>
      </c>
      <c r="I139" s="92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0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2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2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551.50502092755107</v>
      </c>
      <c r="I140" s="92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681.24574001770407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2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2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212.07788550342642</v>
      </c>
      <c r="I141" s="92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261.96888617293479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2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2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7996.0553908616266</v>
      </c>
      <c r="I142" s="92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0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2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2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525.07317210500355</v>
      </c>
      <c r="I143" s="92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77.361343265209698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2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2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14.198817893608684</v>
      </c>
      <c r="I144" s="92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2.0919743825875723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2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2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57.351243517032643</v>
      </c>
      <c r="I145" s="92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8.4498113255737515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2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2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168.63668631323898</v>
      </c>
      <c r="I146" s="92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24.845985797912856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2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2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3.1937962103345354</v>
      </c>
      <c r="I147" s="92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0.47055606356023416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2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2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5.429745861483144</v>
      </c>
      <c r="I148" s="92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0.79998837447563886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2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2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15.169567575226109</v>
      </c>
      <c r="I149" s="92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2.234999209095335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2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2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16.173099958034264</v>
      </c>
      <c r="I150" s="92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2.3828540553693136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2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2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3.4888701238698125</v>
      </c>
      <c r="I151" s="92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0.51403060296985081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2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2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24.912224827259667</v>
      </c>
      <c r="I152" s="92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3.6704278160612374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2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2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180.86157086461591</v>
      </c>
      <c r="I153" s="92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26.647131886495536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2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2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5.467039630212966</v>
      </c>
      <c r="I154" s="92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0.80548302969253915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2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2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11.603099979403883</v>
      </c>
      <c r="I155" s="92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1.7095358287848383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2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2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336.27475814199715</v>
      </c>
      <c r="I156" s="92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49.544841325174438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2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2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280.89225514973896</v>
      </c>
      <c r="I157" s="92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2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2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5.1019296230003928</v>
      </c>
      <c r="I158" s="92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2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2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24.921732401207365</v>
      </c>
      <c r="I159" s="92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2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2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183.13949063618546</v>
      </c>
      <c r="I160" s="92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2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2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0.86196412729768701</v>
      </c>
      <c r="I161" s="92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2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2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4.9130926999694466</v>
      </c>
      <c r="I162" s="92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2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2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5.6578467946418041</v>
      </c>
      <c r="I163" s="92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2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2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5.8113300973303872</v>
      </c>
      <c r="I164" s="92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2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2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2.1087891539006742</v>
      </c>
      <c r="I165" s="92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2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2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15.057777346262895</v>
      </c>
      <c r="I166" s="92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2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2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140.91335346369644</v>
      </c>
      <c r="I167" s="92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2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2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3.3044606038102131</v>
      </c>
      <c r="I168" s="92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2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2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10.079990249473639</v>
      </c>
      <c r="I169" s="92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2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2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350.54520077644509</v>
      </c>
      <c r="I170" s="92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2" cm="1">
        <f t="array" ref="G171">(INDEX([1]Dyrehold!$C$14:$E$17,MATCH(1,(A171=[1]Dyrehold!$A$14:$A$17)*(C171=[1]Dyrehold!$B$14:$B$17),0),MATCH($B171,[1]Dyrehold!$C$13:$E$13,0)))</f>
        <v>10266966</v>
      </c>
      <c r="H171" s="92">
        <f>SUMIFS($G$3:$G$182,$A$3:$A$182,$A171,$B$3:$B$182,$B171)*VLOOKUP($B171,Landbrug!$B$11:$E$13,3,FALSE)*IF($C171&lt;&gt;"Økologisk",1-VLOOKUP($B171,Landbrug!$B$6:$E$8,3,FALSE),VLOOKUP($B171,Landbrug!$B$6:$E$8,3,FALSE))</f>
        <v>4451192.319631801</v>
      </c>
      <c r="I171" s="92">
        <f>SUMIFS($G$3:$G$182,$A$3:$A$182,$A171,$B$3:$B$182,$B171)*VLOOKUP($B171,Landbrug!$B$11:$E$13,4,FALSE)*IF($C171&lt;&gt;"Økologisk",1-VLOOKUP($B171,Landbrug!$B$6:$E$8,4,FALSE),VLOOKUP($B171,Landbrug!$B$6:$E$8,4,FALSE))</f>
        <v>0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2" cm="1">
        <f t="array" ref="G172">(INDEX([1]Dyrehold!$C$14:$E$17,MATCH(1,(A172=[1]Dyrehold!$A$14:$A$17)*(C172=[1]Dyrehold!$B$14:$B$17),0),MATCH($B172,[1]Dyrehold!$C$13:$E$13,0)))</f>
        <v>1541102</v>
      </c>
      <c r="H172" s="92">
        <f>SUMIFS($G$3:$G$182,$A$3:$A$182,$A172,$B$3:$B$182,$B172)*VLOOKUP($B172,Landbrug!$B$11:$E$13,3,FALSE)*IF($C172&lt;&gt;"Økologisk",1-VLOOKUP($B172,Landbrug!$B$6:$E$8,3,FALSE),VLOOKUP($B172,Landbrug!$B$6:$E$8,3,FALSE))</f>
        <v>644964.92594194447</v>
      </c>
      <c r="I172" s="92">
        <f>SUMIFS($G$3:$G$182,$A$3:$A$182,$A172,$B$3:$B$182,$B172)*VLOOKUP($B172,Landbrug!$B$11:$E$13,4,FALSE)*IF($C172&lt;&gt;"Økologisk",1-VLOOKUP($B172,Landbrug!$B$6:$E$8,4,FALSE),VLOOKUP($B172,Landbrug!$B$6:$E$8,4,FALSE))</f>
        <v>0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2" cm="1">
        <f t="array" ref="G173">(INDEX([1]Dyrehold!$C$14:$E$17,MATCH(1,(A173=[1]Dyrehold!$A$14:$A$17)*(C173=[1]Dyrehold!$B$14:$B$17),0),MATCH($B173,[1]Dyrehold!$C$13:$E$13,0)))</f>
        <v>475477</v>
      </c>
      <c r="H173" s="92">
        <f>SUMIFS($G$3:$G$182,$A$3:$A$182,$A173,$B$3:$B$182,$B173)*VLOOKUP($B173,Landbrug!$B$11:$E$13,3,FALSE)*IF($C173&lt;&gt;"Økologisk",1-VLOOKUP($B173,Landbrug!$B$6:$E$8,3,FALSE),VLOOKUP($B173,Landbrug!$B$6:$E$8,3,FALSE))</f>
        <v>2734998.260478348</v>
      </c>
      <c r="I173" s="92">
        <f>SUMIFS($G$3:$G$182,$A$3:$A$182,$A173,$B$3:$B$182,$B173)*VLOOKUP($B173,Landbrug!$B$11:$E$13,4,FALSE)*IF($C173&lt;&gt;"Økologisk",1-VLOOKUP($B173,Landbrug!$B$6:$E$8,4,FALSE),VLOOKUP($B173,Landbrug!$B$6:$E$8,4,FALSE))</f>
        <v>720277.08940132696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2" cm="1">
        <f t="array" ref="G174">(INDEX([1]Dyrehold!$C$14:$E$17,MATCH(1,(A174=[1]Dyrehold!$A$14:$A$17)*(C174=[1]Dyrehold!$B$14:$B$17),0),MATCH($B174,[1]Dyrehold!$C$13:$E$13,0)))</f>
        <v>15447</v>
      </c>
      <c r="H174" s="92">
        <f>SUMIFS($G$3:$G$182,$A$3:$A$182,$A174,$B$3:$B$182,$B174)*VLOOKUP($B174,Landbrug!$B$11:$E$13,3,FALSE)*IF($C174&lt;&gt;"Økologisk",1-VLOOKUP($B174,Landbrug!$B$6:$E$8,3,FALSE),VLOOKUP($B174,Landbrug!$B$6:$E$8,3,FALSE))</f>
        <v>396293.3577910827</v>
      </c>
      <c r="I174" s="92">
        <f>SUMIFS($G$3:$G$182,$A$3:$A$182,$A174,$B$3:$B$182,$B174)*VLOOKUP($B174,Landbrug!$B$11:$E$13,4,FALSE)*IF($C174&lt;&gt;"Økologisk",1-VLOOKUP($B174,Landbrug!$B$6:$E$8,4,FALSE),VLOOKUP($B174,Landbrug!$B$6:$E$8,4,FALSE))</f>
        <v>104366.07233853101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2" cm="1">
        <f t="array" ref="G175">(INDEX([1]Dyrehold!$C$14:$E$17,MATCH(1,(A175=[1]Dyrehold!$A$14:$A$17)*(C175=[1]Dyrehold!$B$14:$B$17),0),MATCH($B175,[1]Dyrehold!$C$13:$E$13,0)))</f>
        <v>1184629</v>
      </c>
      <c r="H175" s="92">
        <f>SUMIFS($G$3:$G$182,$A$3:$A$182,$A175,$B$3:$B$182,$B175)*VLOOKUP($B175,Landbrug!$B$11:$E$13,3,FALSE)*IF($C175&lt;&gt;"Økologisk",1-VLOOKUP($B175,Landbrug!$B$6:$E$8,3,FALSE),VLOOKUP($B175,Landbrug!$B$6:$E$8,3,FALSE))</f>
        <v>519487.36510723934</v>
      </c>
      <c r="I175" s="92">
        <f>SUMIFS($G$3:$G$182,$A$3:$A$182,$A175,$B$3:$B$182,$B175)*VLOOKUP($B175,Landbrug!$B$11:$E$13,4,FALSE)*IF($C175&lt;&gt;"Økologisk",1-VLOOKUP($B175,Landbrug!$B$6:$E$8,4,FALSE),VLOOKUP($B175,Landbrug!$B$6:$E$8,4,FALSE))</f>
        <v>0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2" cm="1">
        <f t="array" ref="G176">(INDEX([1]Dyrehold!$C$14:$E$17,MATCH(1,(A176=[1]Dyrehold!$A$14:$A$17)*(C176=[1]Dyrehold!$B$14:$B$17),0),MATCH($B176,[1]Dyrehold!$C$13:$E$13,0)))</f>
        <v>82455</v>
      </c>
      <c r="H176" s="92">
        <f>SUMIFS($G$3:$G$182,$A$3:$A$182,$A176,$B$3:$B$182,$B176)*VLOOKUP($B176,Landbrug!$B$11:$E$13,3,FALSE)*IF($C176&lt;&gt;"Økologisk",1-VLOOKUP($B176,Landbrug!$B$6:$E$8,3,FALSE),VLOOKUP($B176,Landbrug!$B$6:$E$8,3,FALSE))</f>
        <v>36922.050085268456</v>
      </c>
      <c r="I176" s="92">
        <f>SUMIFS($G$3:$G$182,$A$3:$A$182,$A176,$B$3:$B$182,$B176)*VLOOKUP($B176,Landbrug!$B$11:$E$13,4,FALSE)*IF($C176&lt;&gt;"Økologisk",1-VLOOKUP($B176,Landbrug!$B$6:$E$8,4,FALSE),VLOOKUP($B176,Landbrug!$B$6:$E$8,4,FALSE))</f>
        <v>0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2" cm="1">
        <f t="array" ref="G177">(INDEX([1]Dyrehold!$C$14:$E$17,MATCH(1,(A177=[1]Dyrehold!$A$14:$A$17)*(C177=[1]Dyrehold!$B$14:$B$17),0),MATCH($B177,[1]Dyrehold!$C$13:$E$13,0)))</f>
        <v>207835</v>
      </c>
      <c r="H177" s="92">
        <f>SUMIFS($G$3:$G$182,$A$3:$A$182,$A177,$B$3:$B$182,$B177)*VLOOKUP($B177,Landbrug!$B$11:$E$13,3,FALSE)*IF($C177&lt;&gt;"Økologisk",1-VLOOKUP($B177,Landbrug!$B$6:$E$8,3,FALSE),VLOOKUP($B177,Landbrug!$B$6:$E$8,3,FALSE))</f>
        <v>428286.51876372844</v>
      </c>
      <c r="I177" s="92">
        <f>SUMIFS($G$3:$G$182,$A$3:$A$182,$A177,$B$3:$B$182,$B177)*VLOOKUP($B177,Landbrug!$B$11:$E$13,4,FALSE)*IF($C177&lt;&gt;"Økologisk",1-VLOOKUP($B177,Landbrug!$B$6:$E$8,4,FALSE),VLOOKUP($B177,Landbrug!$B$6:$E$8,4,FALSE))</f>
        <v>139246.39999999999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2" cm="1">
        <f t="array" ref="G178">(INDEX([1]Dyrehold!$C$14:$E$17,MATCH(1,(A178=[1]Dyrehold!$A$14:$A$17)*(C178=[1]Dyrehold!$B$14:$B$17),0),MATCH($B178,[1]Dyrehold!$C$13:$E$13,0)))</f>
        <v>16513</v>
      </c>
      <c r="H178" s="92">
        <f>SUMIFS($G$3:$G$182,$A$3:$A$182,$A178,$B$3:$B$182,$B178)*VLOOKUP($B178,Landbrug!$B$11:$E$13,3,FALSE)*IF($C178&lt;&gt;"Økologisk",1-VLOOKUP($B178,Landbrug!$B$6:$E$8,3,FALSE),VLOOKUP($B178,Landbrug!$B$6:$E$8,3,FALSE))</f>
        <v>30440.04023731218</v>
      </c>
      <c r="I178" s="92">
        <f>SUMIFS($G$3:$G$182,$A$3:$A$182,$A178,$B$3:$B$182,$B178)*VLOOKUP($B178,Landbrug!$B$11:$E$13,4,FALSE)*IF($C178&lt;&gt;"Økologisk",1-VLOOKUP($B178,Landbrug!$B$6:$E$8,4,FALSE),VLOOKUP($B178,Landbrug!$B$6:$E$8,4,FALSE))</f>
        <v>9896.8000000000011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2" cm="1">
        <f t="array" ref="G179">(INDEX([1]Dyrehold!$C$14:$E$17,MATCH(1,(A179=[1]Dyrehold!$A$14:$A$17)*(C179=[1]Dyrehold!$B$14:$B$17),0),MATCH($B179,[1]Dyrehold!$C$13:$E$13,0)))</f>
        <v>18212034</v>
      </c>
      <c r="H179" s="92">
        <f>SUMIFS($G$3:$G$182,$A$3:$A$182,$A179,$B$3:$B$182,$B179)*VLOOKUP($B179,Landbrug!$B$11:$E$13,3,FALSE)*IF($C179&lt;&gt;"Økologisk",1-VLOOKUP($B179,Landbrug!$B$6:$E$8,3,FALSE),VLOOKUP($B179,Landbrug!$B$6:$E$8,3,FALSE))</f>
        <v>9267841.2008731291</v>
      </c>
      <c r="I179" s="92">
        <f>SUMIFS($G$3:$G$182,$A$3:$A$182,$A179,$B$3:$B$182,$B179)*VLOOKUP($B179,Landbrug!$B$11:$E$13,4,FALSE)*IF($C179&lt;&gt;"Økologisk",1-VLOOKUP($B179,Landbrug!$B$6:$E$8,4,FALSE),VLOOKUP($B179,Landbrug!$B$6:$E$8,4,FALSE))</f>
        <v>0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2" cm="1">
        <f t="array" ref="G180">(INDEX([1]Dyrehold!$C$14:$E$17,MATCH(1,(A180=[1]Dyrehold!$A$14:$A$17)*(C180=[1]Dyrehold!$B$14:$B$17),0),MATCH($B180,[1]Dyrehold!$C$13:$E$13,0)))</f>
        <v>1570560</v>
      </c>
      <c r="H180" s="92">
        <f>SUMIFS($G$3:$G$182,$A$3:$A$182,$A180,$B$3:$B$182,$B180)*VLOOKUP($B180,Landbrug!$B$11:$E$13,3,FALSE)*IF($C180&lt;&gt;"Økologisk",1-VLOOKUP($B180,Landbrug!$B$6:$E$8,3,FALSE),VLOOKUP($B180,Landbrug!$B$6:$E$8,3,FALSE))</f>
        <v>777846.49111438286</v>
      </c>
      <c r="I180" s="92">
        <f>SUMIFS($G$3:$G$182,$A$3:$A$182,$A180,$B$3:$B$182,$B180)*VLOOKUP($B180,Landbrug!$B$11:$E$13,4,FALSE)*IF($C180&lt;&gt;"Økologisk",1-VLOOKUP($B180,Landbrug!$B$6:$E$8,4,FALSE),VLOOKUP($B180,Landbrug!$B$6:$E$8,4,FALSE))</f>
        <v>0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2" cm="1">
        <f t="array" ref="G181">(INDEX([1]Dyrehold!$C$14:$E$17,MATCH(1,(A181=[1]Dyrehold!$A$14:$A$17)*(C181=[1]Dyrehold!$B$14:$B$17),0),MATCH($B181,[1]Dyrehold!$C$13:$E$13,0)))</f>
        <v>3062300</v>
      </c>
      <c r="H181" s="92">
        <f>SUMIFS($G$3:$G$182,$A$3:$A$182,$A181,$B$3:$B$182,$B181)*VLOOKUP($B181,Landbrug!$B$11:$E$13,3,FALSE)*IF($C181&lt;&gt;"Økologisk",1-VLOOKUP($B181,Landbrug!$B$6:$E$8,3,FALSE),VLOOKUP($B181,Landbrug!$B$6:$E$8,3,FALSE))</f>
        <v>7477118.4636429986</v>
      </c>
      <c r="I181" s="92">
        <f>SUMIFS($G$3:$G$182,$A$3:$A$182,$A181,$B$3:$B$182,$B181)*VLOOKUP($B181,Landbrug!$B$11:$E$13,4,FALSE)*IF($C181&lt;&gt;"Økologisk",1-VLOOKUP($B181,Landbrug!$B$6:$E$8,4,FALSE),VLOOKUP($B181,Landbrug!$B$6:$E$8,4,FALSE))</f>
        <v>8509733.5999999996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2" cm="1">
        <f t="array" ref="G182">(INDEX([1]Dyrehold!$C$14:$E$17,MATCH(1,(A182=[1]Dyrehold!$A$14:$A$17)*(C182=[1]Dyrehold!$B$14:$B$17),0),MATCH($B182,[1]Dyrehold!$C$13:$E$13,0)))</f>
        <v>214987</v>
      </c>
      <c r="H182" s="92">
        <f>SUMIFS($G$3:$G$182,$A$3:$A$182,$A182,$B$3:$B$182,$B182)*VLOOKUP($B182,Landbrug!$B$11:$E$13,3,FALSE)*IF($C182&lt;&gt;"Økologisk",1-VLOOKUP($B182,Landbrug!$B$6:$E$8,3,FALSE),VLOOKUP($B182,Landbrug!$B$6:$E$8,3,FALSE))</f>
        <v>627551.79275658482</v>
      </c>
      <c r="I182" s="92">
        <f>SUMIFS($G$3:$G$182,$A$3:$A$182,$A182,$B$3:$B$182,$B182)*VLOOKUP($B182,Landbrug!$B$11:$E$13,4,FALSE)*IF($C182&lt;&gt;"Økologisk",1-VLOOKUP($B182,Landbrug!$B$6:$E$8,4,FALSE),VLOOKUP($B182,Landbrug!$B$6:$E$8,4,FALSE))</f>
        <v>714218.8</v>
      </c>
    </row>
    <row r="183" spans="1:9" hidden="1" x14ac:dyDescent="0.25">
      <c r="A183" t="s">
        <v>23</v>
      </c>
      <c r="B183" t="s">
        <v>75</v>
      </c>
      <c r="F183" t="str">
        <f t="shared" si="15"/>
        <v>Befolkning</v>
      </c>
      <c r="G183" s="92">
        <f>[1]Befolkningstal!B5</f>
        <v>3133781</v>
      </c>
      <c r="H183" s="92">
        <f>[1]Befolkningstal!C5</f>
        <v>3238884</v>
      </c>
      <c r="I183" s="92">
        <f>[1]Befolkningstal!D5</f>
        <v>3365158</v>
      </c>
    </row>
    <row r="184" spans="1:9" hidden="1" x14ac:dyDescent="0.25">
      <c r="A184" t="s">
        <v>24</v>
      </c>
      <c r="B184" t="s">
        <v>75</v>
      </c>
      <c r="F184" t="str">
        <f t="shared" si="15"/>
        <v>Befolkning</v>
      </c>
      <c r="G184" s="92">
        <f>[1]Befolkningstal!B6</f>
        <v>2672300</v>
      </c>
      <c r="H184" s="92">
        <f>[1]Befolkningstal!C6</f>
        <v>2804401</v>
      </c>
      <c r="I184" s="92">
        <f>[1]Befolkningstal!D6</f>
        <v>2935892</v>
      </c>
    </row>
    <row r="185" spans="1:9" hidden="1" x14ac:dyDescent="0.25">
      <c r="A185" t="s">
        <v>23</v>
      </c>
      <c r="B185" t="s">
        <v>182</v>
      </c>
      <c r="D185" t="s">
        <v>182</v>
      </c>
      <c r="E185" s="139" t="s">
        <v>181</v>
      </c>
      <c r="F185" t="str">
        <f>CONCATENATE("Areal-",LOWER(B185))</f>
        <v>Areal-basisskov</v>
      </c>
      <c r="G185" s="101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1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1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hidden="1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1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1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3615.8703437693521</v>
      </c>
      <c r="I186" s="101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4977.6607022998596</v>
      </c>
    </row>
    <row r="187" spans="1:9" hidden="1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1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1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364.53368246961463</v>
      </c>
      <c r="I187" s="101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5025.6642058609605</v>
      </c>
    </row>
    <row r="188" spans="1:9" hidden="1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1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1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1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3615.8703437693521</v>
      </c>
    </row>
    <row r="189" spans="1:9" hidden="1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1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1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1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363.33149692104462</v>
      </c>
    </row>
    <row r="190" spans="1:9" hidden="1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1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1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32547.837708886895</v>
      </c>
      <c r="I190" s="101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45747.463772336472</v>
      </c>
    </row>
    <row r="191" spans="1:9" hidden="1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1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1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3275.7985272638125</v>
      </c>
      <c r="I191" s="101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45173.285182142659</v>
      </c>
    </row>
    <row r="192" spans="1:9" hidden="1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1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1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1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31749.414907659091</v>
      </c>
    </row>
    <row r="193" spans="1:9" hidden="1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1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1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1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3172.5768775227571</v>
      </c>
    </row>
    <row r="194" spans="1:9" hidden="1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1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1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3615.8703437693521</v>
      </c>
      <c r="I194" s="101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4977.1213052648709</v>
      </c>
    </row>
    <row r="195" spans="1:9" hidden="1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1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1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364.53368246961463</v>
      </c>
      <c r="I195" s="101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5025.6642058609605</v>
      </c>
    </row>
    <row r="196" spans="1:9" hidden="1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1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1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1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3615.8703437693521</v>
      </c>
    </row>
    <row r="197" spans="1:9" hidden="1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1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1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1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363.87089395603351</v>
      </c>
    </row>
    <row r="198" spans="1:9" hidden="1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1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1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32550.034856919305</v>
      </c>
      <c r="I198" s="101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45902.389129639385</v>
      </c>
    </row>
    <row r="199" spans="1:9" hidden="1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1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1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3273.6013792313997</v>
      </c>
      <c r="I199" s="101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45142.599783169004</v>
      </c>
    </row>
    <row r="200" spans="1:9" hidden="1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1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1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1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31629.311727902626</v>
      </c>
    </row>
    <row r="201" spans="1:9" hidden="1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1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1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1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3168.4400989500195</v>
      </c>
    </row>
    <row r="202" spans="1:9" hidden="1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1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1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1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1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1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1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1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1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1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1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1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1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1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1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1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hidden="1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1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1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698.19114071466845</v>
      </c>
      <c r="I207" s="101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890.85122692804998</v>
      </c>
    </row>
    <row r="208" spans="1:9" hidden="1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1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1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70.681612143180047</v>
      </c>
      <c r="I208" s="101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905.02086990301564</v>
      </c>
    </row>
    <row r="209" spans="1:9" hidden="1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1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1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1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698.19114071466845</v>
      </c>
    </row>
    <row r="210" spans="1:9" hidden="1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1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1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1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70.448513209516364</v>
      </c>
    </row>
    <row r="211" spans="1:9" hidden="1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1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1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6284.6906411072023</v>
      </c>
      <c r="I211" s="101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8195.9946084659714</v>
      </c>
    </row>
    <row r="212" spans="1:9" hidden="1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1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1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635.16413461343438</v>
      </c>
      <c r="I212" s="101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8139.0053057825789</v>
      </c>
    </row>
    <row r="213" spans="1:9" hidden="1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1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1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1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6130.4559698886542</v>
      </c>
    </row>
    <row r="214" spans="1:9" hidden="1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1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1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1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615.1498726600563</v>
      </c>
    </row>
    <row r="215" spans="1:9" hidden="1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1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1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698.19114071466845</v>
      </c>
      <c r="I215" s="101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890.74664001646488</v>
      </c>
    </row>
    <row r="216" spans="1:9" hidden="1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1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1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70.681612143180047</v>
      </c>
      <c r="I216" s="101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905.02086990301564</v>
      </c>
    </row>
    <row r="217" spans="1:9" hidden="1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1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1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1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698.19114071466845</v>
      </c>
    </row>
    <row r="218" spans="1:9" hidden="1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1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1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1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70.553100121101537</v>
      </c>
    </row>
    <row r="219" spans="1:9" hidden="1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1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1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6285.1166592572836</v>
      </c>
      <c r="I219" s="101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8223.7326928204147</v>
      </c>
    </row>
    <row r="220" spans="1:9" hidden="1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1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1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634.73811646335264</v>
      </c>
      <c r="I220" s="101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8135.2384124486625</v>
      </c>
    </row>
    <row r="221" spans="1:9" hidden="1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1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1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1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6107.2868835642512</v>
      </c>
    </row>
    <row r="222" spans="1:9" hidden="1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1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1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1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614.34776796394249</v>
      </c>
    </row>
    <row r="223" spans="1:9" hidden="1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1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1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1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1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1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1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1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1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1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1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1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1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98</v>
      </c>
      <c r="F227" t="str">
        <f>CONCATENATE(B227,"eareal")</f>
        <v>Muslingeareal</v>
      </c>
      <c r="G227" s="100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0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0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hidden="1" x14ac:dyDescent="0.25">
      <c r="A228" t="s">
        <v>24</v>
      </c>
      <c r="B228" t="s">
        <v>98</v>
      </c>
      <c r="F228" t="str">
        <f>CONCATENATE(B228,"eareal")</f>
        <v>Muslingeareal</v>
      </c>
      <c r="G228" s="100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0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0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hidden="1" x14ac:dyDescent="0.25">
      <c r="A229" t="s">
        <v>23</v>
      </c>
      <c r="B229" t="s">
        <v>99</v>
      </c>
      <c r="F229" t="str">
        <f>CONCATENATE(B229,"farmareal")</f>
        <v>Tangfarmareal</v>
      </c>
      <c r="G229" s="100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0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0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hidden="1" x14ac:dyDescent="0.25">
      <c r="A230" t="s">
        <v>24</v>
      </c>
      <c r="B230" t="s">
        <v>99</v>
      </c>
      <c r="F230" t="str">
        <f>CONCATENATE(B230,"farmareal")</f>
        <v>Tangfarmareal</v>
      </c>
      <c r="G230" s="100">
        <f>SUMIFS(Havbrug!C$4:C$7,Havbrug!$A$4:$A$7,'Direkte input'!$B230,Havbrug!$B$4:$B$7,'Direkte input'!$A230)*SUMIFS(Havbrug!$F$4:$F$7,Havbrug!$A$4:$A$7,'Direkte input'!$B230,Havbrug!$B$4:$B$7,'Direkte input'!$A230)</f>
        <v>0</v>
      </c>
      <c r="H230" s="100">
        <f>SUMIFS(Havbrug!D$4:D$7,Havbrug!$A$4:$A$7,'Direkte input'!$B230,Havbrug!$B$4:$B$7,'Direkte input'!$A230)*SUMIFS(Havbrug!$F$4:$F$7,Havbrug!$A$4:$A$7,'Direkte input'!$B230,Havbrug!$B$4:$B$7,'Direkte input'!$A230)</f>
        <v>0</v>
      </c>
      <c r="I230" s="100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>
    <filterColumn colId="1">
      <filters>
        <filter val="Korn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30" workbookViewId="0">
      <selection activeCell="E338" sqref="E338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309</v>
      </c>
      <c r="G1" t="s">
        <v>223</v>
      </c>
      <c r="I1" s="140" t="s">
        <v>189</v>
      </c>
      <c r="J1" s="140"/>
      <c r="K1" s="140"/>
      <c r="L1" s="140"/>
      <c r="M1" s="140"/>
    </row>
    <row r="2" spans="1:13" x14ac:dyDescent="0.25">
      <c r="A2" t="s">
        <v>127</v>
      </c>
      <c r="B2" t="s">
        <v>23</v>
      </c>
      <c r="C2" s="1" t="str">
        <f>Adfærd!A17</f>
        <v>Korn</v>
      </c>
      <c r="D2">
        <f t="shared" ref="D2:D15" si="0">År1</f>
        <v>2019</v>
      </c>
      <c r="E2" s="74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" t="str">
        <f>Adfærd!A18</f>
        <v>Grøntsager</v>
      </c>
      <c r="D3">
        <f t="shared" si="0"/>
        <v>2019</v>
      </c>
      <c r="E3" s="74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" t="str">
        <f>Adfærd!A19</f>
        <v>Kartofler</v>
      </c>
      <c r="D4">
        <f t="shared" si="0"/>
        <v>2019</v>
      </c>
      <c r="E4" s="74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" t="str">
        <f>Adfærd!A20</f>
        <v>Svinekød</v>
      </c>
      <c r="D5">
        <f t="shared" si="0"/>
        <v>2019</v>
      </c>
      <c r="E5" s="74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" t="str">
        <f>Adfærd!A21</f>
        <v>Oksekød</v>
      </c>
      <c r="D6">
        <f t="shared" si="0"/>
        <v>2019</v>
      </c>
      <c r="E6" s="74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" t="str">
        <f>Adfærd!A22</f>
        <v>Bælgsæd</v>
      </c>
      <c r="D7">
        <f t="shared" si="0"/>
        <v>2019</v>
      </c>
      <c r="E7" s="74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" t="str">
        <f>Adfærd!A23</f>
        <v>Muslinger</v>
      </c>
      <c r="D8">
        <f t="shared" si="0"/>
        <v>2019</v>
      </c>
      <c r="E8" s="74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" t="str">
        <f>Adfærd!A24</f>
        <v>Tang</v>
      </c>
      <c r="D9">
        <f t="shared" si="0"/>
        <v>2019</v>
      </c>
      <c r="E9" s="74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" t="str">
        <f>Adfærd!A25</f>
        <v>Kunstigt kød</v>
      </c>
      <c r="D10">
        <f t="shared" si="0"/>
        <v>2019</v>
      </c>
      <c r="E10" s="74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" t="str">
        <f>Adfærd!A26</f>
        <v>Mejeriprodukter</v>
      </c>
      <c r="D11">
        <f t="shared" si="0"/>
        <v>2019</v>
      </c>
      <c r="E11" s="74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" t="str">
        <f>Adfærd!A27</f>
        <v>Fjerkrækød</v>
      </c>
      <c r="D12">
        <f t="shared" si="0"/>
        <v>2019</v>
      </c>
      <c r="E12" s="74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" t="str">
        <f>Adfærd!A28</f>
        <v>Æg</v>
      </c>
      <c r="D13">
        <f t="shared" si="0"/>
        <v>2019</v>
      </c>
      <c r="E13" s="74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" t="str">
        <f>Adfærd!A29</f>
        <v>Frugt</v>
      </c>
      <c r="D14">
        <f t="shared" si="0"/>
        <v>2019</v>
      </c>
      <c r="E14" s="74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" t="str">
        <f>Adfærd!A30</f>
        <v>Fisk</v>
      </c>
      <c r="D15">
        <f t="shared" si="0"/>
        <v>2019</v>
      </c>
      <c r="E15" s="74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" t="str">
        <f>Adfærd!A17</f>
        <v>Korn</v>
      </c>
      <c r="D16">
        <f t="shared" ref="D16:D29" si="1">År2</f>
        <v>2030</v>
      </c>
      <c r="E16" s="74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" t="str">
        <f>Adfærd!A18</f>
        <v>Grøntsager</v>
      </c>
      <c r="D17">
        <f t="shared" si="1"/>
        <v>2030</v>
      </c>
      <c r="E17" s="74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" t="str">
        <f>Adfærd!A19</f>
        <v>Kartofler</v>
      </c>
      <c r="D18">
        <f t="shared" si="1"/>
        <v>2030</v>
      </c>
      <c r="E18" s="74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" t="str">
        <f>Adfærd!A20</f>
        <v>Svinekød</v>
      </c>
      <c r="D19">
        <f t="shared" si="1"/>
        <v>2030</v>
      </c>
      <c r="E19" s="74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" t="str">
        <f>Adfærd!A21</f>
        <v>Oksekød</v>
      </c>
      <c r="D20">
        <f t="shared" si="1"/>
        <v>2030</v>
      </c>
      <c r="E20" s="74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" t="str">
        <f>Adfærd!A22</f>
        <v>Bælgsæd</v>
      </c>
      <c r="D21">
        <f t="shared" si="1"/>
        <v>2030</v>
      </c>
      <c r="E21" s="74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" t="str">
        <f>Adfærd!A23</f>
        <v>Muslinger</v>
      </c>
      <c r="D22">
        <f t="shared" si="1"/>
        <v>2030</v>
      </c>
      <c r="E22" s="74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" t="str">
        <f>Adfærd!A24</f>
        <v>Tang</v>
      </c>
      <c r="D23">
        <f t="shared" si="1"/>
        <v>2030</v>
      </c>
      <c r="E23" s="74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" t="str">
        <f>Adfærd!A25</f>
        <v>Kunstigt kød</v>
      </c>
      <c r="D24">
        <f t="shared" si="1"/>
        <v>2030</v>
      </c>
      <c r="E24" s="74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" t="str">
        <f>Adfærd!A26</f>
        <v>Mejeriprodukter</v>
      </c>
      <c r="D25">
        <f t="shared" si="1"/>
        <v>2030</v>
      </c>
      <c r="E25" s="74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" t="str">
        <f>Adfærd!A27</f>
        <v>Fjerkrækød</v>
      </c>
      <c r="D26">
        <f t="shared" si="1"/>
        <v>2030</v>
      </c>
      <c r="E26" s="74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" t="str">
        <f>Adfærd!A28</f>
        <v>Æg</v>
      </c>
      <c r="D27">
        <f t="shared" si="1"/>
        <v>2030</v>
      </c>
      <c r="E27" s="74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" t="str">
        <f>Adfærd!A29</f>
        <v>Frugt</v>
      </c>
      <c r="D28">
        <f t="shared" si="1"/>
        <v>2030</v>
      </c>
      <c r="E28" s="74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" t="str">
        <f>Adfærd!A30</f>
        <v>Fisk</v>
      </c>
      <c r="D29">
        <f t="shared" si="1"/>
        <v>2030</v>
      </c>
      <c r="E29" s="74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" t="str">
        <f>Adfærd!A17</f>
        <v>Korn</v>
      </c>
      <c r="D30">
        <f t="shared" ref="D30:D43" si="2">År3</f>
        <v>2050</v>
      </c>
      <c r="E30" s="74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" t="str">
        <f>Adfærd!A18</f>
        <v>Grøntsager</v>
      </c>
      <c r="D31">
        <f t="shared" si="2"/>
        <v>2050</v>
      </c>
      <c r="E31" s="74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" t="str">
        <f>Adfærd!A19</f>
        <v>Kartofler</v>
      </c>
      <c r="D32">
        <f t="shared" si="2"/>
        <v>2050</v>
      </c>
      <c r="E32" s="74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" t="str">
        <f>Adfærd!A20</f>
        <v>Svinekød</v>
      </c>
      <c r="D33">
        <f t="shared" si="2"/>
        <v>2050</v>
      </c>
      <c r="E33" s="74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" t="str">
        <f>Adfærd!A21</f>
        <v>Oksekød</v>
      </c>
      <c r="D34">
        <f t="shared" si="2"/>
        <v>2050</v>
      </c>
      <c r="E34" s="74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" t="str">
        <f>Adfærd!A22</f>
        <v>Bælgsæd</v>
      </c>
      <c r="D35">
        <f t="shared" si="2"/>
        <v>2050</v>
      </c>
      <c r="E35" s="74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" t="str">
        <f>Adfærd!A23</f>
        <v>Muslinger</v>
      </c>
      <c r="D36">
        <f t="shared" si="2"/>
        <v>2050</v>
      </c>
      <c r="E36" s="74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" t="str">
        <f>Adfærd!A24</f>
        <v>Tang</v>
      </c>
      <c r="D37">
        <f t="shared" si="2"/>
        <v>2050</v>
      </c>
      <c r="E37" s="74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" t="str">
        <f>Adfærd!A25</f>
        <v>Kunstigt kød</v>
      </c>
      <c r="D38">
        <f t="shared" si="2"/>
        <v>2050</v>
      </c>
      <c r="E38" s="74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" t="str">
        <f>Adfærd!A26</f>
        <v>Mejeriprodukter</v>
      </c>
      <c r="D39">
        <f t="shared" si="2"/>
        <v>2050</v>
      </c>
      <c r="E39" s="74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" t="str">
        <f>Adfærd!A27</f>
        <v>Fjerkrækød</v>
      </c>
      <c r="D40">
        <f t="shared" si="2"/>
        <v>2050</v>
      </c>
      <c r="E40" s="74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" t="str">
        <f>Adfærd!A28</f>
        <v>Æg</v>
      </c>
      <c r="D41">
        <f t="shared" si="2"/>
        <v>2050</v>
      </c>
      <c r="E41" s="74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" t="str">
        <f>Adfærd!A29</f>
        <v>Frugt</v>
      </c>
      <c r="D42">
        <f t="shared" si="2"/>
        <v>2050</v>
      </c>
      <c r="E42" s="74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" t="str">
        <f>Adfærd!A30</f>
        <v>Fisk</v>
      </c>
      <c r="D43">
        <f t="shared" si="2"/>
        <v>2050</v>
      </c>
      <c r="E43" s="74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" t="str">
        <f>Adfærd!A17</f>
        <v>Korn</v>
      </c>
      <c r="D44">
        <f t="shared" ref="D44:D57" si="3">År1</f>
        <v>2019</v>
      </c>
      <c r="E44" s="74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" t="str">
        <f>Adfærd!A18</f>
        <v>Grøntsager</v>
      </c>
      <c r="D45">
        <f t="shared" si="3"/>
        <v>2019</v>
      </c>
      <c r="E45" s="74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" t="str">
        <f>Adfærd!A19</f>
        <v>Kartofler</v>
      </c>
      <c r="D46">
        <f t="shared" si="3"/>
        <v>2019</v>
      </c>
      <c r="E46" s="74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" t="str">
        <f>Adfærd!A20</f>
        <v>Svinekød</v>
      </c>
      <c r="D47">
        <f t="shared" si="3"/>
        <v>2019</v>
      </c>
      <c r="E47" s="74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" t="str">
        <f>Adfærd!A21</f>
        <v>Oksekød</v>
      </c>
      <c r="D48">
        <f t="shared" si="3"/>
        <v>2019</v>
      </c>
      <c r="E48" s="74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" t="str">
        <f>Adfærd!A22</f>
        <v>Bælgsæd</v>
      </c>
      <c r="D49">
        <f t="shared" si="3"/>
        <v>2019</v>
      </c>
      <c r="E49" s="74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" t="str">
        <f>Adfærd!A23</f>
        <v>Muslinger</v>
      </c>
      <c r="D50">
        <f t="shared" si="3"/>
        <v>2019</v>
      </c>
      <c r="E50" s="74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" t="str">
        <f>Adfærd!A24</f>
        <v>Tang</v>
      </c>
      <c r="D51">
        <f t="shared" si="3"/>
        <v>2019</v>
      </c>
      <c r="E51" s="74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" t="str">
        <f>Adfærd!A25</f>
        <v>Kunstigt kød</v>
      </c>
      <c r="D52">
        <f t="shared" si="3"/>
        <v>2019</v>
      </c>
      <c r="E52" s="74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" t="str">
        <f>Adfærd!A26</f>
        <v>Mejeriprodukter</v>
      </c>
      <c r="D53">
        <f t="shared" si="3"/>
        <v>2019</v>
      </c>
      <c r="E53" s="74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" t="str">
        <f>Adfærd!A27</f>
        <v>Fjerkrækød</v>
      </c>
      <c r="D54">
        <f t="shared" si="3"/>
        <v>2019</v>
      </c>
      <c r="E54" s="74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" t="str">
        <f>Adfærd!A28</f>
        <v>Æg</v>
      </c>
      <c r="D55">
        <f t="shared" si="3"/>
        <v>2019</v>
      </c>
      <c r="E55" s="74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" t="str">
        <f>Adfærd!A29</f>
        <v>Frugt</v>
      </c>
      <c r="D56">
        <f t="shared" si="3"/>
        <v>2019</v>
      </c>
      <c r="E56" s="74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" t="str">
        <f>Adfærd!A30</f>
        <v>Fisk</v>
      </c>
      <c r="D57">
        <f t="shared" si="3"/>
        <v>2019</v>
      </c>
      <c r="E57" s="74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" t="str">
        <f>Adfærd!A17</f>
        <v>Korn</v>
      </c>
      <c r="D58">
        <f t="shared" ref="D58:D71" si="4">År2</f>
        <v>2030</v>
      </c>
      <c r="E58" s="74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" t="str">
        <f>Adfærd!A18</f>
        <v>Grøntsager</v>
      </c>
      <c r="D59">
        <f t="shared" si="4"/>
        <v>2030</v>
      </c>
      <c r="E59" s="74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" t="str">
        <f>Adfærd!A19</f>
        <v>Kartofler</v>
      </c>
      <c r="D60">
        <f t="shared" si="4"/>
        <v>2030</v>
      </c>
      <c r="E60" s="74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" t="str">
        <f>Adfærd!A20</f>
        <v>Svinekød</v>
      </c>
      <c r="D61">
        <f t="shared" si="4"/>
        <v>2030</v>
      </c>
      <c r="E61" s="74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" t="str">
        <f>Adfærd!A21</f>
        <v>Oksekød</v>
      </c>
      <c r="D62">
        <f t="shared" si="4"/>
        <v>2030</v>
      </c>
      <c r="E62" s="74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" t="str">
        <f>Adfærd!A22</f>
        <v>Bælgsæd</v>
      </c>
      <c r="D63">
        <f t="shared" si="4"/>
        <v>2030</v>
      </c>
      <c r="E63" s="74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" t="str">
        <f>Adfærd!A23</f>
        <v>Muslinger</v>
      </c>
      <c r="D64">
        <f t="shared" si="4"/>
        <v>2030</v>
      </c>
      <c r="E64" s="74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" t="str">
        <f>Adfærd!A24</f>
        <v>Tang</v>
      </c>
      <c r="D65">
        <f t="shared" si="4"/>
        <v>2030</v>
      </c>
      <c r="E65" s="74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" t="str">
        <f>Adfærd!A25</f>
        <v>Kunstigt kød</v>
      </c>
      <c r="D66">
        <f t="shared" si="4"/>
        <v>2030</v>
      </c>
      <c r="E66" s="74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" t="str">
        <f>Adfærd!A26</f>
        <v>Mejeriprodukter</v>
      </c>
      <c r="D67">
        <f t="shared" si="4"/>
        <v>2030</v>
      </c>
      <c r="E67" s="74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" t="str">
        <f>Adfærd!A27</f>
        <v>Fjerkrækød</v>
      </c>
      <c r="D68">
        <f t="shared" si="4"/>
        <v>2030</v>
      </c>
      <c r="E68" s="74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" t="str">
        <f>Adfærd!A28</f>
        <v>Æg</v>
      </c>
      <c r="D69">
        <f t="shared" si="4"/>
        <v>2030</v>
      </c>
      <c r="E69" s="74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" t="str">
        <f>Adfærd!A29</f>
        <v>Frugt</v>
      </c>
      <c r="D70">
        <f t="shared" si="4"/>
        <v>2030</v>
      </c>
      <c r="E70" s="74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" t="str">
        <f>Adfærd!A30</f>
        <v>Fisk</v>
      </c>
      <c r="D71">
        <f t="shared" si="4"/>
        <v>2030</v>
      </c>
      <c r="E71" s="74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" t="str">
        <f>Adfærd!A17</f>
        <v>Korn</v>
      </c>
      <c r="D72">
        <f t="shared" ref="D72:D85" si="5">År3</f>
        <v>2050</v>
      </c>
      <c r="E72" s="74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" t="str">
        <f>Adfærd!A18</f>
        <v>Grøntsager</v>
      </c>
      <c r="D73">
        <f t="shared" si="5"/>
        <v>2050</v>
      </c>
      <c r="E73" s="74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" t="str">
        <f>Adfærd!A19</f>
        <v>Kartofler</v>
      </c>
      <c r="D74">
        <f t="shared" si="5"/>
        <v>2050</v>
      </c>
      <c r="E74" s="74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" t="str">
        <f>Adfærd!A20</f>
        <v>Svinekød</v>
      </c>
      <c r="D75">
        <f t="shared" si="5"/>
        <v>2050</v>
      </c>
      <c r="E75" s="74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" t="str">
        <f>Adfærd!A21</f>
        <v>Oksekød</v>
      </c>
      <c r="D76">
        <f t="shared" si="5"/>
        <v>2050</v>
      </c>
      <c r="E76" s="74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" t="str">
        <f>Adfærd!A22</f>
        <v>Bælgsæd</v>
      </c>
      <c r="D77">
        <f t="shared" si="5"/>
        <v>2050</v>
      </c>
      <c r="E77" s="74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" t="str">
        <f>Adfærd!A23</f>
        <v>Muslinger</v>
      </c>
      <c r="D78">
        <f t="shared" si="5"/>
        <v>2050</v>
      </c>
      <c r="E78" s="74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" t="str">
        <f>Adfærd!A24</f>
        <v>Tang</v>
      </c>
      <c r="D79">
        <f t="shared" si="5"/>
        <v>2050</v>
      </c>
      <c r="E79" s="74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" t="str">
        <f>Adfærd!A25</f>
        <v>Kunstigt kød</v>
      </c>
      <c r="D80">
        <f t="shared" si="5"/>
        <v>2050</v>
      </c>
      <c r="E80" s="74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" t="str">
        <f>Adfærd!A26</f>
        <v>Mejeriprodukter</v>
      </c>
      <c r="D81">
        <f t="shared" si="5"/>
        <v>2050</v>
      </c>
      <c r="E81" s="74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" t="str">
        <f>Adfærd!A27</f>
        <v>Fjerkrækød</v>
      </c>
      <c r="D82">
        <f t="shared" si="5"/>
        <v>2050</v>
      </c>
      <c r="E82" s="74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" t="str">
        <f>Adfærd!A28</f>
        <v>Æg</v>
      </c>
      <c r="D83">
        <f t="shared" si="5"/>
        <v>2050</v>
      </c>
      <c r="E83" s="74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" t="str">
        <f>Adfærd!A29</f>
        <v>Frugt</v>
      </c>
      <c r="D84">
        <f t="shared" si="5"/>
        <v>2050</v>
      </c>
      <c r="E84" s="74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" t="str">
        <f>Adfærd!A30</f>
        <v>Fisk</v>
      </c>
      <c r="D85">
        <f t="shared" si="5"/>
        <v>2050</v>
      </c>
      <c r="E85" s="74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t="str">
        <f>Biogasanlæg!A20</f>
        <v>Halm</v>
      </c>
      <c r="D94">
        <f t="shared" si="6"/>
        <v>2019</v>
      </c>
      <c r="E94" s="286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4992012.841626931</v>
      </c>
    </row>
    <row r="104" spans="1:5" x14ac:dyDescent="0.25">
      <c r="A104" t="s">
        <v>109</v>
      </c>
      <c r="B104" t="s">
        <v>23</v>
      </c>
      <c r="C104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5741886.057452837</v>
      </c>
    </row>
    <row r="105" spans="1:5" x14ac:dyDescent="0.25">
      <c r="A105" t="s">
        <v>109</v>
      </c>
      <c r="B105" t="s">
        <v>23</v>
      </c>
      <c r="C105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6063.3754879128683</v>
      </c>
    </row>
    <row r="106" spans="1:5" x14ac:dyDescent="0.25">
      <c r="A106" t="s">
        <v>109</v>
      </c>
      <c r="B106" t="s">
        <v>23</v>
      </c>
      <c r="C106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2943192.4535522191</v>
      </c>
    </row>
    <row r="107" spans="1:5" x14ac:dyDescent="0.25">
      <c r="A107" t="s">
        <v>109</v>
      </c>
      <c r="B107" t="s">
        <v>23</v>
      </c>
      <c r="C107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1849052.8375378796</v>
      </c>
    </row>
    <row r="110" spans="1:5" x14ac:dyDescent="0.25">
      <c r="A110" t="s">
        <v>109</v>
      </c>
      <c r="B110" t="s">
        <v>23</v>
      </c>
      <c r="C110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401960.68859899876</v>
      </c>
    </row>
    <row r="117" spans="1:5" x14ac:dyDescent="0.25">
      <c r="A117" t="s">
        <v>109</v>
      </c>
      <c r="B117" t="s">
        <v>23</v>
      </c>
      <c r="C117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96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0</v>
      </c>
    </row>
    <row r="121" spans="1:5" x14ac:dyDescent="0.25">
      <c r="A121" t="s">
        <v>109</v>
      </c>
      <c r="B121" t="s">
        <v>23</v>
      </c>
      <c r="C121" s="96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706355.15146112291</v>
      </c>
    </row>
    <row r="122" spans="1:5" x14ac:dyDescent="0.25">
      <c r="A122" t="s">
        <v>109</v>
      </c>
      <c r="B122" t="s">
        <v>23</v>
      </c>
      <c r="C122" s="96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5056.5736535095893</v>
      </c>
    </row>
    <row r="123" spans="1:5" x14ac:dyDescent="0.25">
      <c r="A123" t="s">
        <v>109</v>
      </c>
      <c r="B123" t="s">
        <v>23</v>
      </c>
      <c r="C123" s="96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3608845.3408527621</v>
      </c>
    </row>
    <row r="124" spans="1:5" x14ac:dyDescent="0.25">
      <c r="A124" t="s">
        <v>109</v>
      </c>
      <c r="B124" t="s">
        <v>23</v>
      </c>
      <c r="C124" s="96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96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96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356969.53284222382</v>
      </c>
    </row>
    <row r="127" spans="1:5" x14ac:dyDescent="0.25">
      <c r="A127" t="s">
        <v>109</v>
      </c>
      <c r="B127" t="s">
        <v>23</v>
      </c>
      <c r="C127" s="96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96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96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96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96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96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96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523381.79192356829</v>
      </c>
    </row>
    <row r="134" spans="1:5" x14ac:dyDescent="0.25">
      <c r="A134" t="s">
        <v>109</v>
      </c>
      <c r="B134" t="s">
        <v>23</v>
      </c>
      <c r="C134" s="96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96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96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96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96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96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96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96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96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96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96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96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96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96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96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96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96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96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96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96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96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723328.25937466533</v>
      </c>
    </row>
    <row r="155" spans="1:5" x14ac:dyDescent="0.25">
      <c r="A155" t="s">
        <v>109</v>
      </c>
      <c r="B155" t="s">
        <v>24</v>
      </c>
      <c r="C155" s="96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408098.865991503</v>
      </c>
    </row>
    <row r="156" spans="1:5" x14ac:dyDescent="0.25">
      <c r="A156" t="s">
        <v>109</v>
      </c>
      <c r="B156" t="s">
        <v>24</v>
      </c>
      <c r="C156" s="96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508.89686663358577</v>
      </c>
    </row>
    <row r="157" spans="1:5" x14ac:dyDescent="0.25">
      <c r="A157" t="s">
        <v>109</v>
      </c>
      <c r="B157" t="s">
        <v>24</v>
      </c>
      <c r="C157" s="96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2505393.7154740216</v>
      </c>
    </row>
    <row r="158" spans="1:5" x14ac:dyDescent="0.25">
      <c r="A158" t="s">
        <v>109</v>
      </c>
      <c r="B158" t="s">
        <v>24</v>
      </c>
      <c r="C158" s="96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96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96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257091.11156686768</v>
      </c>
    </row>
    <row r="161" spans="1:5" x14ac:dyDescent="0.25">
      <c r="A161" t="s">
        <v>109</v>
      </c>
      <c r="B161" t="s">
        <v>24</v>
      </c>
      <c r="C161" s="96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96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96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96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96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96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96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348039.31140100124</v>
      </c>
    </row>
    <row r="168" spans="1:5" x14ac:dyDescent="0.25">
      <c r="A168" t="s">
        <v>109</v>
      </c>
      <c r="B168" t="s">
        <v>24</v>
      </c>
      <c r="C168" s="96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96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96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96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0</v>
      </c>
    </row>
    <row r="172" spans="1:5" x14ac:dyDescent="0.25">
      <c r="A172" t="s">
        <v>109</v>
      </c>
      <c r="B172" t="s">
        <v>24</v>
      </c>
      <c r="C172" s="96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50203.492966284524</v>
      </c>
    </row>
    <row r="173" spans="1:5" x14ac:dyDescent="0.25">
      <c r="A173" t="s">
        <v>109</v>
      </c>
      <c r="B173" t="s">
        <v>24</v>
      </c>
      <c r="C173" s="96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424.39636029513713</v>
      </c>
    </row>
    <row r="174" spans="1:5" x14ac:dyDescent="0.25">
      <c r="A174" t="s">
        <v>109</v>
      </c>
      <c r="B174" t="s">
        <v>24</v>
      </c>
      <c r="C174" s="96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3143088.7983713108</v>
      </c>
    </row>
    <row r="175" spans="1:5" x14ac:dyDescent="0.25">
      <c r="A175" t="s">
        <v>109</v>
      </c>
      <c r="B175" t="s">
        <v>24</v>
      </c>
      <c r="C175" s="96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96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96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50132.50913145845</v>
      </c>
    </row>
    <row r="178" spans="1:18" x14ac:dyDescent="0.25">
      <c r="A178" t="s">
        <v>109</v>
      </c>
      <c r="B178" t="s">
        <v>24</v>
      </c>
      <c r="C178" s="96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96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96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96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96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96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96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456618.20807643177</v>
      </c>
    </row>
    <row r="185" spans="1:18" x14ac:dyDescent="0.25">
      <c r="A185" t="s">
        <v>109</v>
      </c>
      <c r="B185" t="s">
        <v>24</v>
      </c>
      <c r="C185" s="96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96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96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95" t="s">
        <v>112</v>
      </c>
      <c r="B188" t="s">
        <v>23</v>
      </c>
      <c r="C188" s="96" t="str">
        <f>Fodersammensætning!A3</f>
        <v>Korn</v>
      </c>
      <c r="D188">
        <f t="shared" ref="D188:D202" si="12">År1</f>
        <v>2019</v>
      </c>
      <c r="E188" s="135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293"/>
    </row>
    <row r="189" spans="1:18" x14ac:dyDescent="0.25">
      <c r="A189" s="95" t="s">
        <v>112</v>
      </c>
      <c r="B189" t="s">
        <v>23</v>
      </c>
      <c r="C189" s="96" t="str">
        <f>Fodersammensætning!A4</f>
        <v>Halm</v>
      </c>
      <c r="D189">
        <f t="shared" si="12"/>
        <v>2019</v>
      </c>
      <c r="E189" s="135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4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95" t="s">
        <v>112</v>
      </c>
      <c r="B190" t="s">
        <v>23</v>
      </c>
      <c r="C190" s="96" t="str">
        <f>Fodersammensætning!A5</f>
        <v>Kartofler</v>
      </c>
      <c r="D190">
        <f t="shared" si="12"/>
        <v>2019</v>
      </c>
      <c r="E190" s="135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95" t="s">
        <v>112</v>
      </c>
      <c r="B191" t="s">
        <v>23</v>
      </c>
      <c r="C191" s="96" t="str">
        <f>Fodersammensætning!A6</f>
        <v>Bælgsæd</v>
      </c>
      <c r="D191">
        <f t="shared" si="12"/>
        <v>2019</v>
      </c>
      <c r="E191" s="135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95" t="s">
        <v>112</v>
      </c>
      <c r="B192" t="s">
        <v>23</v>
      </c>
      <c r="C192" s="96" t="str">
        <f>Fodersammensætning!A7</f>
        <v>Roer</v>
      </c>
      <c r="D192">
        <f t="shared" si="12"/>
        <v>2019</v>
      </c>
      <c r="E192" s="135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95" t="s">
        <v>112</v>
      </c>
      <c r="B193" t="s">
        <v>23</v>
      </c>
      <c r="C193" s="96" t="str">
        <f>Fodersammensætning!A8</f>
        <v>Majs</v>
      </c>
      <c r="D193">
        <f t="shared" si="12"/>
        <v>2019</v>
      </c>
      <c r="E193" s="135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95" t="s">
        <v>112</v>
      </c>
      <c r="B194" t="s">
        <v>23</v>
      </c>
      <c r="C194" s="96" t="str">
        <f>Fodersammensætning!A9</f>
        <v>Rapskage</v>
      </c>
      <c r="D194">
        <f t="shared" si="12"/>
        <v>2019</v>
      </c>
      <c r="E194" s="135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95" t="s">
        <v>112</v>
      </c>
      <c r="B195" t="s">
        <v>23</v>
      </c>
      <c r="C195" s="96" t="str">
        <f>Fodersammensætning!A10</f>
        <v>Tang</v>
      </c>
      <c r="D195">
        <f t="shared" si="12"/>
        <v>2019</v>
      </c>
      <c r="E195" s="135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95" t="s">
        <v>112</v>
      </c>
      <c r="B196" t="s">
        <v>23</v>
      </c>
      <c r="C196" s="96" t="str">
        <f>Fodersammensætning!A11</f>
        <v>Muslinger</v>
      </c>
      <c r="D196">
        <f t="shared" si="12"/>
        <v>2019</v>
      </c>
      <c r="E196" s="135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95" t="s">
        <v>112</v>
      </c>
      <c r="B197" t="s">
        <v>23</v>
      </c>
      <c r="C197" s="96" t="str">
        <f>Fodersammensætning!A12</f>
        <v>Græs</v>
      </c>
      <c r="D197">
        <f t="shared" si="12"/>
        <v>2019</v>
      </c>
      <c r="E197" s="135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95" t="s">
        <v>112</v>
      </c>
      <c r="B198" t="s">
        <v>23</v>
      </c>
      <c r="C198" s="96" t="str">
        <f>Fodersammensætning!A13</f>
        <v>Mælk til foder</v>
      </c>
      <c r="D198">
        <f t="shared" si="12"/>
        <v>2019</v>
      </c>
      <c r="E198" s="135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95" t="s">
        <v>112</v>
      </c>
      <c r="B199" t="s">
        <v>23</v>
      </c>
      <c r="C199" s="96" t="str">
        <f>Fodersammensætning!A14</f>
        <v>Fiberfraktion</v>
      </c>
      <c r="D199">
        <f t="shared" si="12"/>
        <v>2019</v>
      </c>
      <c r="E199" s="135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95" t="s">
        <v>112</v>
      </c>
      <c r="B200" t="s">
        <v>23</v>
      </c>
      <c r="C200" s="96" t="str">
        <f>Fodersammensætning!A15</f>
        <v>Græsprotein</v>
      </c>
      <c r="D200">
        <f t="shared" si="12"/>
        <v>2019</v>
      </c>
      <c r="E200" s="135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95" t="s">
        <v>112</v>
      </c>
      <c r="B201" t="s">
        <v>23</v>
      </c>
      <c r="C201" s="96" t="str">
        <f>Fodersammensætning!A16</f>
        <v>Slagteriaffald til foder</v>
      </c>
      <c r="D201">
        <f t="shared" si="12"/>
        <v>2019</v>
      </c>
      <c r="E201" s="135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95" t="s">
        <v>112</v>
      </c>
      <c r="B202" t="s">
        <v>23</v>
      </c>
      <c r="C202" s="96" t="str">
        <f>Fodersammensætning!A17</f>
        <v>Import af foder</v>
      </c>
      <c r="D202">
        <f t="shared" si="12"/>
        <v>2019</v>
      </c>
      <c r="E202" s="135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95" t="s">
        <v>112</v>
      </c>
      <c r="B203" t="s">
        <v>23</v>
      </c>
      <c r="C203" s="96" t="str">
        <f>C188</f>
        <v>Korn</v>
      </c>
      <c r="D203">
        <f t="shared" ref="D203:D217" si="13">År2</f>
        <v>2030</v>
      </c>
      <c r="E203" s="135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3972505.784940829</v>
      </c>
      <c r="G203" s="293"/>
    </row>
    <row r="204" spans="1:7" x14ac:dyDescent="0.25">
      <c r="A204" s="95" t="s">
        <v>112</v>
      </c>
      <c r="B204" t="s">
        <v>23</v>
      </c>
      <c r="C204" s="96" t="str">
        <f t="shared" ref="C204:C267" si="14">C189</f>
        <v>Halm</v>
      </c>
      <c r="D204">
        <f t="shared" si="13"/>
        <v>2030</v>
      </c>
      <c r="E204" s="135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522363.62828034989</v>
      </c>
      <c r="G204" s="293"/>
    </row>
    <row r="205" spans="1:7" x14ac:dyDescent="0.25">
      <c r="A205" s="95" t="s">
        <v>112</v>
      </c>
      <c r="B205" t="s">
        <v>23</v>
      </c>
      <c r="C205" s="96" t="str">
        <f t="shared" si="14"/>
        <v>Kartofler</v>
      </c>
      <c r="D205">
        <f t="shared" si="13"/>
        <v>2030</v>
      </c>
      <c r="E205" s="135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293"/>
    </row>
    <row r="206" spans="1:7" x14ac:dyDescent="0.25">
      <c r="A206" s="95" t="s">
        <v>112</v>
      </c>
      <c r="B206" t="s">
        <v>23</v>
      </c>
      <c r="C206" s="96" t="str">
        <f t="shared" si="14"/>
        <v>Bælgsæd</v>
      </c>
      <c r="D206">
        <f t="shared" si="13"/>
        <v>2030</v>
      </c>
      <c r="E206" s="135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43580.743031500795</v>
      </c>
      <c r="G206" s="293"/>
    </row>
    <row r="207" spans="1:7" x14ac:dyDescent="0.25">
      <c r="A207" s="95" t="s">
        <v>112</v>
      </c>
      <c r="B207" t="s">
        <v>23</v>
      </c>
      <c r="C207" s="96" t="str">
        <f t="shared" si="14"/>
        <v>Roer</v>
      </c>
      <c r="D207">
        <f t="shared" si="13"/>
        <v>2030</v>
      </c>
      <c r="E207" s="135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568365.52370248956</v>
      </c>
      <c r="G207" s="293"/>
    </row>
    <row r="208" spans="1:7" x14ac:dyDescent="0.25">
      <c r="A208" s="95" t="s">
        <v>112</v>
      </c>
      <c r="B208" t="s">
        <v>23</v>
      </c>
      <c r="C208" s="96" t="str">
        <f t="shared" si="14"/>
        <v>Majs</v>
      </c>
      <c r="D208">
        <f t="shared" si="13"/>
        <v>2030</v>
      </c>
      <c r="E208" s="135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3822394.3367212149</v>
      </c>
      <c r="G208" s="293"/>
    </row>
    <row r="209" spans="1:7" x14ac:dyDescent="0.25">
      <c r="A209" s="95" t="s">
        <v>112</v>
      </c>
      <c r="B209" t="s">
        <v>23</v>
      </c>
      <c r="C209" s="96" t="str">
        <f t="shared" si="14"/>
        <v>Rapskage</v>
      </c>
      <c r="D209">
        <f t="shared" si="13"/>
        <v>2030</v>
      </c>
      <c r="E209" s="135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144663.85534067627</v>
      </c>
      <c r="G209" s="293"/>
    </row>
    <row r="210" spans="1:7" x14ac:dyDescent="0.25">
      <c r="A210" s="95" t="s">
        <v>112</v>
      </c>
      <c r="B210" t="s">
        <v>23</v>
      </c>
      <c r="C210" s="96" t="str">
        <f t="shared" si="14"/>
        <v>Tang</v>
      </c>
      <c r="D210">
        <f t="shared" si="13"/>
        <v>2030</v>
      </c>
      <c r="E210" s="135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293"/>
    </row>
    <row r="211" spans="1:7" x14ac:dyDescent="0.25">
      <c r="A211" s="95" t="s">
        <v>112</v>
      </c>
      <c r="B211" t="s">
        <v>23</v>
      </c>
      <c r="C211" s="96" t="str">
        <f t="shared" si="14"/>
        <v>Muslinger</v>
      </c>
      <c r="D211">
        <f t="shared" si="13"/>
        <v>2030</v>
      </c>
      <c r="E211" s="135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293"/>
    </row>
    <row r="212" spans="1:7" x14ac:dyDescent="0.25">
      <c r="A212" s="95" t="s">
        <v>112</v>
      </c>
      <c r="B212" t="s">
        <v>23</v>
      </c>
      <c r="C212" s="96" t="str">
        <f t="shared" si="14"/>
        <v>Græs</v>
      </c>
      <c r="D212">
        <f t="shared" si="13"/>
        <v>2030</v>
      </c>
      <c r="E212" s="135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8268840.7021296145</v>
      </c>
      <c r="G212" s="293"/>
    </row>
    <row r="213" spans="1:7" x14ac:dyDescent="0.25">
      <c r="A213" s="95" t="s">
        <v>112</v>
      </c>
      <c r="B213" t="s">
        <v>23</v>
      </c>
      <c r="C213" s="96" t="str">
        <f t="shared" si="14"/>
        <v>Mælk til foder</v>
      </c>
      <c r="D213">
        <f t="shared" si="13"/>
        <v>2030</v>
      </c>
      <c r="E213" s="135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1024147.4612402687</v>
      </c>
      <c r="G213" s="293"/>
    </row>
    <row r="214" spans="1:7" x14ac:dyDescent="0.25">
      <c r="A214" s="95" t="s">
        <v>112</v>
      </c>
      <c r="B214" t="s">
        <v>23</v>
      </c>
      <c r="C214" s="96" t="str">
        <f t="shared" si="14"/>
        <v>Fiberfraktion</v>
      </c>
      <c r="D214">
        <f t="shared" si="13"/>
        <v>2030</v>
      </c>
      <c r="E214" s="135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293"/>
    </row>
    <row r="215" spans="1:7" x14ac:dyDescent="0.25">
      <c r="A215" s="95" t="s">
        <v>112</v>
      </c>
      <c r="B215" t="s">
        <v>23</v>
      </c>
      <c r="C215" s="96" t="str">
        <f t="shared" si="14"/>
        <v>Græsprotein</v>
      </c>
      <c r="D215">
        <f t="shared" si="13"/>
        <v>2030</v>
      </c>
      <c r="E215" s="135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293"/>
    </row>
    <row r="216" spans="1:7" x14ac:dyDescent="0.25">
      <c r="A216" s="95" t="s">
        <v>112</v>
      </c>
      <c r="B216" t="s">
        <v>23</v>
      </c>
      <c r="C216" s="96" t="str">
        <f t="shared" si="14"/>
        <v>Slagteriaffald til foder</v>
      </c>
      <c r="D216">
        <f t="shared" si="13"/>
        <v>2030</v>
      </c>
      <c r="E216" s="135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26632.676297028265</v>
      </c>
      <c r="G216" s="293"/>
    </row>
    <row r="217" spans="1:7" x14ac:dyDescent="0.25">
      <c r="A217" s="95" t="s">
        <v>112</v>
      </c>
      <c r="B217" t="s">
        <v>23</v>
      </c>
      <c r="C217" s="96" t="str">
        <f t="shared" si="14"/>
        <v>Import af foder</v>
      </c>
      <c r="D217">
        <f t="shared" si="13"/>
        <v>2030</v>
      </c>
      <c r="E217" s="135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3262502.8463859628</v>
      </c>
      <c r="G217" s="293"/>
    </row>
    <row r="218" spans="1:7" x14ac:dyDescent="0.25">
      <c r="A218" s="95" t="s">
        <v>112</v>
      </c>
      <c r="B218" t="s">
        <v>23</v>
      </c>
      <c r="C218" s="96" t="str">
        <f t="shared" si="14"/>
        <v>Korn</v>
      </c>
      <c r="D218">
        <f t="shared" ref="D218:D232" si="15">År3</f>
        <v>2050</v>
      </c>
      <c r="E218" s="135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505761.3902957458</v>
      </c>
    </row>
    <row r="219" spans="1:7" x14ac:dyDescent="0.25">
      <c r="A219" s="95" t="s">
        <v>112</v>
      </c>
      <c r="B219" t="s">
        <v>23</v>
      </c>
      <c r="C219" s="96" t="str">
        <f t="shared" si="14"/>
        <v>Halm</v>
      </c>
      <c r="D219">
        <f t="shared" si="15"/>
        <v>2050</v>
      </c>
      <c r="E219" s="135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66504.964166574544</v>
      </c>
    </row>
    <row r="220" spans="1:7" x14ac:dyDescent="0.25">
      <c r="A220" s="95" t="s">
        <v>112</v>
      </c>
      <c r="B220" t="s">
        <v>23</v>
      </c>
      <c r="C220" s="96" t="str">
        <f t="shared" si="14"/>
        <v>Kartofler</v>
      </c>
      <c r="D220">
        <f t="shared" si="15"/>
        <v>2050</v>
      </c>
      <c r="E220" s="135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95" t="s">
        <v>112</v>
      </c>
      <c r="B221" t="s">
        <v>23</v>
      </c>
      <c r="C221" s="96" t="str">
        <f t="shared" si="14"/>
        <v>Bælgsæd</v>
      </c>
      <c r="D221">
        <f t="shared" si="15"/>
        <v>2050</v>
      </c>
      <c r="E221" s="135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5548.5022247895331</v>
      </c>
    </row>
    <row r="222" spans="1:7" x14ac:dyDescent="0.25">
      <c r="A222" s="95" t="s">
        <v>112</v>
      </c>
      <c r="B222" t="s">
        <v>23</v>
      </c>
      <c r="C222" s="96" t="str">
        <f t="shared" si="14"/>
        <v>Roer</v>
      </c>
      <c r="D222">
        <f t="shared" si="15"/>
        <v>2050</v>
      </c>
      <c r="E222" s="135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72361.716514963497</v>
      </c>
    </row>
    <row r="223" spans="1:7" x14ac:dyDescent="0.25">
      <c r="A223" s="95" t="s">
        <v>112</v>
      </c>
      <c r="B223" t="s">
        <v>23</v>
      </c>
      <c r="C223" s="96" t="str">
        <f t="shared" si="14"/>
        <v>Majs</v>
      </c>
      <c r="D223">
        <f t="shared" si="15"/>
        <v>2050</v>
      </c>
      <c r="E223" s="135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486649.88263258187</v>
      </c>
    </row>
    <row r="224" spans="1:7" x14ac:dyDescent="0.25">
      <c r="A224" s="95" t="s">
        <v>112</v>
      </c>
      <c r="B224" t="s">
        <v>23</v>
      </c>
      <c r="C224" s="96" t="str">
        <f t="shared" si="14"/>
        <v>Rapskage</v>
      </c>
      <c r="D224">
        <f t="shared" si="15"/>
        <v>2050</v>
      </c>
      <c r="E224" s="135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18417.944885065255</v>
      </c>
    </row>
    <row r="225" spans="1:5" x14ac:dyDescent="0.25">
      <c r="A225" s="95" t="s">
        <v>112</v>
      </c>
      <c r="B225" t="s">
        <v>23</v>
      </c>
      <c r="C225" s="96" t="str">
        <f t="shared" si="14"/>
        <v>Tang</v>
      </c>
      <c r="D225">
        <f t="shared" si="15"/>
        <v>2050</v>
      </c>
      <c r="E225" s="135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95" t="s">
        <v>112</v>
      </c>
      <c r="B226" t="s">
        <v>23</v>
      </c>
      <c r="C226" s="96" t="str">
        <f t="shared" si="14"/>
        <v>Muslinger</v>
      </c>
      <c r="D226">
        <f t="shared" si="15"/>
        <v>2050</v>
      </c>
      <c r="E226" s="135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95" t="s">
        <v>112</v>
      </c>
      <c r="B227" t="s">
        <v>23</v>
      </c>
      <c r="C227" s="96" t="str">
        <f t="shared" si="14"/>
        <v>Græs</v>
      </c>
      <c r="D227">
        <f t="shared" si="15"/>
        <v>2050</v>
      </c>
      <c r="E227" s="135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1052751.2346229136</v>
      </c>
    </row>
    <row r="228" spans="1:5" x14ac:dyDescent="0.25">
      <c r="A228" s="95" t="s">
        <v>112</v>
      </c>
      <c r="B228" t="s">
        <v>23</v>
      </c>
      <c r="C228" s="96" t="str">
        <f t="shared" si="14"/>
        <v>Mælk til foder</v>
      </c>
      <c r="D228">
        <f t="shared" si="15"/>
        <v>2050</v>
      </c>
      <c r="E228" s="135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130389.80228255401</v>
      </c>
    </row>
    <row r="229" spans="1:5" x14ac:dyDescent="0.25">
      <c r="A229" s="95" t="s">
        <v>112</v>
      </c>
      <c r="B229" t="s">
        <v>23</v>
      </c>
      <c r="C229" s="96" t="str">
        <f t="shared" si="14"/>
        <v>Fiberfraktion</v>
      </c>
      <c r="D229">
        <f t="shared" si="15"/>
        <v>2050</v>
      </c>
      <c r="E229" s="135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95" t="s">
        <v>112</v>
      </c>
      <c r="B230" t="s">
        <v>23</v>
      </c>
      <c r="C230" s="96" t="str">
        <f t="shared" si="14"/>
        <v>Græsprotein</v>
      </c>
      <c r="D230">
        <f t="shared" si="15"/>
        <v>2050</v>
      </c>
      <c r="E230" s="135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95" t="s">
        <v>112</v>
      </c>
      <c r="B231" t="s">
        <v>23</v>
      </c>
      <c r="C231" s="96" t="str">
        <f t="shared" si="14"/>
        <v>Slagteriaffald til foder</v>
      </c>
      <c r="D231">
        <f t="shared" si="15"/>
        <v>2050</v>
      </c>
      <c r="E231" s="135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3390.7513595936034</v>
      </c>
    </row>
    <row r="232" spans="1:5" x14ac:dyDescent="0.25">
      <c r="A232" s="95" t="s">
        <v>112</v>
      </c>
      <c r="B232" t="s">
        <v>23</v>
      </c>
      <c r="C232" s="96" t="str">
        <f t="shared" si="14"/>
        <v>Import af foder</v>
      </c>
      <c r="D232">
        <f t="shared" si="15"/>
        <v>2050</v>
      </c>
      <c r="E232" s="135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415367.04155021644</v>
      </c>
    </row>
    <row r="233" spans="1:5" x14ac:dyDescent="0.25">
      <c r="A233" s="95" t="s">
        <v>112</v>
      </c>
      <c r="B233" t="s">
        <v>24</v>
      </c>
      <c r="C233" s="96" t="str">
        <f t="shared" si="14"/>
        <v>Korn</v>
      </c>
      <c r="D233">
        <f t="shared" ref="D233:D247" si="16">År1</f>
        <v>2019</v>
      </c>
      <c r="E233" s="135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95" t="s">
        <v>112</v>
      </c>
      <c r="B234" t="s">
        <v>24</v>
      </c>
      <c r="C234" s="96" t="str">
        <f t="shared" si="14"/>
        <v>Halm</v>
      </c>
      <c r="D234">
        <f t="shared" si="16"/>
        <v>2019</v>
      </c>
      <c r="E234" s="135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95" t="s">
        <v>112</v>
      </c>
      <c r="B235" t="s">
        <v>24</v>
      </c>
      <c r="C235" s="96" t="str">
        <f t="shared" si="14"/>
        <v>Kartofler</v>
      </c>
      <c r="D235">
        <f t="shared" si="16"/>
        <v>2019</v>
      </c>
      <c r="E235" s="135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95" t="s">
        <v>112</v>
      </c>
      <c r="B236" t="s">
        <v>24</v>
      </c>
      <c r="C236" s="96" t="str">
        <f t="shared" si="14"/>
        <v>Bælgsæd</v>
      </c>
      <c r="D236">
        <f t="shared" si="16"/>
        <v>2019</v>
      </c>
      <c r="E236" s="135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95" t="s">
        <v>112</v>
      </c>
      <c r="B237" t="s">
        <v>24</v>
      </c>
      <c r="C237" s="96" t="str">
        <f t="shared" si="14"/>
        <v>Roer</v>
      </c>
      <c r="D237">
        <f t="shared" si="16"/>
        <v>2019</v>
      </c>
      <c r="E237" s="135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95" t="s">
        <v>112</v>
      </c>
      <c r="B238" t="s">
        <v>24</v>
      </c>
      <c r="C238" s="96" t="str">
        <f t="shared" si="14"/>
        <v>Majs</v>
      </c>
      <c r="D238">
        <f t="shared" si="16"/>
        <v>2019</v>
      </c>
      <c r="E238" s="135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95" t="s">
        <v>112</v>
      </c>
      <c r="B239" t="s">
        <v>24</v>
      </c>
      <c r="C239" s="96" t="str">
        <f t="shared" si="14"/>
        <v>Rapskage</v>
      </c>
      <c r="D239">
        <f t="shared" si="16"/>
        <v>2019</v>
      </c>
      <c r="E239" s="135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95" t="s">
        <v>112</v>
      </c>
      <c r="B240" t="s">
        <v>24</v>
      </c>
      <c r="C240" s="96" t="str">
        <f t="shared" si="14"/>
        <v>Tang</v>
      </c>
      <c r="D240">
        <f t="shared" si="16"/>
        <v>2019</v>
      </c>
      <c r="E240" s="135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95" t="s">
        <v>112</v>
      </c>
      <c r="B241" t="s">
        <v>24</v>
      </c>
      <c r="C241" s="96" t="str">
        <f t="shared" si="14"/>
        <v>Muslinger</v>
      </c>
      <c r="D241">
        <f t="shared" si="16"/>
        <v>2019</v>
      </c>
      <c r="E241" s="135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95" t="s">
        <v>112</v>
      </c>
      <c r="B242" t="s">
        <v>24</v>
      </c>
      <c r="C242" s="96" t="str">
        <f t="shared" si="14"/>
        <v>Græs</v>
      </c>
      <c r="D242">
        <f t="shared" si="16"/>
        <v>2019</v>
      </c>
      <c r="E242" s="135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95" t="s">
        <v>112</v>
      </c>
      <c r="B243" t="s">
        <v>24</v>
      </c>
      <c r="C243" s="96" t="str">
        <f t="shared" si="14"/>
        <v>Mælk til foder</v>
      </c>
      <c r="D243">
        <f t="shared" si="16"/>
        <v>2019</v>
      </c>
      <c r="E243" s="135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95" t="s">
        <v>112</v>
      </c>
      <c r="B244" t="s">
        <v>24</v>
      </c>
      <c r="C244" s="96" t="str">
        <f t="shared" si="14"/>
        <v>Fiberfraktion</v>
      </c>
      <c r="D244">
        <f t="shared" si="16"/>
        <v>2019</v>
      </c>
      <c r="E244" s="135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95" t="s">
        <v>112</v>
      </c>
      <c r="B245" t="s">
        <v>24</v>
      </c>
      <c r="C245" s="96" t="str">
        <f t="shared" si="14"/>
        <v>Græsprotein</v>
      </c>
      <c r="D245">
        <f t="shared" si="16"/>
        <v>2019</v>
      </c>
      <c r="E245" s="135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95" t="s">
        <v>112</v>
      </c>
      <c r="B246" t="s">
        <v>24</v>
      </c>
      <c r="C246" s="96" t="str">
        <f t="shared" si="14"/>
        <v>Slagteriaffald til foder</v>
      </c>
      <c r="D246">
        <f t="shared" si="16"/>
        <v>2019</v>
      </c>
      <c r="E246" s="135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95" t="s">
        <v>112</v>
      </c>
      <c r="B247" t="s">
        <v>24</v>
      </c>
      <c r="C247" s="96" t="str">
        <f t="shared" si="14"/>
        <v>Import af foder</v>
      </c>
      <c r="D247">
        <f t="shared" si="16"/>
        <v>2019</v>
      </c>
      <c r="E247" s="135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95" t="s">
        <v>112</v>
      </c>
      <c r="B248" t="s">
        <v>24</v>
      </c>
      <c r="C248" s="96" t="str">
        <f t="shared" si="14"/>
        <v>Korn</v>
      </c>
      <c r="D248">
        <f t="shared" ref="D248:D262" si="17">År2</f>
        <v>2030</v>
      </c>
      <c r="E248" s="135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485809.96937735338</v>
      </c>
    </row>
    <row r="249" spans="1:5" x14ac:dyDescent="0.25">
      <c r="A249" s="95" t="s">
        <v>112</v>
      </c>
      <c r="B249" t="s">
        <v>24</v>
      </c>
      <c r="C249" s="96" t="str">
        <f t="shared" si="14"/>
        <v>Halm</v>
      </c>
      <c r="D249">
        <f t="shared" si="17"/>
        <v>2030</v>
      </c>
      <c r="E249" s="135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63881.457195285089</v>
      </c>
    </row>
    <row r="250" spans="1:5" x14ac:dyDescent="0.25">
      <c r="A250" s="95" t="s">
        <v>112</v>
      </c>
      <c r="B250" t="s">
        <v>24</v>
      </c>
      <c r="C250" s="96" t="str">
        <f t="shared" si="14"/>
        <v>Kartofler</v>
      </c>
      <c r="D250">
        <f t="shared" si="17"/>
        <v>2030</v>
      </c>
      <c r="E250" s="135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95" t="s">
        <v>112</v>
      </c>
      <c r="B251" t="s">
        <v>24</v>
      </c>
      <c r="C251" s="96" t="str">
        <f t="shared" si="14"/>
        <v>Bælgsæd</v>
      </c>
      <c r="D251">
        <f t="shared" si="17"/>
        <v>2030</v>
      </c>
      <c r="E251" s="135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5329.6233117734955</v>
      </c>
    </row>
    <row r="252" spans="1:5" x14ac:dyDescent="0.25">
      <c r="A252" s="95" t="s">
        <v>112</v>
      </c>
      <c r="B252" t="s">
        <v>24</v>
      </c>
      <c r="C252" s="96" t="str">
        <f t="shared" si="14"/>
        <v>Roer</v>
      </c>
      <c r="D252">
        <f t="shared" si="17"/>
        <v>2030</v>
      </c>
      <c r="E252" s="135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69507.170691045991</v>
      </c>
    </row>
    <row r="253" spans="1:5" x14ac:dyDescent="0.25">
      <c r="A253" s="95" t="s">
        <v>112</v>
      </c>
      <c r="B253" t="s">
        <v>24</v>
      </c>
      <c r="C253" s="96" t="str">
        <f t="shared" si="14"/>
        <v>Majs</v>
      </c>
      <c r="D253">
        <f t="shared" si="17"/>
        <v>2030</v>
      </c>
      <c r="E253" s="135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467452.37797013356</v>
      </c>
    </row>
    <row r="254" spans="1:5" x14ac:dyDescent="0.25">
      <c r="A254" s="95" t="s">
        <v>112</v>
      </c>
      <c r="B254" t="s">
        <v>24</v>
      </c>
      <c r="C254" s="96" t="str">
        <f t="shared" si="14"/>
        <v>Rapskage</v>
      </c>
      <c r="D254">
        <f t="shared" si="17"/>
        <v>2030</v>
      </c>
      <c r="E254" s="135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17691.388493248127</v>
      </c>
    </row>
    <row r="255" spans="1:5" x14ac:dyDescent="0.25">
      <c r="A255" s="95" t="s">
        <v>112</v>
      </c>
      <c r="B255" t="s">
        <v>24</v>
      </c>
      <c r="C255" s="96" t="str">
        <f t="shared" si="14"/>
        <v>Tang</v>
      </c>
      <c r="D255">
        <f t="shared" si="17"/>
        <v>2030</v>
      </c>
      <c r="E255" s="135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95" t="s">
        <v>112</v>
      </c>
      <c r="B256" t="s">
        <v>24</v>
      </c>
      <c r="C256" s="96" t="str">
        <f t="shared" si="14"/>
        <v>Muslinger</v>
      </c>
      <c r="D256">
        <f t="shared" si="17"/>
        <v>2030</v>
      </c>
      <c r="E256" s="135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95" t="s">
        <v>112</v>
      </c>
      <c r="B257" t="s">
        <v>24</v>
      </c>
      <c r="C257" s="96" t="str">
        <f t="shared" si="14"/>
        <v>Græs</v>
      </c>
      <c r="D257">
        <f t="shared" si="17"/>
        <v>2030</v>
      </c>
      <c r="E257" s="135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1011222.0008630237</v>
      </c>
    </row>
    <row r="258" spans="1:5" x14ac:dyDescent="0.25">
      <c r="A258" s="95" t="s">
        <v>112</v>
      </c>
      <c r="B258" t="s">
        <v>24</v>
      </c>
      <c r="C258" s="96" t="str">
        <f t="shared" si="14"/>
        <v>Mælk til foder</v>
      </c>
      <c r="D258">
        <f t="shared" si="17"/>
        <v>2030</v>
      </c>
      <c r="E258" s="135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125246.14782667712</v>
      </c>
    </row>
    <row r="259" spans="1:5" x14ac:dyDescent="0.25">
      <c r="A259" s="95" t="s">
        <v>112</v>
      </c>
      <c r="B259" t="s">
        <v>24</v>
      </c>
      <c r="C259" s="96" t="str">
        <f t="shared" si="14"/>
        <v>Fiberfraktion</v>
      </c>
      <c r="D259">
        <f t="shared" si="17"/>
        <v>2030</v>
      </c>
      <c r="E259" s="135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95" t="s">
        <v>112</v>
      </c>
      <c r="B260" t="s">
        <v>24</v>
      </c>
      <c r="C260" s="96" t="str">
        <f t="shared" si="14"/>
        <v>Græsprotein</v>
      </c>
      <c r="D260">
        <f t="shared" si="17"/>
        <v>2030</v>
      </c>
      <c r="E260" s="135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95" t="s">
        <v>112</v>
      </c>
      <c r="B261" t="s">
        <v>24</v>
      </c>
      <c r="C261" s="96" t="str">
        <f t="shared" si="14"/>
        <v>Slagteriaffald til foder</v>
      </c>
      <c r="D261">
        <f t="shared" si="17"/>
        <v>2030</v>
      </c>
      <c r="E261" s="135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3256.9920238615805</v>
      </c>
    </row>
    <row r="262" spans="1:5" x14ac:dyDescent="0.25">
      <c r="A262" s="95" t="s">
        <v>112</v>
      </c>
      <c r="B262" t="s">
        <v>24</v>
      </c>
      <c r="C262" s="96" t="str">
        <f t="shared" si="14"/>
        <v>Import af foder</v>
      </c>
      <c r="D262">
        <f t="shared" si="17"/>
        <v>2030</v>
      </c>
      <c r="E262" s="135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398981.52292304358</v>
      </c>
    </row>
    <row r="263" spans="1:5" x14ac:dyDescent="0.25">
      <c r="A263" s="95" t="s">
        <v>112</v>
      </c>
      <c r="B263" t="s">
        <v>24</v>
      </c>
      <c r="C263" s="96" t="str">
        <f t="shared" si="14"/>
        <v>Korn</v>
      </c>
      <c r="D263">
        <f t="shared" ref="D263:D277" si="18">År3</f>
        <v>2050</v>
      </c>
      <c r="E263" s="135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57061.536053444106</v>
      </c>
    </row>
    <row r="264" spans="1:5" x14ac:dyDescent="0.25">
      <c r="A264" s="95" t="s">
        <v>112</v>
      </c>
      <c r="B264" t="s">
        <v>24</v>
      </c>
      <c r="C264" s="96" t="str">
        <f t="shared" si="14"/>
        <v>Halm</v>
      </c>
      <c r="D264">
        <f t="shared" si="18"/>
        <v>2050</v>
      </c>
      <c r="E264" s="135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7503.2920332351478</v>
      </c>
    </row>
    <row r="265" spans="1:5" x14ac:dyDescent="0.25">
      <c r="A265" s="95" t="s">
        <v>112</v>
      </c>
      <c r="B265" t="s">
        <v>24</v>
      </c>
      <c r="C265" s="96" t="str">
        <f t="shared" si="14"/>
        <v>Kartofler</v>
      </c>
      <c r="D265">
        <f t="shared" si="18"/>
        <v>2050</v>
      </c>
      <c r="E265" s="135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95" t="s">
        <v>112</v>
      </c>
      <c r="B266" t="s">
        <v>24</v>
      </c>
      <c r="C266" s="96" t="str">
        <f t="shared" si="14"/>
        <v>Bælgsæd</v>
      </c>
      <c r="D266">
        <f t="shared" si="18"/>
        <v>2050</v>
      </c>
      <c r="E266" s="135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625.99887183421856</v>
      </c>
    </row>
    <row r="267" spans="1:5" x14ac:dyDescent="0.25">
      <c r="A267" s="95" t="s">
        <v>112</v>
      </c>
      <c r="B267" t="s">
        <v>24</v>
      </c>
      <c r="C267" s="96" t="str">
        <f t="shared" si="14"/>
        <v>Roer</v>
      </c>
      <c r="D267">
        <f t="shared" si="18"/>
        <v>2050</v>
      </c>
      <c r="E267" s="135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8164.068620171267</v>
      </c>
    </row>
    <row r="268" spans="1:5" x14ac:dyDescent="0.25">
      <c r="A268" s="95" t="s">
        <v>112</v>
      </c>
      <c r="B268" t="s">
        <v>24</v>
      </c>
      <c r="C268" s="96" t="str">
        <f t="shared" ref="C268:C277" si="19">C253</f>
        <v>Majs</v>
      </c>
      <c r="D268">
        <f t="shared" si="18"/>
        <v>2050</v>
      </c>
      <c r="E268" s="135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54905.31771712625</v>
      </c>
    </row>
    <row r="269" spans="1:5" x14ac:dyDescent="0.25">
      <c r="A269" s="95" t="s">
        <v>112</v>
      </c>
      <c r="B269" t="s">
        <v>24</v>
      </c>
      <c r="C269" s="96" t="str">
        <f t="shared" si="19"/>
        <v>Rapskage</v>
      </c>
      <c r="D269">
        <f t="shared" si="18"/>
        <v>2050</v>
      </c>
      <c r="E269" s="135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2077.9684773385866</v>
      </c>
    </row>
    <row r="270" spans="1:5" x14ac:dyDescent="0.25">
      <c r="A270" s="95" t="s">
        <v>112</v>
      </c>
      <c r="B270" t="s">
        <v>24</v>
      </c>
      <c r="C270" s="96" t="str">
        <f t="shared" si="19"/>
        <v>Tang</v>
      </c>
      <c r="D270">
        <f t="shared" si="18"/>
        <v>2050</v>
      </c>
      <c r="E270" s="135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95" t="s">
        <v>112</v>
      </c>
      <c r="B271" t="s">
        <v>24</v>
      </c>
      <c r="C271" s="96" t="str">
        <f t="shared" si="19"/>
        <v>Muslinger</v>
      </c>
      <c r="D271">
        <f t="shared" si="18"/>
        <v>2050</v>
      </c>
      <c r="E271" s="135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95" t="s">
        <v>112</v>
      </c>
      <c r="B272" t="s">
        <v>24</v>
      </c>
      <c r="C272" s="96" t="str">
        <f t="shared" si="19"/>
        <v>Græs</v>
      </c>
      <c r="D272">
        <f t="shared" si="18"/>
        <v>2050</v>
      </c>
      <c r="E272" s="135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118774.59150176747</v>
      </c>
    </row>
    <row r="273" spans="1:7" x14ac:dyDescent="0.25">
      <c r="A273" s="95" t="s">
        <v>112</v>
      </c>
      <c r="B273" t="s">
        <v>24</v>
      </c>
      <c r="C273" s="96" t="str">
        <f t="shared" si="19"/>
        <v>Mælk til foder</v>
      </c>
      <c r="D273">
        <f t="shared" si="18"/>
        <v>2050</v>
      </c>
      <c r="E273" s="135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14710.973488104135</v>
      </c>
    </row>
    <row r="274" spans="1:7" x14ac:dyDescent="0.25">
      <c r="A274" s="95" t="s">
        <v>112</v>
      </c>
      <c r="B274" t="s">
        <v>24</v>
      </c>
      <c r="C274" s="96" t="str">
        <f t="shared" si="19"/>
        <v>Fiberfraktion</v>
      </c>
      <c r="D274">
        <f t="shared" si="18"/>
        <v>2050</v>
      </c>
      <c r="E274" s="135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95" t="s">
        <v>112</v>
      </c>
      <c r="B275" t="s">
        <v>24</v>
      </c>
      <c r="C275" s="96" t="str">
        <f t="shared" si="19"/>
        <v>Græsprotein</v>
      </c>
      <c r="D275">
        <f t="shared" si="18"/>
        <v>2050</v>
      </c>
      <c r="E275" s="135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95" t="s">
        <v>112</v>
      </c>
      <c r="B276" t="s">
        <v>24</v>
      </c>
      <c r="C276" s="96" t="str">
        <f t="shared" si="19"/>
        <v>Slagteriaffald til foder</v>
      </c>
      <c r="D276">
        <f t="shared" si="18"/>
        <v>2050</v>
      </c>
      <c r="E276" s="135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382.55486612091136</v>
      </c>
    </row>
    <row r="277" spans="1:7" x14ac:dyDescent="0.25">
      <c r="A277" s="95" t="s">
        <v>112</v>
      </c>
      <c r="B277" t="s">
        <v>24</v>
      </c>
      <c r="C277" s="96" t="str">
        <f t="shared" si="19"/>
        <v>Import af foder</v>
      </c>
      <c r="D277">
        <f t="shared" si="18"/>
        <v>2050</v>
      </c>
      <c r="E277" s="135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46862.971099811642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>
        <v>1</v>
      </c>
      <c r="G285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>
        <v>1</v>
      </c>
      <c r="G286">
        <v>1</v>
      </c>
    </row>
    <row r="287" spans="1:7" x14ac:dyDescent="0.25">
      <c r="A287" t="s">
        <v>164</v>
      </c>
      <c r="B287" t="s">
        <v>23</v>
      </c>
      <c r="C287" t="s">
        <v>118</v>
      </c>
      <c r="D287">
        <f t="shared" si="20"/>
        <v>2019</v>
      </c>
      <c r="E287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>
        <v>1</v>
      </c>
      <c r="G287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>
        <v>1</v>
      </c>
      <c r="G28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>
        <v>1</v>
      </c>
      <c r="G28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>
        <v>1</v>
      </c>
    </row>
    <row r="291" spans="1:7" x14ac:dyDescent="0.25">
      <c r="A291" t="s">
        <v>120</v>
      </c>
      <c r="B291" t="s">
        <v>24</v>
      </c>
      <c r="C291" t="str">
        <f t="shared" ref="C291:C349" si="22">C279</f>
        <v>Rapsolie</v>
      </c>
      <c r="D291">
        <f t="shared" si="20"/>
        <v>2019</v>
      </c>
      <c r="E29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>
        <v>1</v>
      </c>
    </row>
    <row r="292" spans="1:7" x14ac:dyDescent="0.25">
      <c r="A292" t="s">
        <v>120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>
        <v>1</v>
      </c>
    </row>
    <row r="293" spans="1:7" x14ac:dyDescent="0.25">
      <c r="A293" t="s">
        <v>120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>
        <v>1</v>
      </c>
    </row>
    <row r="294" spans="1:7" x14ac:dyDescent="0.25">
      <c r="A294" t="s">
        <v>120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>
        <v>1</v>
      </c>
    </row>
    <row r="295" spans="1:7" x14ac:dyDescent="0.25">
      <c r="A295" t="s">
        <v>120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>
        <v>1</v>
      </c>
    </row>
    <row r="296" spans="1:7" x14ac:dyDescent="0.25">
      <c r="A296" t="s">
        <v>164</v>
      </c>
      <c r="B296" t="s">
        <v>24</v>
      </c>
      <c r="C296" t="str">
        <f t="shared" si="22"/>
        <v>Halm</v>
      </c>
      <c r="D296">
        <f t="shared" si="20"/>
        <v>2019</v>
      </c>
      <c r="E296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>
        <v>1</v>
      </c>
      <c r="G296">
        <v>1</v>
      </c>
    </row>
    <row r="297" spans="1:7" x14ac:dyDescent="0.25">
      <c r="A297" t="s">
        <v>164</v>
      </c>
      <c r="B297" t="s">
        <v>24</v>
      </c>
      <c r="C297" t="str">
        <f t="shared" si="22"/>
        <v>Rapsolie</v>
      </c>
      <c r="D297">
        <f t="shared" si="20"/>
        <v>2019</v>
      </c>
      <c r="E297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>
        <v>1</v>
      </c>
      <c r="G297">
        <v>1</v>
      </c>
    </row>
    <row r="298" spans="1:7" x14ac:dyDescent="0.25">
      <c r="A298" t="s">
        <v>164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>
        <v>1</v>
      </c>
      <c r="G298">
        <v>1</v>
      </c>
    </row>
    <row r="299" spans="1:7" x14ac:dyDescent="0.25">
      <c r="A299" t="s">
        <v>164</v>
      </c>
      <c r="B299" t="s">
        <v>24</v>
      </c>
      <c r="C299" t="str">
        <f t="shared" si="22"/>
        <v>Træmaterialer</v>
      </c>
      <c r="D299">
        <f t="shared" si="20"/>
        <v>2019</v>
      </c>
      <c r="E29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>
        <v>1</v>
      </c>
      <c r="G299">
        <v>1</v>
      </c>
    </row>
    <row r="300" spans="1:7" x14ac:dyDescent="0.25">
      <c r="A300" t="s">
        <v>164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>
        <v>1</v>
      </c>
      <c r="G300">
        <v>1</v>
      </c>
    </row>
    <row r="301" spans="1:7" x14ac:dyDescent="0.25">
      <c r="A301" t="s">
        <v>164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>
        <v>1</v>
      </c>
      <c r="G301">
        <v>1</v>
      </c>
    </row>
    <row r="302" spans="1:7" x14ac:dyDescent="0.25">
      <c r="A302" t="s">
        <v>120</v>
      </c>
      <c r="B302" t="s">
        <v>23</v>
      </c>
      <c r="C302" t="str">
        <f>C290</f>
        <v>Halm</v>
      </c>
      <c r="D302">
        <f t="shared" ref="D302:D325" si="23">År2</f>
        <v>2030</v>
      </c>
      <c r="E302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1501637.1325612864</v>
      </c>
      <c r="F302">
        <v>1</v>
      </c>
    </row>
    <row r="303" spans="1:7" x14ac:dyDescent="0.25">
      <c r="A303" t="s">
        <v>120</v>
      </c>
      <c r="B303" t="s">
        <v>23</v>
      </c>
      <c r="C303" t="str">
        <f t="shared" si="22"/>
        <v>Rapsolie</v>
      </c>
      <c r="D303">
        <f t="shared" si="23"/>
        <v>2030</v>
      </c>
      <c r="E303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159446.58748119973</v>
      </c>
      <c r="F303">
        <v>1</v>
      </c>
    </row>
    <row r="304" spans="1:7" x14ac:dyDescent="0.25">
      <c r="A304" t="s">
        <v>120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151285.23145276494</v>
      </c>
      <c r="F304">
        <v>1</v>
      </c>
    </row>
    <row r="305" spans="1:7" x14ac:dyDescent="0.25">
      <c r="A305" t="s">
        <v>120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2217144.8993992088</v>
      </c>
      <c r="F305">
        <v>1</v>
      </c>
    </row>
    <row r="306" spans="1:7" x14ac:dyDescent="0.25">
      <c r="A306" t="s">
        <v>120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124773.42126939242</v>
      </c>
      <c r="F306">
        <v>1</v>
      </c>
    </row>
    <row r="307" spans="1:7" x14ac:dyDescent="0.25">
      <c r="A307" t="s">
        <v>120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>
        <v>1</v>
      </c>
    </row>
    <row r="308" spans="1:7" x14ac:dyDescent="0.25">
      <c r="A308" t="s">
        <v>164</v>
      </c>
      <c r="B308" t="s">
        <v>23</v>
      </c>
      <c r="C308" t="str">
        <f t="shared" si="22"/>
        <v>Halm</v>
      </c>
      <c r="D308">
        <f t="shared" si="23"/>
        <v>2030</v>
      </c>
      <c r="E30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>
        <v>1</v>
      </c>
      <c r="G308">
        <v>1</v>
      </c>
    </row>
    <row r="309" spans="1:7" x14ac:dyDescent="0.25">
      <c r="A309" t="s">
        <v>164</v>
      </c>
      <c r="B309" t="s">
        <v>23</v>
      </c>
      <c r="C309" t="str">
        <f t="shared" si="22"/>
        <v>Rapsolie</v>
      </c>
      <c r="D309">
        <f t="shared" si="23"/>
        <v>2030</v>
      </c>
      <c r="E30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>
        <v>1</v>
      </c>
      <c r="G309">
        <v>1</v>
      </c>
    </row>
    <row r="310" spans="1:7" x14ac:dyDescent="0.25">
      <c r="A310" t="s">
        <v>164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>
        <v>1</v>
      </c>
      <c r="G310">
        <v>1</v>
      </c>
    </row>
    <row r="311" spans="1:7" x14ac:dyDescent="0.25">
      <c r="A311" t="s">
        <v>164</v>
      </c>
      <c r="B311" t="s">
        <v>23</v>
      </c>
      <c r="C311" t="str">
        <f t="shared" si="22"/>
        <v>Træmaterialer</v>
      </c>
      <c r="D311">
        <f t="shared" si="23"/>
        <v>2030</v>
      </c>
      <c r="E311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610444.4261939266</v>
      </c>
      <c r="F311">
        <v>1</v>
      </c>
      <c r="G311">
        <v>1</v>
      </c>
    </row>
    <row r="312" spans="1:7" x14ac:dyDescent="0.25">
      <c r="A312" t="s">
        <v>164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>
        <v>1</v>
      </c>
      <c r="G312">
        <v>1</v>
      </c>
    </row>
    <row r="313" spans="1:7" x14ac:dyDescent="0.25">
      <c r="A313" t="s">
        <v>164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>
        <v>1</v>
      </c>
      <c r="G313">
        <v>1</v>
      </c>
    </row>
    <row r="314" spans="1:7" x14ac:dyDescent="0.25">
      <c r="A314" t="s">
        <v>120</v>
      </c>
      <c r="B314" t="s">
        <v>24</v>
      </c>
      <c r="C314" t="str">
        <f>C302</f>
        <v>Halm</v>
      </c>
      <c r="D314">
        <f t="shared" si="23"/>
        <v>2030</v>
      </c>
      <c r="E314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608965.88554396096</v>
      </c>
      <c r="F314">
        <v>1</v>
      </c>
    </row>
    <row r="315" spans="1:7" x14ac:dyDescent="0.25">
      <c r="A315" t="s">
        <v>120</v>
      </c>
      <c r="B315" t="s">
        <v>24</v>
      </c>
      <c r="C315" t="str">
        <f t="shared" si="22"/>
        <v>Rapsolie</v>
      </c>
      <c r="D315">
        <f t="shared" si="23"/>
        <v>2030</v>
      </c>
      <c r="E315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47447.954581366219</v>
      </c>
      <c r="F315">
        <v>1</v>
      </c>
    </row>
    <row r="316" spans="1:7" x14ac:dyDescent="0.25">
      <c r="A316" t="s">
        <v>120</v>
      </c>
      <c r="B316" t="s">
        <v>24</v>
      </c>
      <c r="C316" t="str">
        <f t="shared" si="22"/>
        <v>Pil &amp; poppel</v>
      </c>
      <c r="D316">
        <f t="shared" si="23"/>
        <v>2030</v>
      </c>
      <c r="E316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40786.879237447567</v>
      </c>
      <c r="F316">
        <v>1</v>
      </c>
    </row>
    <row r="317" spans="1:7" x14ac:dyDescent="0.25">
      <c r="A317" t="s">
        <v>120</v>
      </c>
      <c r="B317" t="s">
        <v>24</v>
      </c>
      <c r="C317" t="str">
        <f t="shared" si="22"/>
        <v>Træ til energi</v>
      </c>
      <c r="D317">
        <f t="shared" si="23"/>
        <v>2030</v>
      </c>
      <c r="E317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647645.86028338596</v>
      </c>
      <c r="F317">
        <v>1</v>
      </c>
    </row>
    <row r="318" spans="1:7" x14ac:dyDescent="0.25">
      <c r="A318" t="s">
        <v>120</v>
      </c>
      <c r="B318" t="s">
        <v>24</v>
      </c>
      <c r="C318" t="str">
        <f t="shared" si="22"/>
        <v>Have/parkaffald</v>
      </c>
      <c r="D318">
        <f t="shared" si="23"/>
        <v>2030</v>
      </c>
      <c r="E31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108035.57873060764</v>
      </c>
      <c r="F318">
        <v>1</v>
      </c>
    </row>
    <row r="319" spans="1:7" x14ac:dyDescent="0.25">
      <c r="A319" t="s">
        <v>120</v>
      </c>
      <c r="B319" t="s">
        <v>24</v>
      </c>
      <c r="C319" t="str">
        <f t="shared" si="22"/>
        <v>Bioaffald</v>
      </c>
      <c r="D319">
        <f t="shared" si="23"/>
        <v>2030</v>
      </c>
      <c r="E31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>
        <v>1</v>
      </c>
    </row>
    <row r="320" spans="1:7" x14ac:dyDescent="0.25">
      <c r="A320" t="s">
        <v>164</v>
      </c>
      <c r="B320" t="s">
        <v>24</v>
      </c>
      <c r="C320" t="str">
        <f t="shared" si="22"/>
        <v>Halm</v>
      </c>
      <c r="D320">
        <f t="shared" si="23"/>
        <v>2030</v>
      </c>
      <c r="E320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>
        <v>1</v>
      </c>
      <c r="G320">
        <v>1</v>
      </c>
    </row>
    <row r="321" spans="1:7" x14ac:dyDescent="0.25">
      <c r="A321" t="s">
        <v>164</v>
      </c>
      <c r="B321" t="s">
        <v>24</v>
      </c>
      <c r="C321" t="str">
        <f t="shared" si="22"/>
        <v>Rapsolie</v>
      </c>
      <c r="D321">
        <f t="shared" si="23"/>
        <v>2030</v>
      </c>
      <c r="E32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>
        <v>1</v>
      </c>
      <c r="G321">
        <v>1</v>
      </c>
    </row>
    <row r="322" spans="1:7" x14ac:dyDescent="0.25">
      <c r="A322" t="s">
        <v>164</v>
      </c>
      <c r="B322" t="s">
        <v>24</v>
      </c>
      <c r="C322" t="str">
        <f t="shared" si="22"/>
        <v>Pil &amp; poppel</v>
      </c>
      <c r="D322">
        <f t="shared" si="23"/>
        <v>2030</v>
      </c>
      <c r="E322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>
        <v>1</v>
      </c>
      <c r="G322">
        <v>1</v>
      </c>
    </row>
    <row r="323" spans="1:7" x14ac:dyDescent="0.25">
      <c r="A323" t="s">
        <v>164</v>
      </c>
      <c r="B323" t="s">
        <v>24</v>
      </c>
      <c r="C323" t="str">
        <f t="shared" si="22"/>
        <v>Træmaterialer</v>
      </c>
      <c r="D323">
        <f t="shared" si="23"/>
        <v>2030</v>
      </c>
      <c r="E323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178235.22139277839</v>
      </c>
      <c r="F323">
        <v>1</v>
      </c>
      <c r="G323">
        <v>1</v>
      </c>
    </row>
    <row r="324" spans="1:7" x14ac:dyDescent="0.25">
      <c r="A324" t="s">
        <v>164</v>
      </c>
      <c r="B324" t="s">
        <v>24</v>
      </c>
      <c r="C324" t="str">
        <f t="shared" si="22"/>
        <v>Have/parkaffald</v>
      </c>
      <c r="D324">
        <f t="shared" si="23"/>
        <v>2030</v>
      </c>
      <c r="E324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>
        <v>1</v>
      </c>
      <c r="G324">
        <v>1</v>
      </c>
    </row>
    <row r="325" spans="1:7" x14ac:dyDescent="0.25">
      <c r="A325" t="s">
        <v>164</v>
      </c>
      <c r="B325" t="s">
        <v>24</v>
      </c>
      <c r="C325" t="str">
        <f t="shared" si="22"/>
        <v>Bioaffald</v>
      </c>
      <c r="D325">
        <f t="shared" si="23"/>
        <v>2030</v>
      </c>
      <c r="E325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>
        <v>1</v>
      </c>
      <c r="G325">
        <v>1</v>
      </c>
    </row>
    <row r="326" spans="1:7" x14ac:dyDescent="0.25">
      <c r="A326" t="s">
        <v>120</v>
      </c>
      <c r="B326" t="s">
        <v>23</v>
      </c>
      <c r="C326" t="str">
        <f>C314</f>
        <v>Halm</v>
      </c>
      <c r="D326">
        <f t="shared" ref="D326:D349" si="24">År3</f>
        <v>2050</v>
      </c>
      <c r="E326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995075.1511158779</v>
      </c>
      <c r="F326">
        <v>1</v>
      </c>
    </row>
    <row r="327" spans="1:7" x14ac:dyDescent="0.25">
      <c r="A327" t="s">
        <v>120</v>
      </c>
      <c r="B327" t="s">
        <v>23</v>
      </c>
      <c r="C327" t="str">
        <f t="shared" si="22"/>
        <v>Rapsolie</v>
      </c>
      <c r="D327">
        <f t="shared" si="24"/>
        <v>2050</v>
      </c>
      <c r="E327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318793.5100057816</v>
      </c>
      <c r="F327">
        <v>1</v>
      </c>
    </row>
    <row r="328" spans="1:7" x14ac:dyDescent="0.25">
      <c r="A328" t="s">
        <v>120</v>
      </c>
      <c r="B328" t="s">
        <v>23</v>
      </c>
      <c r="C328" t="str">
        <f t="shared" si="22"/>
        <v>Pil &amp; poppel</v>
      </c>
      <c r="D328">
        <f t="shared" si="24"/>
        <v>2050</v>
      </c>
      <c r="E32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109495.6819733945</v>
      </c>
      <c r="F328">
        <v>1</v>
      </c>
    </row>
    <row r="329" spans="1:7" x14ac:dyDescent="0.25">
      <c r="A329" t="s">
        <v>120</v>
      </c>
      <c r="B329" t="s">
        <v>23</v>
      </c>
      <c r="C329" t="str">
        <f t="shared" si="22"/>
        <v>Træ til energi</v>
      </c>
      <c r="D329">
        <f t="shared" si="24"/>
        <v>2050</v>
      </c>
      <c r="E32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2287577.6202536402</v>
      </c>
      <c r="F329">
        <v>1</v>
      </c>
    </row>
    <row r="330" spans="1:7" x14ac:dyDescent="0.25">
      <c r="A330" t="s">
        <v>120</v>
      </c>
      <c r="B330" t="s">
        <v>23</v>
      </c>
      <c r="C330" t="str">
        <f t="shared" si="22"/>
        <v>Have/parkaffald</v>
      </c>
      <c r="D330">
        <f t="shared" si="24"/>
        <v>2050</v>
      </c>
      <c r="E33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1500.1831158298883</v>
      </c>
      <c r="F330">
        <v>1</v>
      </c>
    </row>
    <row r="331" spans="1:7" x14ac:dyDescent="0.25">
      <c r="A331" t="s">
        <v>120</v>
      </c>
      <c r="B331" t="s">
        <v>23</v>
      </c>
      <c r="C331" t="str">
        <f t="shared" si="22"/>
        <v>Bioaffald</v>
      </c>
      <c r="D331">
        <f t="shared" si="24"/>
        <v>2050</v>
      </c>
      <c r="E33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>
        <v>1</v>
      </c>
    </row>
    <row r="332" spans="1:7" x14ac:dyDescent="0.25">
      <c r="A332" t="s">
        <v>164</v>
      </c>
      <c r="B332" t="s">
        <v>23</v>
      </c>
      <c r="C332" t="str">
        <f t="shared" si="22"/>
        <v>Halm</v>
      </c>
      <c r="D332">
        <f t="shared" si="24"/>
        <v>2050</v>
      </c>
      <c r="E332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>
        <v>1</v>
      </c>
      <c r="G332">
        <v>1</v>
      </c>
    </row>
    <row r="333" spans="1:7" x14ac:dyDescent="0.25">
      <c r="A333" t="s">
        <v>164</v>
      </c>
      <c r="B333" t="s">
        <v>23</v>
      </c>
      <c r="C333" t="str">
        <f t="shared" si="22"/>
        <v>Rapsolie</v>
      </c>
      <c r="D333">
        <f t="shared" si="24"/>
        <v>2050</v>
      </c>
      <c r="E333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>
        <v>1</v>
      </c>
      <c r="G333">
        <v>1</v>
      </c>
    </row>
    <row r="334" spans="1:7" x14ac:dyDescent="0.25">
      <c r="A334" t="s">
        <v>164</v>
      </c>
      <c r="B334" t="s">
        <v>23</v>
      </c>
      <c r="C334" t="str">
        <f t="shared" si="22"/>
        <v>Pil &amp; poppel</v>
      </c>
      <c r="D334">
        <f t="shared" si="24"/>
        <v>2050</v>
      </c>
      <c r="E334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>
        <v>1</v>
      </c>
      <c r="G334">
        <v>1</v>
      </c>
    </row>
    <row r="335" spans="1:7" x14ac:dyDescent="0.25">
      <c r="A335" t="s">
        <v>164</v>
      </c>
      <c r="B335" t="s">
        <v>23</v>
      </c>
      <c r="C335" t="str">
        <f t="shared" si="22"/>
        <v>Træmaterialer</v>
      </c>
      <c r="D335">
        <f t="shared" si="24"/>
        <v>2050</v>
      </c>
      <c r="E335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659548.66396073136</v>
      </c>
      <c r="F335">
        <v>1</v>
      </c>
      <c r="G335">
        <v>1</v>
      </c>
    </row>
    <row r="336" spans="1:7" x14ac:dyDescent="0.25">
      <c r="A336" t="s">
        <v>164</v>
      </c>
      <c r="B336" t="s">
        <v>23</v>
      </c>
      <c r="C336" t="str">
        <f t="shared" si="22"/>
        <v>Have/parkaffald</v>
      </c>
      <c r="D336">
        <f t="shared" si="24"/>
        <v>2050</v>
      </c>
      <c r="E336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>
        <v>1</v>
      </c>
      <c r="G336">
        <v>1</v>
      </c>
    </row>
    <row r="337" spans="1:7" x14ac:dyDescent="0.25">
      <c r="A337" t="s">
        <v>164</v>
      </c>
      <c r="B337" t="s">
        <v>23</v>
      </c>
      <c r="C337" t="str">
        <f t="shared" si="22"/>
        <v>Bioaffald</v>
      </c>
      <c r="D337">
        <f t="shared" si="24"/>
        <v>2050</v>
      </c>
      <c r="E337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>
        <v>1</v>
      </c>
      <c r="G337">
        <v>1</v>
      </c>
    </row>
    <row r="338" spans="1:7" x14ac:dyDescent="0.25">
      <c r="A338" t="s">
        <v>120</v>
      </c>
      <c r="B338" t="s">
        <v>24</v>
      </c>
      <c r="C338" t="str">
        <f>C326</f>
        <v>Halm</v>
      </c>
      <c r="D338">
        <f t="shared" si="24"/>
        <v>2050</v>
      </c>
      <c r="E33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333600.69581393356</v>
      </c>
      <c r="F338">
        <v>1</v>
      </c>
    </row>
    <row r="339" spans="1:7" x14ac:dyDescent="0.25">
      <c r="A339" t="s">
        <v>120</v>
      </c>
      <c r="B339" t="s">
        <v>24</v>
      </c>
      <c r="C339" t="str">
        <f t="shared" si="22"/>
        <v>Rapsolie</v>
      </c>
      <c r="D339">
        <f t="shared" si="24"/>
        <v>2050</v>
      </c>
      <c r="E33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99907.394395814132</v>
      </c>
      <c r="F339">
        <v>1</v>
      </c>
    </row>
    <row r="340" spans="1:7" x14ac:dyDescent="0.25">
      <c r="A340" t="s">
        <v>120</v>
      </c>
      <c r="B340" t="s">
        <v>24</v>
      </c>
      <c r="C340" t="str">
        <f t="shared" si="22"/>
        <v>Pil &amp; poppel</v>
      </c>
      <c r="D340">
        <f t="shared" si="24"/>
        <v>2050</v>
      </c>
      <c r="E34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34028.264724407527</v>
      </c>
      <c r="F340">
        <v>1</v>
      </c>
    </row>
    <row r="341" spans="1:7" x14ac:dyDescent="0.25">
      <c r="A341" t="s">
        <v>120</v>
      </c>
      <c r="B341" t="s">
        <v>24</v>
      </c>
      <c r="C341" t="str">
        <f t="shared" si="22"/>
        <v>Træ til energi</v>
      </c>
      <c r="D341">
        <f t="shared" si="24"/>
        <v>2050</v>
      </c>
      <c r="E341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637918.49942824384</v>
      </c>
      <c r="F341">
        <v>1</v>
      </c>
    </row>
    <row r="342" spans="1:7" x14ac:dyDescent="0.25">
      <c r="A342" t="s">
        <v>120</v>
      </c>
      <c r="B342" t="s">
        <v>24</v>
      </c>
      <c r="C342" t="str">
        <f t="shared" si="22"/>
        <v>Have/parkaffald</v>
      </c>
      <c r="D342">
        <f t="shared" si="24"/>
        <v>2050</v>
      </c>
      <c r="E342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1308.8168841700535</v>
      </c>
      <c r="F342">
        <v>1</v>
      </c>
    </row>
    <row r="343" spans="1:7" x14ac:dyDescent="0.25">
      <c r="A343" t="s">
        <v>120</v>
      </c>
      <c r="B343" t="s">
        <v>24</v>
      </c>
      <c r="C343" t="str">
        <f t="shared" si="22"/>
        <v>Bioaffald</v>
      </c>
      <c r="D343">
        <f t="shared" si="24"/>
        <v>2050</v>
      </c>
      <c r="E343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>
        <v>1</v>
      </c>
    </row>
    <row r="344" spans="1:7" x14ac:dyDescent="0.25">
      <c r="A344" t="s">
        <v>164</v>
      </c>
      <c r="B344" t="s">
        <v>24</v>
      </c>
      <c r="C344" t="str">
        <f t="shared" si="22"/>
        <v>Halm</v>
      </c>
      <c r="D344">
        <f t="shared" si="24"/>
        <v>2050</v>
      </c>
      <c r="E344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>
        <v>1</v>
      </c>
      <c r="G344">
        <v>1</v>
      </c>
    </row>
    <row r="345" spans="1:7" x14ac:dyDescent="0.25">
      <c r="A345" t="s">
        <v>164</v>
      </c>
      <c r="B345" t="s">
        <v>24</v>
      </c>
      <c r="C345" t="str">
        <f t="shared" si="22"/>
        <v>Rapsolie</v>
      </c>
      <c r="D345">
        <f t="shared" si="24"/>
        <v>2050</v>
      </c>
      <c r="E345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>
        <v>1</v>
      </c>
      <c r="G345">
        <v>1</v>
      </c>
    </row>
    <row r="346" spans="1:7" x14ac:dyDescent="0.25">
      <c r="A346" t="s">
        <v>164</v>
      </c>
      <c r="B346" t="s">
        <v>24</v>
      </c>
      <c r="C346" t="str">
        <f t="shared" si="22"/>
        <v>Pil &amp; poppel</v>
      </c>
      <c r="D346">
        <f t="shared" si="24"/>
        <v>2050</v>
      </c>
      <c r="E346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>
        <v>1</v>
      </c>
      <c r="G346">
        <v>1</v>
      </c>
    </row>
    <row r="347" spans="1:7" x14ac:dyDescent="0.25">
      <c r="A347" t="s">
        <v>164</v>
      </c>
      <c r="B347" t="s">
        <v>24</v>
      </c>
      <c r="C347" t="str">
        <f t="shared" si="22"/>
        <v>Træmaterialer</v>
      </c>
      <c r="D347">
        <f t="shared" si="24"/>
        <v>2050</v>
      </c>
      <c r="E347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181156.38422629872</v>
      </c>
      <c r="F347">
        <v>1</v>
      </c>
      <c r="G347">
        <v>1</v>
      </c>
    </row>
    <row r="348" spans="1:7" x14ac:dyDescent="0.25">
      <c r="A348" t="s">
        <v>164</v>
      </c>
      <c r="B348" t="s">
        <v>24</v>
      </c>
      <c r="C348" t="str">
        <f t="shared" si="22"/>
        <v>Have/parkaffald</v>
      </c>
      <c r="D348">
        <f t="shared" si="24"/>
        <v>2050</v>
      </c>
      <c r="E34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>
        <v>1</v>
      </c>
      <c r="G348">
        <v>1</v>
      </c>
    </row>
    <row r="349" spans="1:7" x14ac:dyDescent="0.25">
      <c r="A349" t="s">
        <v>164</v>
      </c>
      <c r="B349" t="s">
        <v>24</v>
      </c>
      <c r="C349" t="str">
        <f t="shared" si="22"/>
        <v>Bioaffald</v>
      </c>
      <c r="D349">
        <f t="shared" si="24"/>
        <v>2050</v>
      </c>
      <c r="E34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>
        <v>1</v>
      </c>
      <c r="G34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1664004.2805423103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1913962.0191509458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2021.1251626376227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233332.85807025622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10112257.042498086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1499151.6936668851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0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78483.905717902526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561.84151705662089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15015.385111617346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495509.77237359248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3130893.6010473287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241109.41979155506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136032.95533050099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169.63228887786195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32442.449792961874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2691211.5260409825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486481.53306433168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0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5578.1658851427237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47.155151143904114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2108.7483999740452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347663.70899388671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973432.69438373833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498270.5858787492</v>
      </c>
      <c r="G393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996229.71876806754</v>
      </c>
      <c r="G394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148274.85806676943</v>
      </c>
      <c r="G396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312210.60748691915</v>
      </c>
      <c r="G397">
        <v>1</v>
      </c>
    </row>
    <row r="398" spans="1:7" x14ac:dyDescent="0.25">
      <c r="A398" t="s">
        <v>310</v>
      </c>
      <c r="B398" t="s">
        <v>23</v>
      </c>
      <c r="C398" t="s">
        <v>67</v>
      </c>
      <c r="D39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>
        <v>1</v>
      </c>
    </row>
    <row r="399" spans="1:7" x14ac:dyDescent="0.25">
      <c r="A399" t="s">
        <v>310</v>
      </c>
      <c r="B399" t="s">
        <v>23</v>
      </c>
      <c r="C399" t="s">
        <v>67</v>
      </c>
      <c r="D399">
        <f>År2</f>
        <v>2030</v>
      </c>
      <c r="E39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>
        <v>1</v>
      </c>
    </row>
    <row r="400" spans="1:7" x14ac:dyDescent="0.25">
      <c r="A400" t="s">
        <v>310</v>
      </c>
      <c r="B400" t="s">
        <v>23</v>
      </c>
      <c r="C400" t="s">
        <v>67</v>
      </c>
      <c r="D400">
        <f>År3</f>
        <v>2050</v>
      </c>
      <c r="E400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>
        <v>1</v>
      </c>
    </row>
    <row r="401" spans="1:7" x14ac:dyDescent="0.25">
      <c r="A401" t="s">
        <v>310</v>
      </c>
      <c r="B401" t="s">
        <v>24</v>
      </c>
      <c r="C401" t="s">
        <v>67</v>
      </c>
      <c r="D401">
        <f>År1</f>
        <v>2019</v>
      </c>
      <c r="E40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>
        <v>1</v>
      </c>
    </row>
    <row r="402" spans="1:7" x14ac:dyDescent="0.25">
      <c r="A402" t="s">
        <v>310</v>
      </c>
      <c r="B402" t="s">
        <v>24</v>
      </c>
      <c r="C402" t="s">
        <v>67</v>
      </c>
      <c r="D402">
        <f>År2</f>
        <v>2030</v>
      </c>
      <c r="E402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>
        <v>1</v>
      </c>
    </row>
    <row r="403" spans="1:7" x14ac:dyDescent="0.25">
      <c r="A403" t="s">
        <v>310</v>
      </c>
      <c r="B403" t="s">
        <v>24</v>
      </c>
      <c r="C403" t="s">
        <v>67</v>
      </c>
      <c r="D403">
        <f>År3</f>
        <v>2050</v>
      </c>
      <c r="E403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>
        <v>1</v>
      </c>
    </row>
    <row r="404" spans="1:7" x14ac:dyDescent="0.25">
      <c r="A404" t="s">
        <v>120</v>
      </c>
      <c r="B404" t="s">
        <v>23</v>
      </c>
      <c r="C404" t="s">
        <v>306</v>
      </c>
      <c r="D404">
        <f t="shared" ref="D404:D411" si="31">År1</f>
        <v>2019</v>
      </c>
      <c r="E404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>
        <v>1</v>
      </c>
    </row>
    <row r="405" spans="1:7" x14ac:dyDescent="0.25">
      <c r="A405" t="s">
        <v>120</v>
      </c>
      <c r="B405" t="s">
        <v>23</v>
      </c>
      <c r="C405" t="s">
        <v>307</v>
      </c>
      <c r="D405">
        <f t="shared" si="31"/>
        <v>2019</v>
      </c>
      <c r="E405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>
        <v>1</v>
      </c>
    </row>
    <row r="406" spans="1:7" x14ac:dyDescent="0.25">
      <c r="A406" t="s">
        <v>120</v>
      </c>
      <c r="B406" t="s">
        <v>23</v>
      </c>
      <c r="C406" t="s">
        <v>306</v>
      </c>
      <c r="D406">
        <f>År2</f>
        <v>2030</v>
      </c>
      <c r="E406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>
        <v>1</v>
      </c>
    </row>
    <row r="407" spans="1:7" x14ac:dyDescent="0.25">
      <c r="A407" t="s">
        <v>120</v>
      </c>
      <c r="B407" t="s">
        <v>23</v>
      </c>
      <c r="C407" t="s">
        <v>307</v>
      </c>
      <c r="D407">
        <f>År2</f>
        <v>2030</v>
      </c>
      <c r="E407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>
        <v>1</v>
      </c>
    </row>
    <row r="408" spans="1:7" x14ac:dyDescent="0.25">
      <c r="A408" t="s">
        <v>120</v>
      </c>
      <c r="B408" t="s">
        <v>23</v>
      </c>
      <c r="C408" t="s">
        <v>306</v>
      </c>
      <c r="D408">
        <f>År3</f>
        <v>2050</v>
      </c>
      <c r="E40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>
        <v>1</v>
      </c>
    </row>
    <row r="409" spans="1:7" x14ac:dyDescent="0.25">
      <c r="A409" t="s">
        <v>120</v>
      </c>
      <c r="B409" t="s">
        <v>23</v>
      </c>
      <c r="C409" t="s">
        <v>307</v>
      </c>
      <c r="D409">
        <f>År3</f>
        <v>2050</v>
      </c>
      <c r="E40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>
        <v>1</v>
      </c>
    </row>
    <row r="410" spans="1:7" x14ac:dyDescent="0.25">
      <c r="A410" t="s">
        <v>120</v>
      </c>
      <c r="B410" t="s">
        <v>24</v>
      </c>
      <c r="C410" t="s">
        <v>306</v>
      </c>
      <c r="D410">
        <f t="shared" si="31"/>
        <v>2019</v>
      </c>
      <c r="E410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>
        <v>1</v>
      </c>
    </row>
    <row r="411" spans="1:7" x14ac:dyDescent="0.25">
      <c r="A411" t="s">
        <v>120</v>
      </c>
      <c r="B411" t="s">
        <v>24</v>
      </c>
      <c r="C411" t="s">
        <v>307</v>
      </c>
      <c r="D411">
        <f t="shared" si="31"/>
        <v>2019</v>
      </c>
      <c r="E41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>
        <v>1</v>
      </c>
    </row>
    <row r="412" spans="1:7" x14ac:dyDescent="0.25">
      <c r="A412" t="s">
        <v>120</v>
      </c>
      <c r="B412" t="s">
        <v>24</v>
      </c>
      <c r="C412" t="s">
        <v>306</v>
      </c>
      <c r="D412">
        <f>År2</f>
        <v>2030</v>
      </c>
      <c r="E412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>
        <v>1</v>
      </c>
    </row>
    <row r="413" spans="1:7" x14ac:dyDescent="0.25">
      <c r="A413" t="s">
        <v>120</v>
      </c>
      <c r="B413" t="s">
        <v>24</v>
      </c>
      <c r="C413" t="s">
        <v>307</v>
      </c>
      <c r="D413">
        <f>År2</f>
        <v>2030</v>
      </c>
      <c r="E413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>
        <v>1</v>
      </c>
    </row>
    <row r="414" spans="1:7" x14ac:dyDescent="0.25">
      <c r="A414" t="s">
        <v>120</v>
      </c>
      <c r="B414" t="s">
        <v>24</v>
      </c>
      <c r="C414" t="s">
        <v>306</v>
      </c>
      <c r="D414">
        <f>År3</f>
        <v>2050</v>
      </c>
      <c r="E414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>
        <v>1</v>
      </c>
    </row>
    <row r="415" spans="1:7" x14ac:dyDescent="0.25">
      <c r="A415" t="s">
        <v>120</v>
      </c>
      <c r="B415" t="s">
        <v>24</v>
      </c>
      <c r="C415" t="s">
        <v>307</v>
      </c>
      <c r="D415">
        <f>År3</f>
        <v>2050</v>
      </c>
      <c r="E415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>
        <f>SUMIFS('Forbrug af biomasse'!E:E,'Forbrug af biomasse'!F:F,"",'Forbrug af biomasse'!B:B,Restprodukter!$B14,'Forbrug af biomasse'!C:C,Restprodukter!$A14,'Forbrug af biomasse'!D:D,Restprodukter!$C14)</f>
        <v>522363.62828034989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2024000.7608416365</v>
      </c>
      <c r="F14">
        <f>E14-D14</f>
        <v>1501637.1325612864</v>
      </c>
      <c r="G14">
        <f t="shared" si="3"/>
        <v>1501637.1325612864</v>
      </c>
      <c r="H14">
        <f t="shared" si="1"/>
        <v>608965.88554396096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159446.58748119973</v>
      </c>
      <c r="F15">
        <f t="shared" si="2"/>
        <v>159446.58748119973</v>
      </c>
      <c r="G15">
        <f t="shared" si="3"/>
        <v>159446.58748119973</v>
      </c>
      <c r="H15">
        <f t="shared" si="1"/>
        <v>47447.954581366219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151285.23145276494</v>
      </c>
      <c r="F16">
        <f t="shared" si="2"/>
        <v>151285.23145276494</v>
      </c>
      <c r="G16">
        <f t="shared" si="3"/>
        <v>151285.23145276494</v>
      </c>
      <c r="H16">
        <f t="shared" si="1"/>
        <v>40786.879237447567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2217144.8993992088</v>
      </c>
      <c r="F17">
        <f t="shared" ca="1" si="2"/>
        <v>2217144.8993992088</v>
      </c>
      <c r="G17">
        <f t="shared" ca="1" si="3"/>
        <v>2217144.8993992088</v>
      </c>
      <c r="H17">
        <f t="shared" ca="1" si="1"/>
        <v>647645.86028338596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>
        <f>SUMIFS('Forbrug af biomasse'!E:E,'Forbrug af biomasse'!F:F,"",'Forbrug af biomasse'!B:B,Restprodukter!$B18,'Forbrug af biomasse'!C:C,Restprodukter!$A18,'Forbrug af biomasse'!D:D,Restprodukter!$C18)</f>
        <v>401960.68859899876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124773.42126939242</v>
      </c>
      <c r="G18">
        <f t="shared" si="3"/>
        <v>124773.42126939242</v>
      </c>
      <c r="H18">
        <f t="shared" si="1"/>
        <v>108035.57873060764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>
        <f>SUMIFS('Forbrug af biomasse'!E:E,'Forbrug af biomasse'!F:F,"",'Forbrug af biomasse'!B:B,Restprodukter!$B20,'Forbrug af biomasse'!C:C,Restprodukter!$A20,'Forbrug af biomasse'!D:D,Restprodukter!$C20)</f>
        <v>63881.457195285089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672847.34273924609</v>
      </c>
      <c r="F20">
        <f t="shared" si="2"/>
        <v>608965.88554396096</v>
      </c>
      <c r="G20">
        <f t="shared" si="3"/>
        <v>608965.88554396096</v>
      </c>
      <c r="H20">
        <f t="shared" si="1"/>
        <v>1501637.1325612864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47447.954581366219</v>
      </c>
      <c r="F21">
        <f t="shared" si="2"/>
        <v>47447.954581366219</v>
      </c>
      <c r="G21">
        <f t="shared" si="3"/>
        <v>47447.954581366219</v>
      </c>
      <c r="H21">
        <f t="shared" si="1"/>
        <v>159446.58748119973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40786.879237447567</v>
      </c>
      <c r="F22">
        <f t="shared" si="2"/>
        <v>40786.879237447567</v>
      </c>
      <c r="G22">
        <f t="shared" si="3"/>
        <v>40786.879237447567</v>
      </c>
      <c r="H22">
        <f t="shared" si="1"/>
        <v>151285.23145276494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647645.86028338596</v>
      </c>
      <c r="F23">
        <f t="shared" ca="1" si="2"/>
        <v>647645.86028338596</v>
      </c>
      <c r="G23">
        <f t="shared" ca="1" si="3"/>
        <v>647645.86028338596</v>
      </c>
      <c r="H23">
        <f t="shared" ca="1" si="1"/>
        <v>2217144.8993992088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>
        <f>SUMIFS('Forbrug af biomasse'!E:E,'Forbrug af biomasse'!F:F,"",'Forbrug af biomasse'!B:B,Restprodukter!$B24,'Forbrug af biomasse'!C:C,Restprodukter!$A24,'Forbrug af biomasse'!D:D,Restprodukter!$C24)</f>
        <v>348039.31140100124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108035.57873060764</v>
      </c>
      <c r="G24">
        <f t="shared" si="3"/>
        <v>108035.57873060764</v>
      </c>
      <c r="H24">
        <f t="shared" si="1"/>
        <v>124773.42126939242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>
        <f>SUMIFS('Forbrug af biomasse'!E:E,'Forbrug af biomasse'!F:F,"",'Forbrug af biomasse'!B:B,Restprodukter!$B26,'Forbrug af biomasse'!C:C,Restprodukter!$A26,'Forbrug af biomasse'!D:D,Restprodukter!$C26)</f>
        <v>66504.964166574544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1061580.1152824524</v>
      </c>
      <c r="F26">
        <f t="shared" si="2"/>
        <v>995075.1511158779</v>
      </c>
      <c r="G26">
        <f t="shared" si="3"/>
        <v>995075.1511158779</v>
      </c>
      <c r="H26">
        <f t="shared" si="1"/>
        <v>333600.69581393356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318793.5100057816</v>
      </c>
      <c r="F27">
        <f t="shared" si="2"/>
        <v>318793.5100057816</v>
      </c>
      <c r="G27">
        <f t="shared" si="3"/>
        <v>318793.5100057816</v>
      </c>
      <c r="H27">
        <f t="shared" si="1"/>
        <v>99907.394395814132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109495.6819733945</v>
      </c>
      <c r="F28">
        <f t="shared" si="2"/>
        <v>109495.6819733945</v>
      </c>
      <c r="G28">
        <f t="shared" si="3"/>
        <v>109495.6819733945</v>
      </c>
      <c r="H28">
        <f t="shared" si="1"/>
        <v>34028.264724407527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2287577.6202536402</v>
      </c>
      <c r="F29">
        <f t="shared" ca="1" si="2"/>
        <v>2287577.6202536402</v>
      </c>
      <c r="G29">
        <f t="shared" ca="1" si="3"/>
        <v>2287577.6202536402</v>
      </c>
      <c r="H29">
        <f t="shared" ca="1" si="1"/>
        <v>637918.49942824384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>
        <f>SUMIFS('Forbrug af biomasse'!E:E,'Forbrug af biomasse'!F:F,"",'Forbrug af biomasse'!B:B,Restprodukter!$B30,'Forbrug af biomasse'!C:C,Restprodukter!$A30,'Forbrug af biomasse'!D:D,Restprodukter!$C30)</f>
        <v>523381.79192356829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1500.1831158298883</v>
      </c>
      <c r="G30">
        <f t="shared" si="3"/>
        <v>1500.1831158298883</v>
      </c>
      <c r="H30">
        <f t="shared" si="1"/>
        <v>1308.8168841700535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>
        <f>SUMIFS('Forbrug af biomasse'!E:E,'Forbrug af biomasse'!F:F,"",'Forbrug af biomasse'!B:B,Restprodukter!$B32,'Forbrug af biomasse'!C:C,Restprodukter!$A32,'Forbrug af biomasse'!D:D,Restprodukter!$C32)</f>
        <v>7503.2920332351478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341103.9878471687</v>
      </c>
      <c r="F32">
        <f t="shared" si="2"/>
        <v>333600.69581393356</v>
      </c>
      <c r="G32">
        <f t="shared" si="3"/>
        <v>333600.69581393356</v>
      </c>
      <c r="H32">
        <f t="shared" si="1"/>
        <v>995075.1511158779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99907.394395814132</v>
      </c>
      <c r="F33">
        <f t="shared" si="2"/>
        <v>99907.394395814132</v>
      </c>
      <c r="G33">
        <f t="shared" si="3"/>
        <v>99907.394395814132</v>
      </c>
      <c r="H33">
        <f t="shared" si="1"/>
        <v>318793.5100057816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34028.264724407527</v>
      </c>
      <c r="F34">
        <f t="shared" si="2"/>
        <v>34028.264724407527</v>
      </c>
      <c r="G34">
        <f t="shared" si="3"/>
        <v>34028.264724407527</v>
      </c>
      <c r="H34">
        <f t="shared" si="1"/>
        <v>109495.6819733945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637918.49942824384</v>
      </c>
      <c r="F35">
        <f t="shared" ca="1" si="2"/>
        <v>637918.49942824384</v>
      </c>
      <c r="G35">
        <f t="shared" ca="1" si="3"/>
        <v>637918.49942824384</v>
      </c>
      <c r="H35">
        <f t="shared" ca="1" si="1"/>
        <v>2287577.6202536402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>
        <f>SUMIFS('Forbrug af biomasse'!E:E,'Forbrug af biomasse'!F:F,"",'Forbrug af biomasse'!B:B,Restprodukter!$B36,'Forbrug af biomasse'!C:C,Restprodukter!$A36,'Forbrug af biomasse'!D:D,Restprodukter!$C36)</f>
        <v>456618.20807643177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1308.8168841700535</v>
      </c>
      <c r="G36">
        <f t="shared" si="3"/>
        <v>1308.8168841700535</v>
      </c>
      <c r="H36">
        <f t="shared" si="1"/>
        <v>1500.1831158298883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E1" zoomScale="80" zoomScaleNormal="8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9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80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281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>
        <f>SUMIF($F$3:$F$494,"Roer",I3:I494)</f>
        <v>1856731.7758593475</v>
      </c>
      <c r="O3">
        <f>SUMIF($F$3:$F$494,"Roer",J3:J494)</f>
        <v>328.27548713856038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6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77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78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6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77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78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hidden="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6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77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78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6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77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78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6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77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78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6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77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382.5</v>
      </c>
      <c r="J9" s="278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382.5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6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77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78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6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77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78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6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77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78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6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77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78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hidden="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6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77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78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hidden="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6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77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78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6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77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78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6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77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-9039.6758594233797</v>
      </c>
      <c r="J17" s="278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-12444.151755749648</v>
      </c>
    </row>
    <row r="18" spans="1:10" hidden="1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6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77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78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6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77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78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6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77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78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6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77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-2004.9352535828805</v>
      </c>
      <c r="J21" s="278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-27641.153132235282</v>
      </c>
    </row>
    <row r="22" spans="1:10" hidden="1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6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77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78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6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77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78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6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77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78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6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77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78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-50622.184812770931</v>
      </c>
    </row>
    <row r="26" spans="1:10" hidden="1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6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77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78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6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77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78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693.04550820382815</v>
      </c>
    </row>
    <row r="28" spans="1:10" hidden="1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6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77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78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362.03869831543261</v>
      </c>
    </row>
    <row r="29" spans="1:10" hidden="1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6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77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78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-5268.3067053551467</v>
      </c>
    </row>
    <row r="30" spans="1:10" hidden="1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6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77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78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-3699.2133289461258</v>
      </c>
    </row>
    <row r="31" spans="1:10" hidden="1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6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77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78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6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77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78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6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77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-406847.97136108618</v>
      </c>
      <c r="J33" s="278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-571843.29715420585</v>
      </c>
    </row>
    <row r="34" spans="1:10" hidden="1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6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77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78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6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77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7480.0902236379161</v>
      </c>
      <c r="J35" s="278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103150.49782466076</v>
      </c>
    </row>
    <row r="36" spans="1:10" hidden="1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6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77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1870.0225559094786</v>
      </c>
      <c r="J36" s="278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25787.624456165187</v>
      </c>
    </row>
    <row r="37" spans="1:10" hidden="1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6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77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-52412.776436221</v>
      </c>
      <c r="J37" s="278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-722772.56291428255</v>
      </c>
    </row>
    <row r="38" spans="1:10" hidden="1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6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77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-47171.498792598904</v>
      </c>
      <c r="J38" s="278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-650495.30662285443</v>
      </c>
    </row>
    <row r="39" spans="1:10" hidden="1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6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77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78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76669.397759457366</v>
      </c>
    </row>
    <row r="40" spans="1:10" hidden="1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6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77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78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26539.406916735243</v>
      </c>
    </row>
    <row r="41" spans="1:10" hidden="1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6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77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78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-15874.707453829546</v>
      </c>
    </row>
    <row r="42" spans="1:10" hidden="1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6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77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78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-483498.232736637</v>
      </c>
    </row>
    <row r="43" spans="1:10" hidden="1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6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77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78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3521.5783523746609</v>
      </c>
    </row>
    <row r="44" spans="1:10" hidden="1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6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77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78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1760.7891761873307</v>
      </c>
    </row>
    <row r="45" spans="1:10" hidden="1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6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77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78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-39657.210969034466</v>
      </c>
    </row>
    <row r="46" spans="1:10" hidden="1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6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77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78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-22208.038142659298</v>
      </c>
    </row>
    <row r="47" spans="1:10" hidden="1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6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77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78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6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77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78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6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77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-9039.6758594233797</v>
      </c>
      <c r="J49" s="278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-12442.803263162177</v>
      </c>
    </row>
    <row r="50" spans="1:10" hidden="1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6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77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78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6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77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78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6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77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78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6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77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-1549.2681504958623</v>
      </c>
      <c r="J53" s="278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-21359.072874909081</v>
      </c>
    </row>
    <row r="54" spans="1:10" hidden="1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6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77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78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6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77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78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6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77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78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6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77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78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-49718.217226828594</v>
      </c>
    </row>
    <row r="58" spans="1:10" hidden="1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6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77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78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6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77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78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508.87649855594589</v>
      </c>
    </row>
    <row r="60" spans="1:10" hidden="1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6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77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78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277.56899921233418</v>
      </c>
    </row>
    <row r="61" spans="1:10" hidden="1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6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77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78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-4821.2893449174444</v>
      </c>
    </row>
    <row r="62" spans="1:10" hidden="1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6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77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78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-941.78349023914541</v>
      </c>
    </row>
    <row r="63" spans="1:10" hidden="1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6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77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78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6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77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78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6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77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-309225.33114073338</v>
      </c>
      <c r="J65" s="278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-436072.69673157413</v>
      </c>
    </row>
    <row r="66" spans="1:10" hidden="1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6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77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78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6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77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1898.2610482430161</v>
      </c>
      <c r="J67" s="278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26176.809225603654</v>
      </c>
    </row>
    <row r="68" spans="1:10" hidden="1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6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77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6643.9136688505532</v>
      </c>
      <c r="J68" s="278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91618.832289612736</v>
      </c>
    </row>
    <row r="69" spans="1:10" hidden="1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6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77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-26188.811033851198</v>
      </c>
      <c r="J69" s="278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-361140.79826535203</v>
      </c>
    </row>
    <row r="70" spans="1:10" hidden="1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6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77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-13094.405516925604</v>
      </c>
      <c r="J70" s="278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-180570.3991326761</v>
      </c>
    </row>
    <row r="71" spans="1:10" hidden="1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6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77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78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19741.906414244215</v>
      </c>
    </row>
    <row r="72" spans="1:10" hidden="1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6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77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78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26110.26332206493</v>
      </c>
    </row>
    <row r="73" spans="1:10" hidden="1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6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77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78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-142331.90277556182</v>
      </c>
    </row>
    <row r="74" spans="1:10" hidden="1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6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77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78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-136181.75882846964</v>
      </c>
    </row>
    <row r="75" spans="1:10" hidden="1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6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77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78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1634.6399328059003</v>
      </c>
    </row>
    <row r="76" spans="1:10" hidden="1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6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77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78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891.62178153049126</v>
      </c>
    </row>
    <row r="77" spans="1:10" hidden="1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6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77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78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-41189.721286350257</v>
      </c>
    </row>
    <row r="78" spans="1:10" hidden="1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6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77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78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-11275.91917567507</v>
      </c>
    </row>
    <row r="79" spans="1:10" hidden="1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6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77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78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6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77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78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6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77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78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hidden="1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6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77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78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6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77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78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6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77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78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6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77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78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hidden="1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6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77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78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6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77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78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6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77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78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6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77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78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hidden="1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6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77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78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6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77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78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6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77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78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6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77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78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hidden="1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6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77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78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76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77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6170102.6158003472</v>
      </c>
      <c r="J95" s="278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0</v>
      </c>
    </row>
    <row r="96" spans="1:10" hidden="1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76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77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6656017.1221692413</v>
      </c>
      <c r="J96" s="278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0</v>
      </c>
    </row>
    <row r="97" spans="1:10" hidden="1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76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77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853253.37010987592</v>
      </c>
      <c r="J97" s="278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0</v>
      </c>
    </row>
    <row r="98" spans="1:10" hidden="1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76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77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69742.185090778832</v>
      </c>
      <c r="J98" s="278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0</v>
      </c>
    </row>
    <row r="99" spans="1:10" hidden="1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76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77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-3807861493.6754169</v>
      </c>
      <c r="J99" s="278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0</v>
      </c>
    </row>
    <row r="100" spans="1:10" hidden="1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76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77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-292443.33539980929</v>
      </c>
      <c r="J100" s="278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0</v>
      </c>
    </row>
    <row r="101" spans="1:10" hidden="1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76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77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498642.55540767737</v>
      </c>
      <c r="J101" s="278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0</v>
      </c>
    </row>
    <row r="102" spans="1:10" hidden="1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76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77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1292656.6563913561</v>
      </c>
      <c r="J102" s="278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340428.3606008488</v>
      </c>
    </row>
    <row r="103" spans="1:10" hidden="1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76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77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78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76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77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1401137.5742687352</v>
      </c>
      <c r="J104" s="278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368997.41708377207</v>
      </c>
    </row>
    <row r="105" spans="1:10" hidden="1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76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77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42852.508094059915</v>
      </c>
      <c r="J105" s="278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11285.447690975097</v>
      </c>
    </row>
    <row r="106" spans="1:10" hidden="1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76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77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-2339708961.8914123</v>
      </c>
      <c r="J106" s="278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-616175441.67015314</v>
      </c>
    </row>
    <row r="107" spans="1:10" hidden="1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76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77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-157946.1495426246</v>
      </c>
      <c r="J107" s="278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-41596.001912926637</v>
      </c>
    </row>
    <row r="108" spans="1:10" hidden="1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76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77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337025.4678028865</v>
      </c>
      <c r="J108" s="278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88757.542010548394</v>
      </c>
    </row>
    <row r="109" spans="1:10" hidden="1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76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77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180640.06258957548</v>
      </c>
      <c r="J109" s="278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0</v>
      </c>
    </row>
    <row r="110" spans="1:10" hidden="1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76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77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5241882.7059442066</v>
      </c>
      <c r="J110" s="278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0</v>
      </c>
    </row>
    <row r="111" spans="1:10" hidden="1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76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77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102726.22351893788</v>
      </c>
      <c r="J111" s="278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0</v>
      </c>
    </row>
    <row r="112" spans="1:10" hidden="1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76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77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1962195.5051150892</v>
      </c>
      <c r="J112" s="278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0</v>
      </c>
    </row>
    <row r="113" spans="1:10" hidden="1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76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77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22353.346626701434</v>
      </c>
      <c r="J113" s="278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0</v>
      </c>
    </row>
    <row r="114" spans="1:10" hidden="1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76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77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-1360017921.8507526</v>
      </c>
      <c r="J114" s="278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0</v>
      </c>
    </row>
    <row r="115" spans="1:10" hidden="1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76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77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-5688.3866479242706</v>
      </c>
      <c r="J115" s="278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0</v>
      </c>
    </row>
    <row r="116" spans="1:10" hidden="1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76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77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1471041.6885329406</v>
      </c>
      <c r="J116" s="278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0</v>
      </c>
    </row>
    <row r="117" spans="1:10" hidden="1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76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77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44671.245293344473</v>
      </c>
      <c r="J117" s="278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14523.712090145667</v>
      </c>
    </row>
    <row r="118" spans="1:10" hidden="1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76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77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2413965.3706595763</v>
      </c>
      <c r="J118" s="278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784839.05717902537</v>
      </c>
    </row>
    <row r="119" spans="1:10" hidden="1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76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77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19930.247900107533</v>
      </c>
      <c r="J119" s="278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6479.8100094496049</v>
      </c>
    </row>
    <row r="120" spans="1:10" hidden="1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76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77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922060.31951646914</v>
      </c>
      <c r="J120" s="278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299784.31365557079</v>
      </c>
    </row>
    <row r="121" spans="1:10" hidden="1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76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77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18429.008388861534</v>
      </c>
      <c r="J121" s="278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5991.7204051301032</v>
      </c>
    </row>
    <row r="122" spans="1:10" hidden="1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76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77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-1121254106.123441</v>
      </c>
      <c r="J122" s="278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-364547075.19999999</v>
      </c>
    </row>
    <row r="123" spans="1:10" hidden="1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76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77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-5653.3820476812152</v>
      </c>
      <c r="J123" s="278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-1838.0524799999998</v>
      </c>
    </row>
    <row r="124" spans="1:10" hidden="1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76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77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1014191.1273436294</v>
      </c>
      <c r="J124" s="278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329738.28782233916</v>
      </c>
    </row>
    <row r="125" spans="1:10" hidden="1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76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77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49456516.776949145</v>
      </c>
      <c r="J125" s="278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0</v>
      </c>
    </row>
    <row r="126" spans="1:10" hidden="1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76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77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3147.8530675694519</v>
      </c>
      <c r="J126" s="278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0</v>
      </c>
    </row>
    <row r="127" spans="1:10" hidden="1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76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77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69767.908896682624</v>
      </c>
      <c r="J127" s="278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0</v>
      </c>
    </row>
    <row r="128" spans="1:10" hidden="1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76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77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103066.61827018684</v>
      </c>
      <c r="J128" s="278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0</v>
      </c>
    </row>
    <row r="129" spans="1:10" hidden="1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76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77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4352.9170396075651</v>
      </c>
      <c r="J129" s="278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0</v>
      </c>
    </row>
    <row r="130" spans="1:10" hidden="1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76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77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-171269705.39213544</v>
      </c>
      <c r="J130" s="278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0</v>
      </c>
    </row>
    <row r="131" spans="1:10" hidden="1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76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77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-4059.3144459824302</v>
      </c>
      <c r="J131" s="278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0</v>
      </c>
    </row>
    <row r="132" spans="1:10" hidden="1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76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77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6613.3514734124437</v>
      </c>
      <c r="J132" s="278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0</v>
      </c>
    </row>
    <row r="133" spans="1:10" hidden="1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76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77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2794164.600858218</v>
      </c>
      <c r="J133" s="278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3180048.1032192786</v>
      </c>
    </row>
    <row r="134" spans="1:10" hidden="1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76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77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4936.6475829810388</v>
      </c>
      <c r="J134" s="278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5618.4151705662098</v>
      </c>
    </row>
    <row r="135" spans="1:10" hidden="1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76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77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18588.45868949993</v>
      </c>
      <c r="J135" s="278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21155.587175915862</v>
      </c>
    </row>
    <row r="136" spans="1:10" hidden="1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76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77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34222.445868990108</v>
      </c>
      <c r="J136" s="278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38948.680417674739</v>
      </c>
    </row>
    <row r="137" spans="1:10" hidden="1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76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77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3511.8508897724369</v>
      </c>
      <c r="J137" s="278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3996.8492755865582</v>
      </c>
    </row>
    <row r="138" spans="1:10" hidden="1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76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77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-138177149.20812261</v>
      </c>
      <c r="J138" s="278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-157259876.928</v>
      </c>
    </row>
    <row r="139" spans="1:10" hidden="1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76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77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-6168.6227325054742</v>
      </c>
      <c r="J139" s="278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-7020.5302199999996</v>
      </c>
    </row>
    <row r="140" spans="1:10" hidden="1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76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77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5869.0791598942833</v>
      </c>
      <c r="J140" s="278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6679.6186754112641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6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77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4467804.1187610095</v>
      </c>
      <c r="J141" s="278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0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6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77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1532729.9136543253</v>
      </c>
      <c r="J142" s="278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0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6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77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-101975557.63220564</v>
      </c>
      <c r="J143" s="278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0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6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77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1449132.8188095933</v>
      </c>
      <c r="J144" s="278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0</v>
      </c>
    </row>
    <row r="145" spans="1:10" hidden="1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6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77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141752.11522881981</v>
      </c>
      <c r="J145" s="278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15397.336185783735</v>
      </c>
    </row>
    <row r="146" spans="1:10" hidden="1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6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77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48629.64032434766</v>
      </c>
      <c r="J146" s="278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5745.900931129846</v>
      </c>
    </row>
    <row r="147" spans="1:10" hidden="1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6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77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-2190653.2310683043</v>
      </c>
      <c r="J147" s="278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-237952.17595719043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6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77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269478.89951068332</v>
      </c>
      <c r="J148" s="278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29271.219015273164</v>
      </c>
    </row>
    <row r="149" spans="1:10" hidden="1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6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77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81129.951536576918</v>
      </c>
      <c r="J149" s="278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6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77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27832.532561414395</v>
      </c>
      <c r="J150" s="278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6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77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-826675.68307088781</v>
      </c>
      <c r="J151" s="278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6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77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338537.69914151268</v>
      </c>
      <c r="J152" s="278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6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77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468128.30183379125</v>
      </c>
      <c r="J153" s="278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0</v>
      </c>
    </row>
    <row r="154" spans="1:10" hidden="1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6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77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160596.62254123858</v>
      </c>
      <c r="J154" s="278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0</v>
      </c>
    </row>
    <row r="155" spans="1:10" hidden="1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6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77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-10684811.454123624</v>
      </c>
      <c r="J155" s="278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0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6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77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226623.093478405</v>
      </c>
      <c r="J156" s="278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0</v>
      </c>
    </row>
    <row r="157" spans="1:10" hidden="1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6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77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14852.526032814851</v>
      </c>
      <c r="J157" s="278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2188.2880821613853</v>
      </c>
    </row>
    <row r="158" spans="1:10" hidden="1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6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77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5095.3243111602633</v>
      </c>
      <c r="J158" s="278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816.614405060575</v>
      </c>
    </row>
    <row r="159" spans="1:10" hidden="1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6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77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-229532.61819614016</v>
      </c>
      <c r="J159" s="278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-33818.051673915856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6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77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42142.54279634219</v>
      </c>
      <c r="J160" s="278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6209.0464577852163</v>
      </c>
    </row>
    <row r="161" spans="1:10" hidden="1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6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77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8500.6471705406293</v>
      </c>
      <c r="J161" s="278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6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77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2916.2415937164724</v>
      </c>
      <c r="J162" s="278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6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77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-86617.558289592736</v>
      </c>
      <c r="J163" s="278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6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77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52942.32498407847</v>
      </c>
      <c r="J164" s="278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6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77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960905.886183928</v>
      </c>
      <c r="J165" s="278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2779647.4263647147</v>
      </c>
    </row>
    <row r="166" spans="1:10" hidden="1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6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77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-9327032.7102627102</v>
      </c>
      <c r="J166" s="278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-27007845.18426656</v>
      </c>
    </row>
    <row r="167" spans="1:10" hidden="1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6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77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106034.10869338489</v>
      </c>
      <c r="J167" s="278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307037.92736693099</v>
      </c>
    </row>
    <row r="168" spans="1:10" hidden="1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6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77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1650.7407147964097</v>
      </c>
      <c r="J168" s="278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179.12546502231294</v>
      </c>
    </row>
    <row r="169" spans="1:10" hidden="1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6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77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-13018.617850467324</v>
      </c>
      <c r="J169" s="278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-1414.1026071767321</v>
      </c>
    </row>
    <row r="170" spans="1:10" hidden="1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6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77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1067.6397833423794</v>
      </c>
      <c r="J170" s="278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115.96870101658794</v>
      </c>
    </row>
    <row r="171" spans="1:10" hidden="1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6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77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476.64230551424049</v>
      </c>
      <c r="J171" s="278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6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77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-3139.4299874580133</v>
      </c>
      <c r="J172" s="278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hidden="1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6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77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676.65777544473281</v>
      </c>
      <c r="J173" s="278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6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77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85654.795154713065</v>
      </c>
      <c r="J174" s="278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336084.64336955175</v>
      </c>
    </row>
    <row r="175" spans="1:10" hidden="1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6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77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-831408.24474660517</v>
      </c>
      <c r="J175" s="278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-3265494.0086431382</v>
      </c>
    </row>
    <row r="176" spans="1:10" hidden="1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6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77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16582.177571590611</v>
      </c>
      <c r="J176" s="278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65129.25732025809</v>
      </c>
    </row>
    <row r="177" spans="1:10" hidden="1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6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77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147.14641653508068</v>
      </c>
      <c r="J177" s="278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21.657897134516016</v>
      </c>
    </row>
    <row r="178" spans="1:10" hidden="1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6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77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-1160.4747782404841</v>
      </c>
      <c r="J178" s="278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-170.97786068591395</v>
      </c>
    </row>
    <row r="179" spans="1:10" hidden="1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6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77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166.96318465854509</v>
      </c>
      <c r="J179" s="278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24.599421427761079</v>
      </c>
    </row>
    <row r="180" spans="1:10" hidden="1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6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77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42.487718753632187</v>
      </c>
      <c r="J180" s="278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6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77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-279.84762747806474</v>
      </c>
      <c r="J181" s="278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hidden="1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6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77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105.81933988871313</v>
      </c>
      <c r="J182" s="278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6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77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123950.28623733921</v>
      </c>
      <c r="J183" s="278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409481.53825893049</v>
      </c>
    </row>
    <row r="184" spans="1:10" hidden="1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6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77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-98108742.92070584</v>
      </c>
      <c r="J184" s="278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-283597603.23210698</v>
      </c>
    </row>
    <row r="185" spans="1:10" hidden="1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6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77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21244.694874275043</v>
      </c>
      <c r="J185" s="278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61410.883152496965</v>
      </c>
    </row>
    <row r="186" spans="1:10" hidden="1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6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77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11048.882653004315</v>
      </c>
      <c r="J186" s="278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49510.0405349434</v>
      </c>
    </row>
    <row r="187" spans="1:10" hidden="1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6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77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-8745377.0432528555</v>
      </c>
      <c r="J187" s="278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-34289528.390791111</v>
      </c>
    </row>
    <row r="188" spans="1:10" hidden="1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6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77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3322.3583165882492</v>
      </c>
      <c r="J188" s="278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13026.550971741777</v>
      </c>
    </row>
    <row r="189" spans="1:10" hidden="1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6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77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1445685.9303240757</v>
      </c>
      <c r="J189" s="278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0</v>
      </c>
    </row>
    <row r="190" spans="1:10" hidden="1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6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77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-5105917.0455571888</v>
      </c>
      <c r="J190" s="278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0</v>
      </c>
    </row>
    <row r="191" spans="1:10" hidden="1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6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77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77395.298848875886</v>
      </c>
      <c r="J191" s="278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0</v>
      </c>
    </row>
    <row r="192" spans="1:10" hidden="1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6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77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53717.254503304226</v>
      </c>
      <c r="J192" s="278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5834.8520953606285</v>
      </c>
    </row>
    <row r="193" spans="1:10" hidden="1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6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77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-126480.1432804846</v>
      </c>
      <c r="J193" s="278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-13738.470736553618</v>
      </c>
    </row>
    <row r="194" spans="1:10" hidden="1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6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77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16855.264957477328</v>
      </c>
      <c r="J194" s="278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1830.8452091300692</v>
      </c>
    </row>
    <row r="195" spans="1:10" hidden="1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6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77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52002.11362550452</v>
      </c>
      <c r="J195" s="278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6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77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-78712.555194952045</v>
      </c>
      <c r="J196" s="278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hidden="1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6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77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35815.69448030561</v>
      </c>
      <c r="J197" s="278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6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77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128867.90891845687</v>
      </c>
      <c r="J198" s="278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0</v>
      </c>
    </row>
    <row r="199" spans="1:10" hidden="1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6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77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-455139.55622751371</v>
      </c>
      <c r="J199" s="278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0</v>
      </c>
    </row>
    <row r="200" spans="1:10" hidden="1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6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77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12103.488250460001</v>
      </c>
      <c r="J200" s="278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0</v>
      </c>
    </row>
    <row r="201" spans="1:10" hidden="1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6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77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4788.3361907863291</v>
      </c>
      <c r="J201" s="278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705.4866624390578</v>
      </c>
    </row>
    <row r="202" spans="1:10" hidden="1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6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77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-11274.393173771223</v>
      </c>
      <c r="J202" s="278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-1661.1060072378464</v>
      </c>
    </row>
    <row r="203" spans="1:10" hidden="1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6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77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2635.9159329504942</v>
      </c>
      <c r="J203" s="278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388.36110496698439</v>
      </c>
    </row>
    <row r="204" spans="1:10" hidden="1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6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77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4635.4491675495001</v>
      </c>
      <c r="J204" s="278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6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77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-7016.4080460603509</v>
      </c>
      <c r="J205" s="278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hidden="1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6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77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5601.0486912247425</v>
      </c>
      <c r="J206" s="278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6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77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6942110.4462485351</v>
      </c>
      <c r="J207" s="278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23452262.36575786</v>
      </c>
    </row>
    <row r="208" spans="1:10" hidden="1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6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77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-21685351.051360801</v>
      </c>
      <c r="J208" s="278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-73258780.062323034</v>
      </c>
    </row>
    <row r="209" spans="1:10" hidden="1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6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77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318102.32608015463</v>
      </c>
      <c r="J209" s="278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1074632.7457842582</v>
      </c>
    </row>
    <row r="210" spans="1:10" hidden="1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6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77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849957.892224535</v>
      </c>
      <c r="J210" s="278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92323.75396455852</v>
      </c>
    </row>
    <row r="211" spans="1:10" hidden="1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6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77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-1855678.590440507</v>
      </c>
      <c r="J211" s="278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-201566.70723150289</v>
      </c>
    </row>
    <row r="212" spans="1:10" hidden="1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6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77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228272.65278931396</v>
      </c>
      <c r="J212" s="278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24795.332128512426</v>
      </c>
    </row>
    <row r="213" spans="1:10" hidden="1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6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77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987549.98266747163</v>
      </c>
      <c r="J213" s="278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6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77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-1492669.2603800965</v>
      </c>
      <c r="J214" s="278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6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77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582165.09850310732</v>
      </c>
      <c r="J215" s="278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6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77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846802.42477301881</v>
      </c>
      <c r="J216" s="278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3880283.4096072102</v>
      </c>
    </row>
    <row r="217" spans="1:10" hidden="1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6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77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-2645190.9681543312</v>
      </c>
      <c r="J217" s="278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-12120998.155766174</v>
      </c>
    </row>
    <row r="218" spans="1:10" hidden="1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6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77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49746.532714771834</v>
      </c>
      <c r="J218" s="278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227952.40062090327</v>
      </c>
    </row>
    <row r="219" spans="1:10" hidden="1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6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77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103678.32803346509</v>
      </c>
      <c r="J219" s="278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15275.384746863318</v>
      </c>
    </row>
    <row r="220" spans="1:10" hidden="1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6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77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-226356.688236438</v>
      </c>
      <c r="J220" s="278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-33350.127923757755</v>
      </c>
    </row>
    <row r="221" spans="1:10" hidden="1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6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77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35698.490890663779</v>
      </c>
      <c r="J221" s="278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5259.6159060480904</v>
      </c>
    </row>
    <row r="222" spans="1:10" hidden="1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6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77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120461.88639353555</v>
      </c>
      <c r="J222" s="278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6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77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-182076.61184028955</v>
      </c>
      <c r="J223" s="278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hidden="1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6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77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91042.072766188285</v>
      </c>
      <c r="J224" s="278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6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77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732047.70731948595</v>
      </c>
      <c r="J225" s="278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1303128.5301408616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6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77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228424.75811780652</v>
      </c>
      <c r="J226" s="278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442315.41413725616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6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77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78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6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77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431205.3753530985</v>
      </c>
      <c r="J228" s="278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767594.81841732748</v>
      </c>
    </row>
    <row r="229" spans="1:10" hidden="1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6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77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6691.1734965153737</v>
      </c>
      <c r="J229" s="278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726.80571740990047</v>
      </c>
    </row>
    <row r="230" spans="1:10" hidden="1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6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77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2087.8826232000647</v>
      </c>
      <c r="J230" s="278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246.69659550676528</v>
      </c>
    </row>
    <row r="231" spans="1:10" hidden="1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6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77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78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6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77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23100.863885166855</v>
      </c>
      <c r="J232" s="278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2509.2519208463154</v>
      </c>
    </row>
    <row r="233" spans="1:10" hidden="1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6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77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2572.2684916725279</v>
      </c>
      <c r="J233" s="278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6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77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802.63868344842774</v>
      </c>
      <c r="J234" s="278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6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77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78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6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77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19492.737435619201</v>
      </c>
      <c r="J236" s="278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6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77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65254.461769345224</v>
      </c>
      <c r="J237" s="278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157560.08591703142</v>
      </c>
    </row>
    <row r="238" spans="1:10" hidden="1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6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77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20361.698420380486</v>
      </c>
      <c r="J238" s="278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53479.954618413693</v>
      </c>
    </row>
    <row r="239" spans="1:10" hidden="1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6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77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78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6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77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67434.188791135151</v>
      </c>
      <c r="J240" s="278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162823.1433006452</v>
      </c>
    </row>
    <row r="241" spans="1:10" hidden="1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6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77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596.44872971354232</v>
      </c>
      <c r="J241" s="278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87.877418559560681</v>
      </c>
    </row>
    <row r="242" spans="1:10" hidden="1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6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77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186.11308450560904</v>
      </c>
      <c r="J242" s="278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29.827861093090707</v>
      </c>
    </row>
    <row r="243" spans="1:10" hidden="1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6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77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78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6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77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3612.6358934998002</v>
      </c>
      <c r="J244" s="278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532.26555896740024</v>
      </c>
    </row>
    <row r="245" spans="1:10" hidden="1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6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77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229.29106159618229</v>
      </c>
      <c r="J245" s="278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6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77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71.546915262484077</v>
      </c>
      <c r="J246" s="278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6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77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78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6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77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3048.3778993088745</v>
      </c>
      <c r="J248" s="278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6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77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1700997.199318239</v>
      </c>
      <c r="J249" s="278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0</v>
      </c>
    </row>
    <row r="250" spans="1:10" hidden="1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6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77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-2826142.4812331875</v>
      </c>
      <c r="J250" s="278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0</v>
      </c>
    </row>
    <row r="251" spans="1:10" hidden="1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6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77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47598.401787342831</v>
      </c>
      <c r="J251" s="278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0</v>
      </c>
    </row>
    <row r="252" spans="1:10" hidden="1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6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77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2696.1994696052566</v>
      </c>
      <c r="J252" s="278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292.86539809603926</v>
      </c>
    </row>
    <row r="253" spans="1:10" hidden="1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6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77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-2903.4660893756095</v>
      </c>
      <c r="J253" s="278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-315.37902210470799</v>
      </c>
    </row>
    <row r="254" spans="1:10" hidden="1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6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77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442.20326007288543</v>
      </c>
      <c r="J254" s="278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48.032808870618389</v>
      </c>
    </row>
    <row r="255" spans="1:10" hidden="1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6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77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1075.8747968565574</v>
      </c>
      <c r="J255" s="278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6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77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-709.33542224784844</v>
      </c>
      <c r="J256" s="278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hidden="1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6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77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387.31316554566843</v>
      </c>
      <c r="J257" s="278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6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77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151626.26097021959</v>
      </c>
      <c r="J258" s="278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0</v>
      </c>
    </row>
    <row r="259" spans="1:10" hidden="1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6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77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-251921.29509104264</v>
      </c>
      <c r="J259" s="278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0</v>
      </c>
    </row>
    <row r="260" spans="1:10" hidden="1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6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77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7443.6910941929355</v>
      </c>
      <c r="J260" s="278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0</v>
      </c>
    </row>
    <row r="261" spans="1:10" hidden="1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6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77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240.33822311405777</v>
      </c>
      <c r="J261" s="278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35.410089042521108</v>
      </c>
    </row>
    <row r="262" spans="1:10" hidden="1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6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77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-258.81389291075749</v>
      </c>
      <c r="J262" s="278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-38.132190854478324</v>
      </c>
    </row>
    <row r="263" spans="1:10" hidden="1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6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77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69.154096465964017</v>
      </c>
      <c r="J263" s="278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10.188777639222083</v>
      </c>
    </row>
    <row r="264" spans="1:10" hidden="1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6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77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95.903081313030597</v>
      </c>
      <c r="J264" s="278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6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77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-63.229897081712338</v>
      </c>
      <c r="J265" s="278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hidden="1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6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77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60.570091700066534</v>
      </c>
      <c r="J266" s="278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6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77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26793.960838106301</v>
      </c>
      <c r="J267" s="278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1599292.8692455073</v>
      </c>
    </row>
    <row r="268" spans="1:10" hidden="1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6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77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-441832.0986260167</v>
      </c>
      <c r="J268" s="278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-26372320.576486576</v>
      </c>
    </row>
    <row r="269" spans="1:10" hidden="1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6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77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6203.6204831674395</v>
      </c>
      <c r="J269" s="278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370285.15724800411</v>
      </c>
    </row>
    <row r="270" spans="1:10" hidden="1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6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77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619.52114717037296</v>
      </c>
      <c r="J270" s="278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67.293354753730355</v>
      </c>
    </row>
    <row r="271" spans="1:10" hidden="1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6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77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-8513.2470164754814</v>
      </c>
      <c r="J271" s="278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-924.72218939166169</v>
      </c>
    </row>
    <row r="272" spans="1:10" hidden="1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6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77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648.32598403263603</v>
      </c>
      <c r="J272" s="278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70.422181129470744</v>
      </c>
    </row>
    <row r="273" spans="1:10" hidden="1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6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77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400.62331903378896</v>
      </c>
      <c r="J273" s="278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6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77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-4718.7670086429798</v>
      </c>
      <c r="J274" s="278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hidden="1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6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77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960.66325051225613</v>
      </c>
      <c r="J275" s="278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6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77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2388.4037552165696</v>
      </c>
      <c r="J276" s="278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193369.0469178659</v>
      </c>
    </row>
    <row r="277" spans="1:10" hidden="1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6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77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-39384.7497915571</v>
      </c>
      <c r="J277" s="278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-3188653.3060661042</v>
      </c>
    </row>
    <row r="278" spans="1:10" hidden="1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6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77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970.15514824671629</v>
      </c>
      <c r="J278" s="278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78545.336385940274</v>
      </c>
    </row>
    <row r="279" spans="1:10" hidden="1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6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77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55.223885833012702</v>
      </c>
      <c r="J279" s="278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8.136378347496489</v>
      </c>
    </row>
    <row r="280" spans="1:10" hidden="1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6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77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-758.86768910696685</v>
      </c>
      <c r="J280" s="278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-111.80731926281001</v>
      </c>
    </row>
    <row r="281" spans="1:10" hidden="1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6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77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101.38866374208592</v>
      </c>
      <c r="J281" s="278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14.938038421402885</v>
      </c>
    </row>
    <row r="282" spans="1:10" hidden="1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6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77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35.711414426149254</v>
      </c>
      <c r="J282" s="278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6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77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-420.62914518432581</v>
      </c>
      <c r="J283" s="278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hidden="1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6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77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150.23362579073088</v>
      </c>
      <c r="J284" s="278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6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77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1295451.653970618</v>
      </c>
      <c r="J285" s="278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0</v>
      </c>
    </row>
    <row r="286" spans="1:10" hidden="1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6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77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-6177421.0679972284</v>
      </c>
      <c r="J286" s="278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0</v>
      </c>
    </row>
    <row r="287" spans="1:10" hidden="1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6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77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98854.433932372893</v>
      </c>
      <c r="J287" s="278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0</v>
      </c>
    </row>
    <row r="288" spans="1:10" hidden="1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6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77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38453.226559531351</v>
      </c>
      <c r="J288" s="278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4176.8495363153243</v>
      </c>
    </row>
    <row r="289" spans="1:10" hidden="1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6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77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-134432.54220776766</v>
      </c>
      <c r="J289" s="278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-14602.272730401739</v>
      </c>
    </row>
    <row r="290" spans="1:10" hidden="1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6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77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17198.433024245674</v>
      </c>
      <c r="J290" s="278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1868.120660602016</v>
      </c>
    </row>
    <row r="291" spans="1:10" hidden="1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6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77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24866.397736704123</v>
      </c>
      <c r="J291" s="278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6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77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-64330.395344285091</v>
      </c>
      <c r="J292" s="278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hidden="1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6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77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24411.787076559121</v>
      </c>
      <c r="J293" s="278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6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77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115476.08111170238</v>
      </c>
      <c r="J294" s="278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0</v>
      </c>
    </row>
    <row r="295" spans="1:10" hidden="1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6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77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-550653.02832626307</v>
      </c>
      <c r="J295" s="278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0</v>
      </c>
    </row>
    <row r="296" spans="1:10" hidden="1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6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77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15459.381866883607</v>
      </c>
      <c r="J296" s="278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0</v>
      </c>
    </row>
    <row r="297" spans="1:10" hidden="1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6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77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3427.706387640942</v>
      </c>
      <c r="J297" s="278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505.01908029994365</v>
      </c>
    </row>
    <row r="298" spans="1:10" hidden="1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6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77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-11983.267071724025</v>
      </c>
      <c r="J298" s="278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-1765.5475210394832</v>
      </c>
    </row>
    <row r="299" spans="1:10" hidden="1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6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77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2689.5823794380781</v>
      </c>
      <c r="J299" s="278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396.2680189155792</v>
      </c>
    </row>
    <row r="300" spans="1:10" hidden="1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6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77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2216.5814935650428</v>
      </c>
      <c r="J300" s="278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6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77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-5734.3876384390578</v>
      </c>
      <c r="J301" s="278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hidden="1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6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77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3817.6450307505465</v>
      </c>
      <c r="J302" s="278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6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77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3874698.1087154043</v>
      </c>
      <c r="J303" s="278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0</v>
      </c>
    </row>
    <row r="304" spans="1:10" hidden="1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6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77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-13928368.847325649</v>
      </c>
      <c r="J304" s="278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0</v>
      </c>
    </row>
    <row r="305" spans="1:10" hidden="1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6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77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197930.33622765177</v>
      </c>
      <c r="J305" s="278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0</v>
      </c>
    </row>
    <row r="306" spans="1:10" hidden="1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6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77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190652.27234660808</v>
      </c>
      <c r="J306" s="278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20708.947638387672</v>
      </c>
    </row>
    <row r="307" spans="1:10" hidden="1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6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77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-464030.46890322492</v>
      </c>
      <c r="J307" s="278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-50403.714389844921</v>
      </c>
    </row>
    <row r="308" spans="1:10" hidden="1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6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77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57081.795660779528</v>
      </c>
      <c r="J308" s="278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6200.3138116032987</v>
      </c>
    </row>
    <row r="309" spans="1:10" hidden="1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6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77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73291.902127234425</v>
      </c>
      <c r="J309" s="278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6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77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-117617.07180927949</v>
      </c>
      <c r="J310" s="278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hidden="1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6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77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48166.18377132203</v>
      </c>
      <c r="J311" s="278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6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77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502935.08644919499</v>
      </c>
      <c r="J312" s="278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0</v>
      </c>
    </row>
    <row r="313" spans="1:10" hidden="1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6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77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-1807899.6592197525</v>
      </c>
      <c r="J313" s="278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0</v>
      </c>
    </row>
    <row r="314" spans="1:10" hidden="1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6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77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30953.398133635812</v>
      </c>
      <c r="J314" s="278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0</v>
      </c>
    </row>
    <row r="315" spans="1:10" hidden="1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6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77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24746.629126718264</v>
      </c>
      <c r="J315" s="278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3646.0298720918895</v>
      </c>
    </row>
    <row r="316" spans="1:10" hidden="1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6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77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-60231.067671560209</v>
      </c>
      <c r="J316" s="278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-8874.1085031817856</v>
      </c>
    </row>
    <row r="317" spans="1:10" hidden="1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6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77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8926.7546397676106</v>
      </c>
      <c r="J317" s="278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1315.2180812491845</v>
      </c>
    </row>
    <row r="318" spans="1:10" hidden="1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6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77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9513.275124447644</v>
      </c>
      <c r="J318" s="278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6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77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-15266.673820405758</v>
      </c>
      <c r="J319" s="278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hidden="1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6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77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7532.4838590523868</v>
      </c>
      <c r="J320" s="278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6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77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446843.57108458714</v>
      </c>
      <c r="J321" s="278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891258.89108079637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6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77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250845.80536577498</v>
      </c>
      <c r="J322" s="278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544247.24183848815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6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77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-17772187.486318804</v>
      </c>
      <c r="J323" s="278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-35447796.804349855</v>
      </c>
    </row>
    <row r="324" spans="1:10" hidden="1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6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77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230905.84334593517</v>
      </c>
      <c r="J324" s="278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460556.89105039643</v>
      </c>
    </row>
    <row r="325" spans="1:10" hidden="1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6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77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8167.1236295539475</v>
      </c>
      <c r="J325" s="278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887.12572642819805</v>
      </c>
    </row>
    <row r="326" spans="1:10" hidden="1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6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77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4584.8006706344577</v>
      </c>
      <c r="J326" s="278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541.72332484337903</v>
      </c>
    </row>
    <row r="327" spans="1:10" hidden="1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6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77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-224286.53906918984</v>
      </c>
      <c r="J327" s="278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-24362.354229562257</v>
      </c>
    </row>
    <row r="328" spans="1:10" hidden="1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6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77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24736.012300245315</v>
      </c>
      <c r="J328" s="278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2686.8642959419058</v>
      </c>
    </row>
    <row r="329" spans="1:10" hidden="1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6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77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3796.9620107490664</v>
      </c>
      <c r="J329" s="278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6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77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2131.5110145096023</v>
      </c>
      <c r="J330" s="278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6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77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-70884.842733140031</v>
      </c>
      <c r="J331" s="278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hidden="1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6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77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25242.212303433244</v>
      </c>
      <c r="J332" s="278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6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77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38433.875132868525</v>
      </c>
      <c r="J333" s="278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103980.20395942628</v>
      </c>
    </row>
    <row r="334" spans="1:10" hidden="1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6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77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21575.730266480678</v>
      </c>
      <c r="J334" s="278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63495.511547823633</v>
      </c>
    </row>
    <row r="335" spans="1:10" hidden="1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6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77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-1528620.0336936347</v>
      </c>
      <c r="J335" s="278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-4135576.2938408176</v>
      </c>
    </row>
    <row r="336" spans="1:10" hidden="1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6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77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36110.283227373002</v>
      </c>
      <c r="J336" s="278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97693.885980387131</v>
      </c>
    </row>
    <row r="337" spans="1:10" hidden="1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6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77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702.4700143074374</v>
      </c>
      <c r="J337" s="278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103.49800141662313</v>
      </c>
    </row>
    <row r="338" spans="1:10" hidden="1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6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77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394.34752536900629</v>
      </c>
      <c r="J338" s="278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63.201054565060893</v>
      </c>
    </row>
    <row r="339" spans="1:10" hidden="1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6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77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-19291.316680791366</v>
      </c>
      <c r="J339" s="278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-2842.2746601155968</v>
      </c>
    </row>
    <row r="340" spans="1:10" hidden="1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6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77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3868.3490947409355</v>
      </c>
      <c r="J340" s="278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569.94091126040428</v>
      </c>
    </row>
    <row r="341" spans="1:10" hidden="1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6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77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326.58400668306854</v>
      </c>
      <c r="J341" s="278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6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77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183.3353627023273</v>
      </c>
      <c r="J342" s="278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6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77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-6096.9416832066363</v>
      </c>
      <c r="J343" s="278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hidden="1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6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77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3947.5113420879125</v>
      </c>
      <c r="J344" s="278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6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77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897265.08822235977</v>
      </c>
      <c r="J345" s="278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0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6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77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156672.21267540849</v>
      </c>
      <c r="J346" s="278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0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6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77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-9419208.8157854788</v>
      </c>
      <c r="J347" s="278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0</v>
      </c>
    </row>
    <row r="348" spans="1:10" hidden="1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6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77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142776.01353747226</v>
      </c>
      <c r="J348" s="278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0</v>
      </c>
    </row>
    <row r="349" spans="1:10" hidden="1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6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77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45516.650390828465</v>
      </c>
      <c r="J349" s="278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4944.0896665779201</v>
      </c>
    </row>
    <row r="350" spans="1:10" hidden="1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6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77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7947.7006560371638</v>
      </c>
      <c r="J350" s="278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939.07132142618445</v>
      </c>
    </row>
    <row r="351" spans="1:10" hidden="1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6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77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-358364.69087054447</v>
      </c>
      <c r="J351" s="278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-38926.132520429543</v>
      </c>
    </row>
    <row r="352" spans="1:10" hidden="1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6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77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42450.804507408553</v>
      </c>
      <c r="J352" s="278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4611.0726975921898</v>
      </c>
    </row>
    <row r="353" spans="1:10" hidden="1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6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77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37940.921871912164</v>
      </c>
      <c r="J353" s="278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6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77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6624.896319541378</v>
      </c>
      <c r="J354" s="278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6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77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-227595.40262380653</v>
      </c>
      <c r="J355" s="278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hidden="1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6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77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77670.144730791013</v>
      </c>
      <c r="J356" s="278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6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77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79981.87797181512</v>
      </c>
      <c r="J357" s="278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0</v>
      </c>
    </row>
    <row r="358" spans="1:10" hidden="1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6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77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13965.703068426279</v>
      </c>
      <c r="J358" s="278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0</v>
      </c>
    </row>
    <row r="359" spans="1:10" hidden="1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6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77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-839624.78868730983</v>
      </c>
      <c r="J359" s="278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0</v>
      </c>
    </row>
    <row r="360" spans="1:10" hidden="1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6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77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22328.071963035167</v>
      </c>
      <c r="J360" s="278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0</v>
      </c>
    </row>
    <row r="361" spans="1:10" hidden="1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6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77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4057.3373744625446</v>
      </c>
      <c r="J361" s="278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597.78538695896657</v>
      </c>
    </row>
    <row r="362" spans="1:10" hidden="1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6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77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708.45509579232316</v>
      </c>
      <c r="J362" s="278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113.54225977243864</v>
      </c>
    </row>
    <row r="363" spans="1:10" hidden="1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6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77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-31944.495947569911</v>
      </c>
      <c r="J363" s="278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-4706.5232956519339</v>
      </c>
    </row>
    <row r="364" spans="1:10" hidden="1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6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77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6638.6824680560867</v>
      </c>
      <c r="J364" s="278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978.10632979228262</v>
      </c>
    </row>
    <row r="365" spans="1:10" hidden="1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6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77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3382.039737341725</v>
      </c>
      <c r="J365" s="278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6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77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590.54080668094923</v>
      </c>
      <c r="J366" s="278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6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77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-20287.769978510783</v>
      </c>
      <c r="J367" s="278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hidden="1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6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77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12146.470110494452</v>
      </c>
      <c r="J368" s="278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6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77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589696.58897254209</v>
      </c>
      <c r="J369" s="278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512266.91302807356</v>
      </c>
    </row>
    <row r="370" spans="1:10" hidden="1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6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77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-1297332.4957395925</v>
      </c>
      <c r="J370" s="278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-1126987.2086617618</v>
      </c>
    </row>
    <row r="371" spans="1:10" hidden="1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6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77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23183.265269374293</v>
      </c>
      <c r="J371" s="278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20139.203711768969</v>
      </c>
    </row>
    <row r="372" spans="1:10" hidden="1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6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77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18299.385148663801</v>
      </c>
      <c r="J372" s="278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1987.7078001431428</v>
      </c>
    </row>
    <row r="373" spans="1:10" hidden="1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6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77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-30498.975247773</v>
      </c>
      <c r="J373" s="278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-3312.8463335719048</v>
      </c>
    </row>
    <row r="374" spans="1:10" hidden="1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6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77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3251.707526132599</v>
      </c>
      <c r="J374" s="278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353.20555094988441</v>
      </c>
    </row>
    <row r="375" spans="1:10" hidden="1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6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77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11833.591876596904</v>
      </c>
      <c r="J375" s="278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6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77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-15214.618127053162</v>
      </c>
      <c r="J376" s="278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hidden="1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6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77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4818.2488419474821</v>
      </c>
      <c r="J377" s="278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6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77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52565.335750485639</v>
      </c>
      <c r="J378" s="278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61937.726757030709</v>
      </c>
    </row>
    <row r="379" spans="1:10" hidden="1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6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77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-115643.73865106842</v>
      </c>
      <c r="J379" s="278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-136262.99886546758</v>
      </c>
    </row>
    <row r="380" spans="1:10" hidden="1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6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77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3625.5222599898862</v>
      </c>
      <c r="J380" s="278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4271.9523024964483</v>
      </c>
    </row>
    <row r="381" spans="1:10" hidden="1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6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77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1631.2004212928434</v>
      </c>
      <c r="J381" s="278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240.33194310821628</v>
      </c>
    </row>
    <row r="382" spans="1:10" hidden="1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6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77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-2718.6673688214059</v>
      </c>
      <c r="J382" s="278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-400.55323851369383</v>
      </c>
    </row>
    <row r="383" spans="1:10" hidden="1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6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77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508.51930830227553</v>
      </c>
      <c r="J383" s="278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74.922389595430005</v>
      </c>
    </row>
    <row r="384" spans="1:10" hidden="1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6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77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1054.8420013948894</v>
      </c>
      <c r="J384" s="278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6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77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-1356.2254303648576</v>
      </c>
      <c r="J385" s="278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hidden="1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6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77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753.503366660246</v>
      </c>
      <c r="J386" s="278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6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77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110616.69248936346</v>
      </c>
      <c r="J387" s="278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96092.249218589946</v>
      </c>
    </row>
    <row r="388" spans="1:10" hidden="1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6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77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-544234.12704766821</v>
      </c>
      <c r="J388" s="278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-472773.86615546251</v>
      </c>
    </row>
    <row r="389" spans="1:10" hidden="1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6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77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8914.9829844247324</v>
      </c>
      <c r="J389" s="278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7744.4077149676468</v>
      </c>
    </row>
    <row r="390" spans="1:10" hidden="1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6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77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14660.652761567488</v>
      </c>
      <c r="J390" s="278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1592.4630042275296</v>
      </c>
    </row>
    <row r="391" spans="1:10" hidden="1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6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77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-60108.676322426705</v>
      </c>
      <c r="J391" s="278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-6529.0983173328723</v>
      </c>
    </row>
    <row r="392" spans="1:10" hidden="1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6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77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5340.5027981985295</v>
      </c>
      <c r="J392" s="278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580.09375628888904</v>
      </c>
    </row>
    <row r="393" spans="1:10" hidden="1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6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77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13626.085756736913</v>
      </c>
      <c r="J393" s="278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6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77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-47885.958516532584</v>
      </c>
      <c r="J394" s="278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hidden="1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6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77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11373.591284435828</v>
      </c>
      <c r="J395" s="278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6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77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9860.3310398024987</v>
      </c>
      <c r="J396" s="278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11618.426496429511</v>
      </c>
    </row>
    <row r="397" spans="1:10" hidden="1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6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77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-48512.828715828291</v>
      </c>
      <c r="J397" s="278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-57162.658362433191</v>
      </c>
    </row>
    <row r="398" spans="1:10" hidden="1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6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77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1394.172429203079</v>
      </c>
      <c r="J398" s="278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1642.753151659804</v>
      </c>
    </row>
    <row r="399" spans="1:10" hidden="1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6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77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1306.8451626552701</v>
      </c>
      <c r="J399" s="278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192.5432541475104</v>
      </c>
    </row>
    <row r="400" spans="1:10" hidden="1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6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77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-5358.0651668866076</v>
      </c>
      <c r="J400" s="278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-789.42734200479265</v>
      </c>
    </row>
    <row r="401" spans="1:10" hidden="1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6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77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835.17621652653509</v>
      </c>
      <c r="J401" s="278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123.05019072794617</v>
      </c>
    </row>
    <row r="402" spans="1:10" hidden="1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6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77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1214.6242426393567</v>
      </c>
      <c r="J402" s="278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6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77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-4268.5366241325974</v>
      </c>
      <c r="J403" s="278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hidden="1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6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77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1778.6626645825365</v>
      </c>
      <c r="J404" s="278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6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77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2358029.3196995845</v>
      </c>
      <c r="J405" s="278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0</v>
      </c>
    </row>
    <row r="406" spans="1:10" hidden="1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6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77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-8549779.9844074845</v>
      </c>
      <c r="J406" s="278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0</v>
      </c>
    </row>
    <row r="407" spans="1:10" hidden="1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6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77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336125.08717179444</v>
      </c>
      <c r="J407" s="278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0</v>
      </c>
    </row>
    <row r="408" spans="1:10" hidden="1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6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77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234288.74132647022</v>
      </c>
      <c r="J408" s="278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25448.809063092951</v>
      </c>
    </row>
    <row r="409" spans="1:10" hidden="1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6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77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-707906.51839034993</v>
      </c>
      <c r="J409" s="278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-76893.911841590976</v>
      </c>
    </row>
    <row r="410" spans="1:10" hidden="1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6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77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150949.65879657274</v>
      </c>
      <c r="J410" s="278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16396.387735508284</v>
      </c>
    </row>
    <row r="411" spans="1:10" hidden="1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6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77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284936.42136176227</v>
      </c>
      <c r="J411" s="278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6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77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-737947.84357651055</v>
      </c>
      <c r="J412" s="278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hidden="1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6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77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420655.27793525351</v>
      </c>
      <c r="J413" s="278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6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77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368761.15978249285</v>
      </c>
      <c r="J414" s="278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0</v>
      </c>
    </row>
    <row r="415" spans="1:10" hidden="1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6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77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-1337060.0427211488</v>
      </c>
      <c r="J415" s="278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0</v>
      </c>
    </row>
    <row r="416" spans="1:10" hidden="1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6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77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52565.02789933663</v>
      </c>
      <c r="J416" s="278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0</v>
      </c>
    </row>
    <row r="417" spans="1:10" hidden="1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7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36639.318796314474</v>
      </c>
      <c r="J417" s="27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5398.2322255045656</v>
      </c>
    </row>
    <row r="418" spans="1:10" hidden="1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6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77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-110706.18442202824</v>
      </c>
      <c r="J418" s="278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-16310.829784579902</v>
      </c>
    </row>
    <row r="419" spans="1:10" hidden="1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6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77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23606.310057962906</v>
      </c>
      <c r="J419" s="278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3478.0216408653932</v>
      </c>
    </row>
    <row r="420" spans="1:10" hidden="1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6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77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44559.872232217618</v>
      </c>
      <c r="J420" s="278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6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77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-115404.206547751</v>
      </c>
      <c r="J421" s="278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idden="1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6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77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65784.30847492328</v>
      </c>
      <c r="J422" s="278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hidden="1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6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77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610444.4261939266</v>
      </c>
      <c r="J423" s="278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659548.66396073136</v>
      </c>
    </row>
    <row r="424" spans="1:10" hidden="1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6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77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661314.79504342063</v>
      </c>
      <c r="J424" s="278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714511.05262412573</v>
      </c>
    </row>
    <row r="425" spans="1:10" ht="15.75" hidden="1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5">
        <f>SUMIFS(H3:H424,$F$3:$F$424,$D$425)*H423/SUM(H423:H424)</f>
        <v>-469132.82551179174</v>
      </c>
      <c r="I425" s="316">
        <f t="shared" ref="I425:J425" ca="1" si="0">SUMIFS(I3:I424,$F$3:$F$424,$D$425)*I423/SUM(I423:I424)</f>
        <v>-472893.63203247666</v>
      </c>
      <c r="J425" s="317">
        <f t="shared" ca="1" si="0"/>
        <v>-1116274.2073436431</v>
      </c>
    </row>
    <row r="426" spans="1:10" hidden="1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6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77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1852201.4318158275</v>
      </c>
      <c r="J426" s="278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192514.45390067078</v>
      </c>
    </row>
    <row r="427" spans="1:10" hidden="1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6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77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72106.395615788962</v>
      </c>
      <c r="J427" s="278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7494.6078413892701</v>
      </c>
    </row>
    <row r="428" spans="1:10" hidden="1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6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77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9474.7803839146691</v>
      </c>
      <c r="J428" s="278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984.7914703585501</v>
      </c>
    </row>
    <row r="429" spans="1:10" hidden="1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6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77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959947.99719994201</v>
      </c>
      <c r="J429" s="278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99775.251913510743</v>
      </c>
    </row>
    <row r="430" spans="1:10" hidden="1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6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77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719809.07013594534</v>
      </c>
      <c r="J430" s="278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32835.498607746944</v>
      </c>
    </row>
    <row r="431" spans="1:10" hidden="1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6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77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13790.411555499159</v>
      </c>
      <c r="J431" s="278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629.07659574966169</v>
      </c>
    </row>
    <row r="432" spans="1:10" hidden="1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6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77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64195.341527515251</v>
      </c>
      <c r="J432" s="278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2928.3960633511674</v>
      </c>
    </row>
    <row r="433" spans="1:10" hidden="1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6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77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63341.571944185402</v>
      </c>
      <c r="J433" s="278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2889.4496939209107</v>
      </c>
    </row>
    <row r="434" spans="1:10" hidden="1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6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77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56168.51594495419</v>
      </c>
      <c r="J434" s="278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3620.6587311595463</v>
      </c>
    </row>
    <row r="435" spans="1:10" hidden="1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6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77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27242.185407662146</v>
      </c>
      <c r="J435" s="278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1756.0488254448856</v>
      </c>
    </row>
    <row r="436" spans="1:10" hidden="1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6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77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3595.8774389395312</v>
      </c>
      <c r="J436" s="278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231.79257679222383</v>
      </c>
    </row>
    <row r="437" spans="1:10" hidden="1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6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77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36960.157979986056</v>
      </c>
      <c r="J437" s="278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2382.4755994339962</v>
      </c>
    </row>
    <row r="438" spans="1:10" hidden="1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6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77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98611.398262488423</v>
      </c>
      <c r="J438" s="278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6001.6248923716248</v>
      </c>
    </row>
    <row r="439" spans="1:10" ht="15.75" hidden="1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2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283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363.72651659412389</v>
      </c>
      <c r="J439" s="284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22.136894461188312</v>
      </c>
    </row>
    <row r="440" spans="1:10" hidden="1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51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52">
        <f>SUMIFS('Forbrug af biomasse'!$E$1:$E$425,'Forbrug af biomasse'!$A$1:$A$425,$F440,'Forbrug af biomasse'!$C$1:$C$425,$D440,'Forbrug af biomasse'!$B$1:$B$425,$A$1,'Forbrug af biomasse'!$D$1:$D$425,I$2)*'[1]Processer - data'!I440</f>
        <v>3574831504.7783847</v>
      </c>
      <c r="J440" s="253">
        <f>SUMIFS('Forbrug af biomasse'!$E$1:$E$425,'Forbrug af biomasse'!$A$1:$A$425,$F440,'Forbrug af biomasse'!$C$1:$C$425,$D440,'Forbrug af biomasse'!$B$1:$B$425,$A$1,'Forbrug af biomasse'!$D$1:$D$425,J$2)*'[1]Processer - data'!J440</f>
        <v>455131307.49454135</v>
      </c>
    </row>
    <row r="441" spans="1:10" hidden="1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4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55">
        <f>SUMIFS('Forbrug af biomasse'!$E$1:$E$425,'Forbrug af biomasse'!$A$1:$A$425,$F441,'Forbrug af biomasse'!$C$1:$C$425,$D441,'Forbrug af biomasse'!$B$1:$B$425,$A$1,'Forbrug af biomasse'!$D$1:$D$425,I$2)*'[1]Processer - data'!I441</f>
        <v>99267248.016196266</v>
      </c>
      <c r="J441" s="256">
        <f>SUMIFS('Forbrug af biomasse'!$E$1:$E$425,'Forbrug af biomasse'!$A$1:$A$425,$F441,'Forbrug af biomasse'!$C$1:$C$425,$D441,'Forbrug af biomasse'!$B$1:$B$425,$A$1,'Forbrug af biomasse'!$D$1:$D$425,J$2)*'[1]Processer - data'!J441</f>
        <v>12638255.067576159</v>
      </c>
    </row>
    <row r="442" spans="1:10" hidden="1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4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5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6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hidden="1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4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55">
        <f>SUMIFS('Forbrug af biomasse'!$E$1:$E$425,'Forbrug af biomasse'!$A$1:$A$425,$F443,'Forbrug af biomasse'!$C$1:$C$425,$D443,'Forbrug af biomasse'!$B$1:$B$425,$A$1,'Forbrug af biomasse'!$D$1:$D$425,I$2)*'[1]Processer - data'!I443</f>
        <v>47212471.617459193</v>
      </c>
      <c r="J443" s="256">
        <f>SUMIFS('Forbrug af biomasse'!$E$1:$E$425,'Forbrug af biomasse'!$A$1:$A$425,$F443,'Forbrug af biomasse'!$C$1:$C$425,$D443,'Forbrug af biomasse'!$B$1:$B$425,$A$1,'Forbrug af biomasse'!$D$1:$D$425,J$2)*'[1]Processer - data'!J443</f>
        <v>6010877.41018866</v>
      </c>
    </row>
    <row r="444" spans="1:10" hidden="1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4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55">
        <f>SUMIFS('Forbrug af biomasse'!$E$1:$E$425,'Forbrug af biomasse'!$A$1:$A$425,$F444,'Forbrug af biomasse'!$C$1:$C$425,$D444,'Forbrug af biomasse'!$B$1:$B$425,$A$1,'Forbrug af biomasse'!$D$1:$D$425,I$2)*'[1]Processer - data'!I444</f>
        <v>86556197.965341851</v>
      </c>
      <c r="J444" s="256">
        <f>SUMIFS('Forbrug af biomasse'!$E$1:$E$425,'Forbrug af biomasse'!$A$1:$A$425,$F444,'Forbrug af biomasse'!$C$1:$C$425,$D444,'Forbrug af biomasse'!$B$1:$B$425,$A$1,'Forbrug af biomasse'!$D$1:$D$425,J$2)*'[1]Processer - data'!J444</f>
        <v>11019941.918679211</v>
      </c>
    </row>
    <row r="445" spans="1:10" hidden="1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4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55">
        <f>SUMIFS('Forbrug af biomasse'!$E$1:$E$425,'Forbrug af biomasse'!$A$1:$A$425,$F445,'Forbrug af biomasse'!$C$1:$C$425,$D445,'Forbrug af biomasse'!$B$1:$B$425,$A$1,'Forbrug af biomasse'!$D$1:$D$425,I$2)*'[1]Processer - data'!I445</f>
        <v>1012646987.3847337</v>
      </c>
      <c r="J445" s="256">
        <f>SUMIFS('Forbrug af biomasse'!$E$1:$E$425,'Forbrug af biomasse'!$A$1:$A$425,$F445,'Forbrug af biomasse'!$C$1:$C$425,$D445,'Forbrug af biomasse'!$B$1:$B$425,$A$1,'Forbrug af biomasse'!$D$1:$D$425,J$2)*'[1]Processer - data'!J445</f>
        <v>128925614.19545677</v>
      </c>
    </row>
    <row r="446" spans="1:10" hidden="1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4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55">
        <f>SUMIFS('Forbrug af biomasse'!$E$1:$E$425,'Forbrug af biomasse'!$A$1:$A$425,$F446,'Forbrug af biomasse'!$C$1:$C$425,$D446,'Forbrug af biomasse'!$B$1:$B$425,$A$1,'Forbrug af biomasse'!$D$1:$D$425,I$2)*'[1]Processer - data'!I446</f>
        <v>145874431.53599572</v>
      </c>
      <c r="J446" s="256">
        <f>SUMIFS('Forbrug af biomasse'!$E$1:$E$425,'Forbrug af biomasse'!$A$1:$A$425,$F446,'Forbrug af biomasse'!$C$1:$C$425,$D446,'Forbrug af biomasse'!$B$1:$B$425,$A$1,'Forbrug af biomasse'!$D$1:$D$425,J$2)*'[1]Processer - data'!J446</f>
        <v>18572069.946864963</v>
      </c>
    </row>
    <row r="447" spans="1:10" hidden="1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4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5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6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hidden="1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4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5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6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3" hidden="1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4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55">
        <f>SUMIFS('Forbrug af biomasse'!$E$1:$E$425,'Forbrug af biomasse'!$A$1:$A$425,$F449,'Forbrug af biomasse'!$C$1:$C$425,$D449,'Forbrug af biomasse'!$B$1:$B$425,$A$1,'Forbrug af biomasse'!$D$1:$D$425,I$2)*'[1]Processer - data'!I449</f>
        <v>1375214557.8829138</v>
      </c>
      <c r="J449" s="256">
        <f>SUMIFS('Forbrug af biomasse'!$E$1:$E$425,'Forbrug af biomasse'!$A$1:$A$425,$F449,'Forbrug af biomasse'!$C$1:$C$425,$D449,'Forbrug af biomasse'!$B$1:$B$425,$A$1,'Forbrug af biomasse'!$D$1:$D$425,J$2)*'[1]Processer - data'!J449</f>
        <v>175086070.20446965</v>
      </c>
    </row>
    <row r="450" spans="1:13" hidden="1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4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55">
        <f>SUMIFS('Forbrug af biomasse'!$E$1:$E$425,'Forbrug af biomasse'!$A$1:$A$425,$F450,'Forbrug af biomasse'!$C$1:$C$425,$D450,'Forbrug af biomasse'!$B$1:$B$425,$A$1,'Forbrug af biomasse'!$D$1:$D$425,I$2)*'[1]Processer - data'!I450</f>
        <v>98661959.918536529</v>
      </c>
      <c r="J450" s="256">
        <f>SUMIFS('Forbrug af biomasse'!$E$1:$E$425,'Forbrug af biomasse'!$A$1:$A$425,$F450,'Forbrug af biomasse'!$C$1:$C$425,$D450,'Forbrug af biomasse'!$B$1:$B$425,$A$1,'Forbrug af biomasse'!$D$1:$D$425,J$2)*'[1]Processer - data'!J450</f>
        <v>12561192.536676303</v>
      </c>
    </row>
    <row r="451" spans="1:13" hidden="1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4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3" hidden="1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4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3" hidden="1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4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55">
        <f>SUMIFS('Forbrug af biomasse'!$E$1:$E$425,'Forbrug af biomasse'!$A$1:$A$425,$F453,'Forbrug af biomasse'!$C$1:$C$425,$D453,'Forbrug af biomasse'!$B$1:$B$425,$A$1,'Forbrug af biomasse'!$D$1:$D$425,I$2)*'[1]Processer - data'!I453</f>
        <v>73239859.816827729</v>
      </c>
      <c r="J453" s="256">
        <f>SUMIFS('Forbrug af biomasse'!$E$1:$E$425,'Forbrug af biomasse'!$A$1:$A$425,$F453,'Forbrug af biomasse'!$C$1:$C$425,$D453,'Forbrug af biomasse'!$B$1:$B$425,$A$1,'Forbrug af biomasse'!$D$1:$D$425,J$2)*'[1]Processer - data'!J453</f>
        <v>9324566.2388824094</v>
      </c>
    </row>
    <row r="454" spans="1:13" hidden="1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4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55">
        <f>SUMIFS('Forbrug af biomasse'!$E$1:$E$425,'Forbrug af biomasse'!$A$1:$A$425,$F454,'Forbrug af biomasse'!$C$1:$C$425,$D454,'Forbrug af biomasse'!$B$1:$B$425,$A$1,'Forbrug af biomasse'!$D$1:$D$425,I$2)*'[1]Processer - data'!I454</f>
        <v>2424784119.2248917</v>
      </c>
      <c r="J454" s="256">
        <f>SUMIFS('Forbrug af biomasse'!$E$1:$E$425,'Forbrug af biomasse'!$A$1:$A$425,$F454,'Forbrug af biomasse'!$C$1:$C$425,$D454,'Forbrug af biomasse'!$B$1:$B$425,$A$1,'Forbrug af biomasse'!$D$1:$D$425,J$2)*'[1]Processer - data'!J454</f>
        <v>308712498.78481764</v>
      </c>
    </row>
    <row r="455" spans="1:13" hidden="1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4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55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6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17"/>
      <c r="M455" s="114"/>
    </row>
    <row r="456" spans="1:13" hidden="1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4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55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6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14"/>
      <c r="M456" s="114"/>
    </row>
    <row r="457" spans="1:13" hidden="1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4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55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6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14"/>
      <c r="M457" s="114"/>
    </row>
    <row r="458" spans="1:13" hidden="1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4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55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59904154.099523172</v>
      </c>
      <c r="J458" s="256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0</v>
      </c>
      <c r="L458" s="114"/>
      <c r="M458" s="114"/>
    </row>
    <row r="459" spans="1:13" hidden="1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60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61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-63536.342868420834</v>
      </c>
      <c r="J459" s="262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  <c r="L459" s="114"/>
      <c r="M459" s="114"/>
    </row>
    <row r="460" spans="1:13" hidden="1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4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55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80960593.410084993</v>
      </c>
      <c r="J460" s="256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9959607.6356018335</v>
      </c>
      <c r="L460" s="114"/>
      <c r="M460" s="114"/>
    </row>
    <row r="461" spans="1:13" hidden="1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60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61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-168962.7760312311</v>
      </c>
      <c r="J461" s="262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-20785.457262761494</v>
      </c>
      <c r="L461" s="114"/>
      <c r="M461" s="114"/>
    </row>
    <row r="462" spans="1:13" hidden="1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4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55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79430.218891658573</v>
      </c>
      <c r="J462" s="256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66241.11486097562</v>
      </c>
      <c r="L462" s="114"/>
      <c r="M462" s="114"/>
    </row>
    <row r="463" spans="1:13" hidden="1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4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55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110943170.25227277</v>
      </c>
      <c r="J463" s="256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21418171.970533431</v>
      </c>
      <c r="L463" s="114"/>
      <c r="M463" s="114"/>
    </row>
    <row r="464" spans="1:13" hidden="1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4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55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6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14"/>
      <c r="M464" s="114"/>
    </row>
    <row r="465" spans="1:13" hidden="1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4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55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6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14"/>
      <c r="M465" s="114"/>
    </row>
    <row r="466" spans="1:13" hidden="1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4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55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6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14"/>
      <c r="M466" s="114"/>
    </row>
    <row r="467" spans="1:13" hidden="1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4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55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6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14"/>
      <c r="M467" s="114"/>
    </row>
    <row r="468" spans="1:13" hidden="1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4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5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6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14"/>
      <c r="M468" s="114"/>
    </row>
    <row r="469" spans="1:13" hidden="1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4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5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6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14"/>
      <c r="M469" s="114"/>
    </row>
    <row r="470" spans="1:13" hidden="1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4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55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19012740.570732642</v>
      </c>
      <c r="J470" s="256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24755958.75798478</v>
      </c>
      <c r="L470" s="114"/>
      <c r="M470" s="114"/>
    </row>
    <row r="471" spans="1:13" hidden="1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4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5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6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14"/>
      <c r="M471" s="114"/>
    </row>
    <row r="472" spans="1:13" hidden="1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4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55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56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14"/>
      <c r="M472" s="114"/>
    </row>
    <row r="473" spans="1:13" ht="15.75" hidden="1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4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55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40910375.104375847</v>
      </c>
      <c r="J473" s="256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50162950.237853393</v>
      </c>
      <c r="L473" s="126"/>
      <c r="M473" s="114"/>
    </row>
    <row r="474" spans="1:13" hidden="1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60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61">
        <f ca="1">SUMIFS('Forbrug af biomasse'!$E$1:$E$425,'Forbrug af biomasse'!$A$1:$A$425,"Biogas",'Forbrug af biomasse'!$B$1:$B$425,$A$1,'Forbrug af biomasse'!$D$1:$D$425,I$2)*'[1]Processer - data'!I474</f>
        <v>14753259.052618254</v>
      </c>
      <c r="J474" s="262">
        <f ca="1">SUMIFS('Forbrug af biomasse'!$E$1:$E$425,'Forbrug af biomasse'!$A$1:$A$425,"Biogas",'Forbrug af biomasse'!$B$1:$B$425,$A$1,'Forbrug af biomasse'!$D$1:$D$425,J$2)*'[1]Processer - data'!J474</f>
        <v>4885897.4700810183</v>
      </c>
    </row>
    <row r="475" spans="1:13" hidden="1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60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61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8819222.6868742444</v>
      </c>
      <c r="J475" s="262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0</v>
      </c>
    </row>
    <row r="476" spans="1:13" hidden="1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60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61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15311696.153207567</v>
      </c>
      <c r="J476" s="262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627871.24574322021</v>
      </c>
    </row>
    <row r="477" spans="1:13" hidden="1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60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61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14147.876138463358</v>
      </c>
      <c r="J477" s="262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3932.8906193963462</v>
      </c>
    </row>
    <row r="478" spans="1:13" hidden="1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60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61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3266660.0129835871</v>
      </c>
      <c r="J478" s="262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210215.39156264285</v>
      </c>
    </row>
    <row r="479" spans="1:13" hidden="1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60">
        <f ca="1">H474*'[1]Processer - data'!H$479*Biogasanlæg!AA$3</f>
        <v>49011407.308287665</v>
      </c>
      <c r="I479" s="261">
        <f ca="1">I474*'[1]Processer - data'!I$479*Biogasanlæg!AB$3</f>
        <v>70785799.297486603</v>
      </c>
      <c r="J479" s="262">
        <f ca="1">J474*'[1]Processer - data'!J$479*Biogasanlæg!AC$3</f>
        <v>3468568.4066151474</v>
      </c>
    </row>
    <row r="480" spans="1:13" hidden="1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60">
        <f ca="1">-SUMIFS('Resultater - Vestdanmark'!H$3:H$504,'Resultater - Vestdanmark'!$F$3:$F$504,"Gødning",'Resultater - Vestdanmark'!$A$3:$A$504,"&lt;&gt;Gødning")-SUM(H475:H479)</f>
        <v>91199509.604784429</v>
      </c>
      <c r="I480" s="261">
        <f ca="1">-SUMIFS('Resultater - Vestdanmark'!I$3:I$504,'Resultater - Vestdanmark'!$F$3:$F$504,"Gødning",'Resultater - Vestdanmark'!$A$3:$A$504,"&lt;&gt;Gødning")-SUM(I475:I479)</f>
        <v>239864270.98670161</v>
      </c>
      <c r="J480" s="262">
        <f ca="1">-SUMIFS('Resultater - Vestdanmark'!J$3:J$504,'Resultater - Vestdanmark'!$F$3:$F$504,"Gødning",'Resultater - Vestdanmark'!$A$3:$A$504,"&lt;&gt;Gødning")-SUM(J475:J479)</f>
        <v>500942976.16757262</v>
      </c>
    </row>
    <row r="481" spans="1:10" hidden="1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3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65">
        <f>SUMIFS('Forbrug af biomasse'!$E$1:$E$425,'Forbrug af biomasse'!$A$1:$A$425,$F481,'Forbrug af biomasse'!$C$1:$C$425,$D481,'Forbrug af biomasse'!$B$1:$B$425,$A$1,'Forbrug af biomasse'!$D$1:$D$425,I$2)*'[1]Processer - data'!I481</f>
        <v>15.520630593806496</v>
      </c>
      <c r="J481" s="266">
        <f>SUMIFS('Forbrug af biomasse'!$E$1:$E$425,'Forbrug af biomasse'!$A$1:$A$425,$F481,'Forbrug af biomasse'!$C$1:$C$425,$D481,'Forbrug af biomasse'!$B$1:$B$425,$A$1,'Forbrug af biomasse'!$D$1:$D$425,J$2)*'[1]Processer - data'!J481</f>
        <v>10.284904054818577</v>
      </c>
    </row>
    <row r="482" spans="1:10" hidden="1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3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65">
        <f>SUMIFS('Forbrug af biomasse'!$E$1:$E$425,'Forbrug af biomasse'!$A$1:$A$425,$F482,'Forbrug af biomasse'!$C$1:$C$425,$D482,'Forbrug af biomasse'!$B$1:$B$425,$A$1,'Forbrug af biomasse'!$D$1:$D$425,I$2)*'[1]Processer - data'!I482</f>
        <v>5.58063056184199</v>
      </c>
      <c r="J482" s="266">
        <f>SUMIFS('Forbrug af biomasse'!$E$1:$E$425,'Forbrug af biomasse'!$A$1:$A$425,$F482,'Forbrug af biomasse'!$C$1:$C$425,$D482,'Forbrug af biomasse'!$B$1:$B$425,$A$1,'Forbrug af biomasse'!$D$1:$D$425,J$2)*'[1]Processer - data'!J482</f>
        <v>11.157772850202354</v>
      </c>
    </row>
    <row r="483" spans="1:10" hidden="1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3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65">
        <f>SUMIFS('Forbrug af biomasse'!$E$1:$E$425,'Forbrug af biomasse'!$A$1:$A$425,$F483,'Forbrug af biomasse'!$C$1:$C$425,$D483,'Forbrug af biomasse'!$B$1:$B$425,$A$1,'Forbrug af biomasse'!$D$1:$D$425,I$2)*'[1]Processer - data'!I483</f>
        <v>2.7836482587308744</v>
      </c>
      <c r="J483" s="266">
        <f>SUMIFS('Forbrug af biomasse'!$E$1:$E$425,'Forbrug af biomasse'!$A$1:$A$425,$F483,'Forbrug af biomasse'!$C$1:$C$425,$D483,'Forbrug af biomasse'!$B$1:$B$425,$A$1,'Forbrug af biomasse'!$D$1:$D$425,J$2)*'[1]Processer - data'!J483</f>
        <v>2.0147205483104584</v>
      </c>
    </row>
    <row r="484" spans="1:10" hidden="1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3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65">
        <f ca="1">SUMIFS('Forbrug af biomasse'!$E$1:$E$425,'Forbrug af biomasse'!$A$1:$A$425,$F484,'Forbrug af biomasse'!$C$1:$C$425,$D484,'Forbrug af biomasse'!$B$1:$B$425,$A$1,'Forbrug af biomasse'!$D$1:$D$425,I$2)*'[1]Processer - data'!I484</f>
        <v>32.134342362444997</v>
      </c>
      <c r="J484" s="266">
        <f ca="1">SUMIFS('Forbrug af biomasse'!$E$1:$E$425,'Forbrug af biomasse'!$A$1:$A$425,$F484,'Forbrug af biomasse'!$C$1:$C$425,$D484,'Forbrug af biomasse'!$B$1:$B$425,$A$1,'Forbrug af biomasse'!$D$1:$D$425,J$2)*'[1]Processer - data'!J484</f>
        <v>33.155163855017776</v>
      </c>
    </row>
    <row r="485" spans="1:10" hidden="1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3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65">
        <f>SUMIFS('Forbrug af biomasse'!$E$1:$E$425,'Forbrug af biomasse'!$A$1:$A$425,$F485,'Forbrug af biomasse'!$C$1:$C$425,$D485,'Forbrug af biomasse'!$B$1:$B$425,$A$1,'Forbrug af biomasse'!$D$1:$D$425,I$2)*'[1]Processer - data'!I485</f>
        <v>2.2274826316201262</v>
      </c>
      <c r="J485" s="266">
        <f>SUMIFS('Forbrug af biomasse'!$E$1:$E$425,'Forbrug af biomasse'!$A$1:$A$425,$F485,'Forbrug af biomasse'!$C$1:$C$425,$D485,'Forbrug af biomasse'!$B$1:$B$425,$A$1,'Forbrug af biomasse'!$D$1:$D$425,J$2)*'[1]Processer - data'!J485</f>
        <v>2.6781599805186716E-2</v>
      </c>
    </row>
    <row r="486" spans="1:10" hidden="1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3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5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66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hidden="1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3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5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6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hidden="1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3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5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6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hidden="1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60">
        <f ca="1">SUM(H455:H473)*'[1]Processer - data'!$H$489</f>
        <v>12.632071606880629</v>
      </c>
      <c r="I489" s="261">
        <f ca="1">SUM(I455:I473)*'[1]Processer - data'!$H$489</f>
        <v>12.921234516484036</v>
      </c>
      <c r="J489" s="262">
        <f ca="1">SUM(J455:J473)*'[1]Processer - data'!$H$489</f>
        <v>5.5532685685250236</v>
      </c>
    </row>
    <row r="490" spans="1:10" hidden="1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4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5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56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hidden="1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4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5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56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idden="1" x14ac:dyDescent="0.25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4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5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56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hidden="1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6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77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249135.2929393746</v>
      </c>
      <c r="J493" s="278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498114.85938403377</v>
      </c>
    </row>
    <row r="494" spans="1:10" hidden="1" x14ac:dyDescent="0.25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6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77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159446.58748119973</v>
      </c>
      <c r="J494" s="278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318793.5100057816</v>
      </c>
    </row>
    <row r="495" spans="1:10" hidden="1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51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2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3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hidden="1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4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5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6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hidden="1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7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8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9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9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80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281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>
        <f>SUMIF($F$3:$F$494,"Roer",H3:H494)</f>
        <v>2233316.4654569654</v>
      </c>
      <c r="N3">
        <f>SUMIF($F$3:$F$494,"Roer",I3:I494)</f>
        <v>568748.18023765879</v>
      </c>
      <c r="O3">
        <f>SUMIF($F$3:$F$494,"Roer",J3:J494)</f>
        <v>1151.564385499476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6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77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78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>
        <f ca="1">SUMIF($F$3:$F$494,"Bioaffald",H3:H494)</f>
        <v>165083.0224523381</v>
      </c>
      <c r="N4">
        <f ca="1">SUMIF($F$3:$F$494,"Bioaffald",I3:I494)</f>
        <v>168912.745758362</v>
      </c>
      <c r="O4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6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77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78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6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77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78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6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77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78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6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77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78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6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77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78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6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77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78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6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77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78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6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77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78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6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77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78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6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77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78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6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77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78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6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77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78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6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77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-1745.4778517866712</v>
      </c>
      <c r="J17" s="278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-2227.128067320125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6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77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78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6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77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78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6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77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78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6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77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-388.74886678749027</v>
      </c>
      <c r="J21" s="278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-4977.6147844665857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6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77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78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6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77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78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6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77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78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6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77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78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-9774.675970005359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6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77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78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6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77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78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134.37873141535894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6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77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78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70.197844769217355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6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77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78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-1021.5034415379873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6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77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78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-717.26255851061512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6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77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78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6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77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78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6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77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-78558.633013840023</v>
      </c>
      <c r="J33" s="278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-102449.93260582464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6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77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78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6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77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1450.359353356155</v>
      </c>
      <c r="J35" s="278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18584.932348929669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6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77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362.58983833903869</v>
      </c>
      <c r="J36" s="278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4646.2330872324164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6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77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-10162.62615381495</v>
      </c>
      <c r="J37" s="278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-130224.08489252126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6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77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-9146.3635384334557</v>
      </c>
      <c r="J38" s="278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-117201.67640326916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6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77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78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14804.000910544277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6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77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78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5124.461853649942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6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77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78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-3065.2279849443271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6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77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78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-93358.086627161494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6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77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78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682.81985233315891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6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77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78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341.40992616657951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6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77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78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-7689.3734082507035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6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77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78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-4306.0491086203938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6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77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78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6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77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78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6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77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-1745.4778517866712</v>
      </c>
      <c r="J49" s="278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-2226.8666000411622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6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77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78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6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77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78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6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77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78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6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77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-300.39685160851519</v>
      </c>
      <c r="J53" s="278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-3846.3386970878164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6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77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78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6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77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78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6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77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78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6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77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78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-9600.1281848266917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6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77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78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6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77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78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98.669102553257162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6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77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78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53.819510483594826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6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77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78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-934.82857660459536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6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77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78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-182.60802384285103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6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77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78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6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77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78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6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77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-59708.608262944195</v>
      </c>
      <c r="J65" s="278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-78125.460581793945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6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77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78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6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77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368.06516821556829</v>
      </c>
      <c r="J67" s="278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4717.3752719237382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6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77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1288.2280887544882</v>
      </c>
      <c r="J68" s="278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16510.813451733076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6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77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-5077.9049317068211</v>
      </c>
      <c r="J69" s="278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-65081.9072995893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6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77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-2538.9524658534115</v>
      </c>
      <c r="J70" s="278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-32540.953649794665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6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77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78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3811.9541499192064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6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77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78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5041.6167789254023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6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77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78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-27482.79097603913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6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77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78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-26295.262970901636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6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77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78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316.95009619302101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6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77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78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172.88187065073879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6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77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78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-7986.5209835312526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6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77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78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-2186.3552918716778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6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77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78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6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77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78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6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77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78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6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77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78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6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77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78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6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77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78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6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77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78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6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77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78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6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77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78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6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77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78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6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77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78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6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77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78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6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77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78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6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77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78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6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77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78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6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77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78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76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77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894030.06900026498</v>
      </c>
      <c r="J95" s="278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0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76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77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964437.67916622036</v>
      </c>
      <c r="J96" s="278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0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76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77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123633.95179207907</v>
      </c>
      <c r="J97" s="278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0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76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77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10105.441421552499</v>
      </c>
      <c r="J98" s="278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0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76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77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-551748145.19555521</v>
      </c>
      <c r="J99" s="278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0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76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77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-42374.195634385746</v>
      </c>
      <c r="J100" s="278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0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76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77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72251.867752732287</v>
      </c>
      <c r="J101" s="278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0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76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77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187302.22034683442</v>
      </c>
      <c r="J102" s="278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49327.087354793563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76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77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78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76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77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203020.79239242183</v>
      </c>
      <c r="J104" s="278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53466.661220760339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76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77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6209.2047983220264</v>
      </c>
      <c r="J105" s="278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1635.2288132168444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76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77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-339017078.78953755</v>
      </c>
      <c r="J106" s="278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-89282043.903443128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76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77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-22885.941412435026</v>
      </c>
      <c r="J107" s="278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-6027.1406775501664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76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77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48834.018005319194</v>
      </c>
      <c r="J108" s="278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12860.711782131595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76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77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12838.813581080089</v>
      </c>
      <c r="J109" s="278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0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76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77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372561.6228799352</v>
      </c>
      <c r="J110" s="278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0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76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77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7301.1646184190349</v>
      </c>
      <c r="J111" s="278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0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76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77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139461.10258522313</v>
      </c>
      <c r="J112" s="278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0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76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77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1588.741977495567</v>
      </c>
      <c r="J113" s="278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0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76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77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-96661927.123232812</v>
      </c>
      <c r="J114" s="278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0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76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77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-404.29644843368959</v>
      </c>
      <c r="J115" s="278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0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76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77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104552.831405859</v>
      </c>
      <c r="J116" s="278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0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76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77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3174.964526330099</v>
      </c>
      <c r="J117" s="278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1032.2584556136005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76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77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171570.19844206879</v>
      </c>
      <c r="J118" s="278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55781.658851427252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76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77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1416.5226348241979</v>
      </c>
      <c r="J119" s="278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460.54608019683712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76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77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65534.524197326391</v>
      </c>
      <c r="J120" s="278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21306.873250485853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76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77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1309.8235230705052</v>
      </c>
      <c r="J121" s="278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425.85559486989695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76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77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-79692025.341283292</v>
      </c>
      <c r="J122" s="278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-25909822.400000002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76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77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-401.80853113252078</v>
      </c>
      <c r="J123" s="278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-130.63776000000001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76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77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72082.630136897104</v>
      </c>
      <c r="J124" s="278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23435.822304347737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76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77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4150867.1980768573</v>
      </c>
      <c r="J125" s="278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0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76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77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264.19814604957469</v>
      </c>
      <c r="J126" s="278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0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76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77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5855.5948414998547</v>
      </c>
      <c r="J127" s="278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0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76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77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8650.3432282522826</v>
      </c>
      <c r="J128" s="278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0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76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77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365.33872041870592</v>
      </c>
      <c r="J129" s="278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0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76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77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-14374603.155793795</v>
      </c>
      <c r="J130" s="278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0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76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77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-340.69676310809967</v>
      </c>
      <c r="J131" s="278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0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76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77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555.05614809362157</v>
      </c>
      <c r="J132" s="278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0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76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77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234513.20358929163</v>
      </c>
      <c r="J133" s="278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266900.26350807853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76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77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414.33100946187295</v>
      </c>
      <c r="J134" s="278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471.55151143904124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76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77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1560.1224765795505</v>
      </c>
      <c r="J135" s="278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1775.5806228855408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76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77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2872.2772498559852</v>
      </c>
      <c r="J136" s="278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3268.9483710154163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76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77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294.7483489109697</v>
      </c>
      <c r="J137" s="278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335.45408441344171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76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77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-11597157.130141689</v>
      </c>
      <c r="J138" s="278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-13198763.424000001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76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77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-517.73022902418245</v>
      </c>
      <c r="J139" s="278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-589.23050999999998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76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77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492.58964754016552</v>
      </c>
      <c r="J140" s="278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560.61792989733817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6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77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1335946.3325381621</v>
      </c>
      <c r="J141" s="278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0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6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77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458311.25369163975</v>
      </c>
      <c r="J142" s="278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0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6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77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-30492355.664209124</v>
      </c>
      <c r="J143" s="278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0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6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77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433314.35828172287</v>
      </c>
      <c r="J144" s="278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0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6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77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28243.799628397916</v>
      </c>
      <c r="J145" s="278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3067.8856350070218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6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77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9689.3497152040363</v>
      </c>
      <c r="J146" s="278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1144.8582218437452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6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77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-436482.87585493695</v>
      </c>
      <c r="J147" s="278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-47411.451801107098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6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77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53693.082671640383</v>
      </c>
      <c r="J148" s="278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5832.2265132467128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6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77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17627.46443468412</v>
      </c>
      <c r="J149" s="278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6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77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6047.2978050816209</v>
      </c>
      <c r="J150" s="278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6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77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-179615.49250748035</v>
      </c>
      <c r="J151" s="278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6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77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73555.58752831709</v>
      </c>
      <c r="J152" s="278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6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77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139978.00068405925</v>
      </c>
      <c r="J153" s="278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0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6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77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48021.010590204845</v>
      </c>
      <c r="J154" s="278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0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6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77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-3194932.9685377292</v>
      </c>
      <c r="J155" s="278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0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6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77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67764.002752405198</v>
      </c>
      <c r="J156" s="278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0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6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77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2959.3334009106838</v>
      </c>
      <c r="J157" s="278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436.01162509645241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6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77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1015.2322500007133</v>
      </c>
      <c r="J158" s="278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162.70863819536862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6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77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-45733.873290345815</v>
      </c>
      <c r="J159" s="278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-6738.1729983997657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6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77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8396.809688869309</v>
      </c>
      <c r="J160" s="278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1237.1389573553631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6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77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1846.9733166664903</v>
      </c>
      <c r="J161" s="278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6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77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633.62474650323918</v>
      </c>
      <c r="J162" s="278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6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77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-18819.781095032511</v>
      </c>
      <c r="J163" s="278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6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77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11503.013783085851</v>
      </c>
      <c r="J164" s="278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6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77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287326.53904212482</v>
      </c>
      <c r="J165" s="278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871330.89011528518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6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77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-2788934.9692874202</v>
      </c>
      <c r="J166" s="278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-8466098.8157334365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6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77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31705.928654760217</v>
      </c>
      <c r="J167" s="278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96246.605959542212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6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77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504.96331169843552</v>
      </c>
      <c r="J168" s="278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54.794667155432123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6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77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-3982.4088208299431</v>
      </c>
      <c r="J169" s="278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-432.57546700144388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6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77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326.59212671328521</v>
      </c>
      <c r="J170" s="278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35.474946970048116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6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77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158.99688131527668</v>
      </c>
      <c r="J171" s="278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6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77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-1047.241445710423</v>
      </c>
      <c r="J172" s="278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6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77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225.71742954577289</v>
      </c>
      <c r="J173" s="278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6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77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25612.181378036719</v>
      </c>
      <c r="J174" s="278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105351.82580484809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6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77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-248604.63124315237</v>
      </c>
      <c r="J175" s="278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-1023628.3113568606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6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77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4958.3416648101365</v>
      </c>
      <c r="J176" s="278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20415.946718690768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6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77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45.012242765985107</v>
      </c>
      <c r="J177" s="278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6.6251733924295193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6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77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-354.99044877868357</v>
      </c>
      <c r="J178" s="278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-52.302306464720026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6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77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51.074212867703196</v>
      </c>
      <c r="J179" s="278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7.5249887512223266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6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77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14.172923170845738</v>
      </c>
      <c r="J180" s="278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6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77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-93.350714986339497</v>
      </c>
      <c r="J181" s="278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6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77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35.298891496831203</v>
      </c>
      <c r="J182" s="278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6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77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37065.892650593443</v>
      </c>
      <c r="J183" s="278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128359.24704997588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6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77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-29338279.431000493</v>
      </c>
      <c r="J184" s="278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-88898696.07023032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6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77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6352.9791137124157</v>
      </c>
      <c r="J185" s="278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19250.329955398527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6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77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3304.0399563183237</v>
      </c>
      <c r="J186" s="278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15519.799870587984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6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77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-2615203.3731772453</v>
      </c>
      <c r="J187" s="278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-10748660.524855118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6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77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993.51264484913622</v>
      </c>
      <c r="J188" s="278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4083.4033238724137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6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77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432283.68238177506</v>
      </c>
      <c r="J189" s="278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0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6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77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-1526752.5097201101</v>
      </c>
      <c r="J190" s="278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0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6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77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23142.4572126327</v>
      </c>
      <c r="J191" s="278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0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6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77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1769.5230999175935</v>
      </c>
      <c r="J192" s="278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192.2083632682326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6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77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-4166.4366000302134</v>
      </c>
      <c r="J193" s="278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-452.56485184621857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6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77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555.2365059099036</v>
      </c>
      <c r="J194" s="278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60.310656601592214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6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77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1868.0069234954306</v>
      </c>
      <c r="J195" s="278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6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77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-2827.4927271047072</v>
      </c>
      <c r="J196" s="278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6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77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1286.5624220742213</v>
      </c>
      <c r="J197" s="278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6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77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38533.607500504557</v>
      </c>
      <c r="J198" s="278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0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6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77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-136094.15381080157</v>
      </c>
      <c r="J199" s="278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0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6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77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3619.1404791499358</v>
      </c>
      <c r="J200" s="278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0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6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77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157.73463439473878</v>
      </c>
      <c r="J201" s="278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23.239738467886305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6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77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-371.394616925447</v>
      </c>
      <c r="J202" s="278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-54.71920481413369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6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77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86.830836309957476</v>
      </c>
      <c r="J203" s="278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12.793169582155922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6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77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166.51344598898666</v>
      </c>
      <c r="J204" s="278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6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77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-252.0416555084326</v>
      </c>
      <c r="J205" s="278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6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77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201.19947064827267</v>
      </c>
      <c r="J206" s="278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6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77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2075804.2976406266</v>
      </c>
      <c r="J207" s="278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7351536.9066421269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6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77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-6484273.8035932519</v>
      </c>
      <c r="J208" s="278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-22964293.037676938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6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77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95117.785964280643</v>
      </c>
      <c r="J209" s="278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336863.12085839763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6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77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64208.732128570613</v>
      </c>
      <c r="J210" s="278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6974.4527836543512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6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77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-140184.32044730251</v>
      </c>
      <c r="J211" s="278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-15227.039867578022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6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77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17244.498520822341</v>
      </c>
      <c r="J212" s="278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1873.124366798646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6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77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81352.485506480341</v>
      </c>
      <c r="J213" s="278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6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77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-122963.24895175385</v>
      </c>
      <c r="J214" s="278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6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77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47957.651328621425</v>
      </c>
      <c r="J215" s="278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6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77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253207.74225743351</v>
      </c>
      <c r="J216" s="278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1216345.1972807886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6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77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-790955.26098150329</v>
      </c>
      <c r="J217" s="278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-3799546.6662338213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6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77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14875.024994430411</v>
      </c>
      <c r="J218" s="278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71455.813515417685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6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77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7832.2162228716916</v>
      </c>
      <c r="J219" s="278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1153.9549151137201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6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77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-17099.759992162435</v>
      </c>
      <c r="J220" s="278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-2519.3829599083638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6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77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2696.7863466668359</v>
      </c>
      <c r="J221" s="278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397.32941113910675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6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77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9923.4206257013338</v>
      </c>
      <c r="J222" s="278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6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77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-14999.124283103591</v>
      </c>
      <c r="J223" s="278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6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77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7499.8724471500309</v>
      </c>
      <c r="J224" s="278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6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77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218894.209289472</v>
      </c>
      <c r="J225" s="278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408489.26785913832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6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77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68302.729877295264</v>
      </c>
      <c r="J226" s="278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138651.78722179355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6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77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78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6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77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128937.44319602488</v>
      </c>
      <c r="J228" s="278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240616.5148988555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6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77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420.55690558072001</v>
      </c>
      <c r="J229" s="278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45.681548032115145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6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77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131.22861866996251</v>
      </c>
      <c r="J230" s="278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15.505494944594483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6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77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78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6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77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1451.9467828545583</v>
      </c>
      <c r="J232" s="278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157.71272762590505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6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77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176.30061713257524</v>
      </c>
      <c r="J233" s="278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6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77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55.012023699915702</v>
      </c>
      <c r="J234" s="278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6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77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78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6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77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1336.0120262050871</v>
      </c>
      <c r="J236" s="278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6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77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19512.148824170887</v>
      </c>
      <c r="J237" s="278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49390.066022968538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6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77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6088.4800689290232</v>
      </c>
      <c r="J238" s="278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16764.261545907764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6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77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78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6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77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20163.922770227884</v>
      </c>
      <c r="J240" s="278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51039.866796726921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6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77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37.488286955421394</v>
      </c>
      <c r="J241" s="278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5.5233144438830113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6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77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11.697670513030934</v>
      </c>
      <c r="J242" s="278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1.8747552978464235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6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77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78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6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77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227.06315613417374</v>
      </c>
      <c r="J244" s="278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33.454214950949549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6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77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15.715371779135648</v>
      </c>
      <c r="J245" s="278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6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77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4.9037514379015512</v>
      </c>
      <c r="J246" s="278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6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77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78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6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77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208.93266260553236</v>
      </c>
      <c r="J248" s="278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6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77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508625.91771750944</v>
      </c>
      <c r="J249" s="278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0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6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77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-845062.71597260714</v>
      </c>
      <c r="J250" s="278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0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6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77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14232.69879613987</v>
      </c>
      <c r="J251" s="278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0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6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77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9458.0540035554968</v>
      </c>
      <c r="J252" s="278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1027.3486002022901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6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77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-10185.128875063208</v>
      </c>
      <c r="J253" s="278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-1106.3246085021908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6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77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1551.2139815567793</v>
      </c>
      <c r="J254" s="278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168.4952858132861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6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77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4115.5374824780356</v>
      </c>
      <c r="J255" s="278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6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77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-2713.4165856843879</v>
      </c>
      <c r="J256" s="278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6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77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1481.5867561148393</v>
      </c>
      <c r="J257" s="278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6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77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45338.726111343807</v>
      </c>
      <c r="J258" s="278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0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6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77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-75328.577824596752</v>
      </c>
      <c r="J259" s="278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0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6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77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2225.7850956527072</v>
      </c>
      <c r="J260" s="278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0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6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77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843.08743435222607</v>
      </c>
      <c r="J261" s="278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124.21578529718597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6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77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-907.89861937728256</v>
      </c>
      <c r="J262" s="278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-133.76470266435578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6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77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242.58708834993342</v>
      </c>
      <c r="J263" s="278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35.741424263424328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6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77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366.85748841975999</v>
      </c>
      <c r="J264" s="278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6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77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-241.87295047093707</v>
      </c>
      <c r="J265" s="278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6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77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231.69841271222839</v>
      </c>
      <c r="J266" s="278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6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77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8011.8314868660455</v>
      </c>
      <c r="J267" s="278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501327.35040327924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6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77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-132115.00685055903</v>
      </c>
      <c r="J268" s="278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-8266882.1032342864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6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77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1854.9837487603354</v>
      </c>
      <c r="J269" s="278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116072.5970499571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6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77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227.28865970844538</v>
      </c>
      <c r="J270" s="278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24.68844926298225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6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77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-3123.3227678820526</v>
      </c>
      <c r="J271" s="278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-339.26019796010161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6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77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237.85651972976558</v>
      </c>
      <c r="J272" s="278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25.836346726451556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6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77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160.27763065898012</v>
      </c>
      <c r="J273" s="278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6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77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-1887.840172661721</v>
      </c>
      <c r="J274" s="278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6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77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384.33316868475259</v>
      </c>
      <c r="J275" s="278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6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77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714.17169432369894</v>
      </c>
      <c r="J276" s="278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60615.034185123754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6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77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-11776.682827481491</v>
      </c>
      <c r="J277" s="278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-999541.19975469098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6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77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290.09221931883604</v>
      </c>
      <c r="J278" s="278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24621.45998029393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6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77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20.260427028531819</v>
      </c>
      <c r="J279" s="278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2.9850579563423985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6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77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-278.41183588481101</v>
      </c>
      <c r="J280" s="278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-41.019642116994092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6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77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37.197266948551082</v>
      </c>
      <c r="J281" s="278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5.4804371843988138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6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77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14.287088693460143</v>
      </c>
      <c r="J282" s="278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6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77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-168.28137448127379</v>
      </c>
      <c r="J283" s="278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6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77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60.104063949945292</v>
      </c>
      <c r="J284" s="278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6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77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387361.18238381506</v>
      </c>
      <c r="J285" s="278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0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6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77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-1847149.6961293539</v>
      </c>
      <c r="J286" s="278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0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6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77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29559.088750675368</v>
      </c>
      <c r="J287" s="278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0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6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77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5695.8026262893663</v>
      </c>
      <c r="J288" s="278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618.6869786265936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6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77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-19912.535188180864</v>
      </c>
      <c r="J289" s="278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-2162.9306773218004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6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77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2547.4814144895035</v>
      </c>
      <c r="J290" s="278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276.71141063830834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6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77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4016.521329369848</v>
      </c>
      <c r="J291" s="278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6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77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-10390.906144227183</v>
      </c>
      <c r="J292" s="278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6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77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3943.0907733092045</v>
      </c>
      <c r="J293" s="278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6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77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34529.232472223863</v>
      </c>
      <c r="J294" s="278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0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6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77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-164654.24045884737</v>
      </c>
      <c r="J295" s="278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0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6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77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4622.6074284781962</v>
      </c>
      <c r="J296" s="278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0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6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77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507.72173863352543</v>
      </c>
      <c r="J297" s="278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74.804880143033586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6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77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-1774.9960189422513</v>
      </c>
      <c r="J298" s="278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-261.51798189436317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6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77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398.38868545161984</v>
      </c>
      <c r="J299" s="278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58.696359832368444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6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77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358.03122516814113</v>
      </c>
      <c r="J300" s="278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6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77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-926.24152901199625</v>
      </c>
      <c r="J301" s="278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6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77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616.64149573780423</v>
      </c>
      <c r="J302" s="278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6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77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1158597.9578411756</v>
      </c>
      <c r="J303" s="278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0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6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77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-4164809.5541358809</v>
      </c>
      <c r="J304" s="278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0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6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77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59184.400155552408</v>
      </c>
      <c r="J305" s="278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0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6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77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5523.7770288308739</v>
      </c>
      <c r="J306" s="278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600.00128951110446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6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77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-13444.376053096936</v>
      </c>
      <c r="J307" s="278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-1460.3491282191937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6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77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1653.8334830974359</v>
      </c>
      <c r="J308" s="278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179.64197637157832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6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77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2315.6088656799138</v>
      </c>
      <c r="J309" s="278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6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77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-3716.0330995922486</v>
      </c>
      <c r="J310" s="278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6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77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1521.7785175396139</v>
      </c>
      <c r="J311" s="278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6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77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150385.79722534755</v>
      </c>
      <c r="J312" s="278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0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6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77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-540591.49755236134</v>
      </c>
      <c r="J313" s="278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0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6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77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9255.5711076455882</v>
      </c>
      <c r="J314" s="278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0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6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77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716.98522041557669</v>
      </c>
      <c r="J315" s="278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105.63659066847021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6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77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-1745.077485471897</v>
      </c>
      <c r="J316" s="278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-257.10995257434894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6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77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258.63527150367588</v>
      </c>
      <c r="J317" s="278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38.105873775789341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6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77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300.56559565858794</v>
      </c>
      <c r="J318" s="278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6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77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-482.34039807842214</v>
      </c>
      <c r="J319" s="278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6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77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237.98381401444351</v>
      </c>
      <c r="J320" s="278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6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77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133613.51888772057</v>
      </c>
      <c r="J321" s="278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279381.2609192034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6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77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75006.988848007459</v>
      </c>
      <c r="J322" s="278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170604.16698031148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6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77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-5314174.0466707041</v>
      </c>
      <c r="J323" s="278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-11111754.695650134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6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77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69044.614844300551</v>
      </c>
      <c r="J324" s="278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144369.90893931329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6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77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1936.3363130183386</v>
      </c>
      <c r="J325" s="278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210.32787505256721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6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77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1087.0064454975313</v>
      </c>
      <c r="J326" s="278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128.43671690085012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6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77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-53175.9025355415</v>
      </c>
      <c r="J327" s="278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-5776.0495989814854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6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77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5864.6398694039635</v>
      </c>
      <c r="J328" s="278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637.02634371275087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6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77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981.66423634203829</v>
      </c>
      <c r="J329" s="278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6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77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551.0795542303614</v>
      </c>
      <c r="J330" s="278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6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77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-18326.523892749094</v>
      </c>
      <c r="J331" s="278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6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77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6526.1061328198311</v>
      </c>
      <c r="J332" s="278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6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77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11492.355789139723</v>
      </c>
      <c r="J333" s="278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32594.480440573727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6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77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6451.4954002349659</v>
      </c>
      <c r="J334" s="278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19903.819481036342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6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77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-457082.33252260258</v>
      </c>
      <c r="J335" s="278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-1296371.3811591824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6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77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10797.563895415664</v>
      </c>
      <c r="J336" s="278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30623.920078036153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6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77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166.54801117346281</v>
      </c>
      <c r="J337" s="278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24.538252089466177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6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77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93.495515429418248</v>
      </c>
      <c r="J338" s="278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14.984283638432515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6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77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-4573.7616704833536</v>
      </c>
      <c r="J339" s="278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-673.87245321450666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6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77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917.14355791961793</v>
      </c>
      <c r="J340" s="278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135.1268001814926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6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77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84.434829375290562</v>
      </c>
      <c r="J341" s="278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6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77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47.399412559875842</v>
      </c>
      <c r="J342" s="278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6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77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-1576.2995743763661</v>
      </c>
      <c r="J343" s="278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6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77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1020.5871684025033</v>
      </c>
      <c r="J344" s="278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6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77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268296.90202658431</v>
      </c>
      <c r="J345" s="278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0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6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77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46847.548005841098</v>
      </c>
      <c r="J346" s="278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0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6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77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-2816497.1288735354</v>
      </c>
      <c r="J347" s="278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0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6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77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42692.35771972486</v>
      </c>
      <c r="J348" s="278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0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6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77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19830.295113722073</v>
      </c>
      <c r="J349" s="278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2153.9976319676489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6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77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3462.5845296493235</v>
      </c>
      <c r="J350" s="278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409.12635874599647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6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77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-156129.18607324903</v>
      </c>
      <c r="J351" s="278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-16958.996079191089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6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77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18494.594263167895</v>
      </c>
      <c r="J352" s="278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2008.911719094875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6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77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18025.271665907887</v>
      </c>
      <c r="J353" s="278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6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77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3147.4078653479028</v>
      </c>
      <c r="J354" s="278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6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77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-108127.81450212662</v>
      </c>
      <c r="J355" s="278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6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77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36900.143434293757</v>
      </c>
      <c r="J356" s="278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6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77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23915.886575527129</v>
      </c>
      <c r="J357" s="278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0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6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77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4175.9730954263596</v>
      </c>
      <c r="J358" s="278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0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6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77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-251061.5119505293</v>
      </c>
      <c r="J359" s="278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0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6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77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6676.457843442131</v>
      </c>
      <c r="J360" s="278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0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6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77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1767.6651691342108</v>
      </c>
      <c r="J361" s="278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260.43789550154298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6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77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308.65350380028929</v>
      </c>
      <c r="J362" s="278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49.467096102925026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6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77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-13917.297878032192</v>
      </c>
      <c r="J363" s="278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-2050.4967986658312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6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77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2892.2829640902505</v>
      </c>
      <c r="J364" s="278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426.13278889891285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6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77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1606.7660468632662</v>
      </c>
      <c r="J365" s="278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6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77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280.55877256131697</v>
      </c>
      <c r="J366" s="278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6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77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-9638.4733769168361</v>
      </c>
      <c r="J367" s="278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6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77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5770.6405833427443</v>
      </c>
      <c r="J368" s="278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6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77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176328.90216471744</v>
      </c>
      <c r="J369" s="278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160579.35300417311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6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77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-387923.58476237836</v>
      </c>
      <c r="J370" s="278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-353274.57660918083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6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77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6932.1745962015984</v>
      </c>
      <c r="J371" s="278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6312.9985946952511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6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77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2097.5267158188026</v>
      </c>
      <c r="J372" s="278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227.8366283987468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6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77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-3495.8778596980037</v>
      </c>
      <c r="J373" s="278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-379.72771399791134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6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77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372.71981286159337</v>
      </c>
      <c r="J374" s="278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40.485408295096619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6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77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1479.1174037745348</v>
      </c>
      <c r="J375" s="278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6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77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-1901.7223762815447</v>
      </c>
      <c r="J376" s="278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6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77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602.24788822871972</v>
      </c>
      <c r="J377" s="278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6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77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15717.893096435204</v>
      </c>
      <c r="J378" s="278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19415.503590504562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6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77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-34579.364812157452</v>
      </c>
      <c r="J379" s="278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-42714.107899110044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6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77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1084.0903132772382</v>
      </c>
      <c r="J380" s="278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1339.1209140262654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6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77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186.97275535328342</v>
      </c>
      <c r="J381" s="278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27.547519615484834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6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77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-311.62125892213902</v>
      </c>
      <c r="J382" s="278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-45.912532692474727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6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77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58.287905632261378</v>
      </c>
      <c r="J383" s="278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8.5878138807780697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6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77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131.84797809202749</v>
      </c>
      <c r="J384" s="278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6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77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-169.51882897546392</v>
      </c>
      <c r="J385" s="278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6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77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94.182726179195171</v>
      </c>
      <c r="J386" s="278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6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77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33076.195983643054</v>
      </c>
      <c r="J387" s="278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30121.857992009926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6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77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-162734.88423952382</v>
      </c>
      <c r="J388" s="278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-148199.54132068882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6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77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2665.7253778585869</v>
      </c>
      <c r="J389" s="278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2427.6250303167235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6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77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2171.5780956163871</v>
      </c>
      <c r="J390" s="278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235.88020494731566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6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77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-8903.4701920271873</v>
      </c>
      <c r="J391" s="278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-967.10884028399425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6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77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791.05064997842476</v>
      </c>
      <c r="J392" s="278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85.925157293343815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6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77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2200.9405888723845</v>
      </c>
      <c r="J393" s="278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6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77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-7734.7340694658096</v>
      </c>
      <c r="J394" s="278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6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77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1837.1085538474301</v>
      </c>
      <c r="J395" s="278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6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77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2948.3998716330011</v>
      </c>
      <c r="J396" s="278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3642.0064663066537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6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77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-14506.127368434365</v>
      </c>
      <c r="J397" s="278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-17918.671814228735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6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77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416.88030500231173</v>
      </c>
      <c r="J398" s="278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514.95076400657763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6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77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193.57366794907938</v>
      </c>
      <c r="J399" s="278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28.520061143629981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6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77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-793.65203859122551</v>
      </c>
      <c r="J400" s="278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-116.93225068888293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6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77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123.70870569578105</v>
      </c>
      <c r="J401" s="278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18.226548516769903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6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77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196.19102973365759</v>
      </c>
      <c r="J402" s="278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6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77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-689.47133306399678</v>
      </c>
      <c r="J403" s="278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6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77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287.29680131773125</v>
      </c>
      <c r="J404" s="278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6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77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705089.2424853479</v>
      </c>
      <c r="J405" s="278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6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77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-2556523.7218468017</v>
      </c>
      <c r="J406" s="278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6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77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100506.88560754449</v>
      </c>
      <c r="J407" s="278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6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77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35583.102351631147</v>
      </c>
      <c r="J408" s="278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3865.092161459509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6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77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-107514.8125200361</v>
      </c>
      <c r="J409" s="278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-11678.426883791119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6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77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22925.801421322485</v>
      </c>
      <c r="J410" s="278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2490.2363625601311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6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77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43275.326793851265</v>
      </c>
      <c r="J411" s="278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6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77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-112077.40286400929</v>
      </c>
      <c r="J412" s="278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6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77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63887.917638630657</v>
      </c>
      <c r="J413" s="278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6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77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110265.60383998184</v>
      </c>
      <c r="J414" s="278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0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6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77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-399802.76954308135</v>
      </c>
      <c r="J415" s="278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0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6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77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15717.801043918453</v>
      </c>
      <c r="J416" s="278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0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7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5564.6746977337698</v>
      </c>
      <c r="J417" s="27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819.86803424898665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6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77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-16813.737907099858</v>
      </c>
      <c r="J418" s="278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-2477.2420662587219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6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77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3585.258694810067</v>
      </c>
      <c r="J419" s="278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528.23195569457323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6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77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6767.6256461900493</v>
      </c>
      <c r="J420" s="278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6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77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-17527.260038822253</v>
      </c>
      <c r="J421" s="278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6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77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9991.1321745190671</v>
      </c>
      <c r="J422" s="278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6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77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178235.22139277839</v>
      </c>
      <c r="J423" s="278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181156.38422629872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6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77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193088.1565088433</v>
      </c>
      <c r="J424" s="278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196252.74957849027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5">
        <f ca="1">SUMIFS(H3:H424,$F$3:$F$424,$D$425)*H423/SUM(H423:H424)</f>
        <v>-137317.43481230648</v>
      </c>
      <c r="I425" s="316">
        <f t="shared" ref="I425:J425" ca="1" si="0">SUMIFS(I3:I424,$F$3:$F$424,$D$425)*I423/SUM(I423:I424)</f>
        <v>-135559.93500491785</v>
      </c>
      <c r="J425" s="317">
        <f t="shared" ca="1" si="0"/>
        <v>-250413.3836601582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6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77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131643.38274019925</v>
      </c>
      <c r="J426" s="278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13682.774185646154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6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77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5124.8906695637379</v>
      </c>
      <c r="J427" s="278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532.67183126214638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6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77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673.41063398067524</v>
      </c>
      <c r="J428" s="278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69.993078627846032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6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77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68227.353372786543</v>
      </c>
      <c r="J429" s="278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7091.4272335775522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6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77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104298.25769715841</v>
      </c>
      <c r="J430" s="278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4757.7690216638703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6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77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1998.1908506566576</v>
      </c>
      <c r="J431" s="278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91.151383911233253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6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77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9301.7197912348547</v>
      </c>
      <c r="J432" s="278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424.31614149716188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6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77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9178.0110416364168</v>
      </c>
      <c r="J433" s="278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418.67292492246872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6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77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3992.121653443267</v>
      </c>
      <c r="J434" s="278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257.33473418730972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6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77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1936.2113529868684</v>
      </c>
      <c r="J435" s="278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124.80943145146263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6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77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255.57342838088991</v>
      </c>
      <c r="J436" s="278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16.474427877469587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6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77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2626.9066309529435</v>
      </c>
      <c r="J437" s="278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169.33209413297848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6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77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8276.4182574830029</v>
      </c>
      <c r="J438" s="278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503.71416194271836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2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283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30.527432281785558</v>
      </c>
      <c r="J439" s="284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1.857941381125793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51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52">
        <f>SUMIFS('Forbrug af biomasse'!$E$1:$E$425,'Forbrug af biomasse'!$A$1:$A$425,$F440,'Forbrug af biomasse'!$C$1:$C$425,$D440,'Forbrug af biomasse'!$B$1:$B$425,$A$1,'Forbrug af biomasse'!$D$1:$D$425,I$2)*'[1]Processer - data'!I440</f>
        <v>437177156.65742028</v>
      </c>
      <c r="J440" s="253">
        <f>SUMIFS('Forbrug af biomasse'!$E$1:$E$425,'Forbrug af biomasse'!$A$1:$A$425,$F440,'Forbrug af biomasse'!$C$1:$C$425,$D440,'Forbrug af biomasse'!$B$1:$B$425,$A$1,'Forbrug af biomasse'!$D$1:$D$425,J$2)*'[1]Processer - data'!J440</f>
        <v>51349296.347956866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4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55">
        <f>SUMIFS('Forbrug af biomasse'!$E$1:$E$425,'Forbrug af biomasse'!$A$1:$A$425,$F441,'Forbrug af biomasse'!$C$1:$C$425,$D441,'Forbrug af biomasse'!$B$1:$B$425,$A$1,'Forbrug af biomasse'!$D$1:$D$425,I$2)*'[1]Processer - data'!I441</f>
        <v>12139697.543484073</v>
      </c>
      <c r="J441" s="256">
        <f>SUMIFS('Forbrug af biomasse'!$E$1:$E$425,'Forbrug af biomasse'!$A$1:$A$425,$F441,'Forbrug af biomasse'!$C$1:$C$425,$D441,'Forbrug af biomasse'!$B$1:$B$425,$A$1,'Forbrug af biomasse'!$D$1:$D$425,J$2)*'[1]Processer - data'!J441</f>
        <v>1425886.3191779424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4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5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6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4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55">
        <f>SUMIFS('Forbrug af biomasse'!$E$1:$E$425,'Forbrug af biomasse'!$A$1:$A$425,$F443,'Forbrug af biomasse'!$C$1:$C$425,$D443,'Forbrug af biomasse'!$B$1:$B$425,$A$1,'Forbrug af biomasse'!$D$1:$D$425,I$2)*'[1]Processer - data'!I443</f>
        <v>5773758.5877546193</v>
      </c>
      <c r="J443" s="256">
        <f>SUMIFS('Forbrug af biomasse'!$E$1:$E$425,'Forbrug af biomasse'!$A$1:$A$425,$F443,'Forbrug af biomasse'!$C$1:$C$425,$D443,'Forbrug af biomasse'!$B$1:$B$425,$A$1,'Forbrug af biomasse'!$D$1:$D$425,J$2)*'[1]Processer - data'!J443</f>
        <v>678165.44448707008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4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55">
        <f>SUMIFS('Forbrug af biomasse'!$E$1:$E$425,'Forbrug af biomasse'!$A$1:$A$425,$F444,'Forbrug af biomasse'!$C$1:$C$425,$D444,'Forbrug af biomasse'!$B$1:$B$425,$A$1,'Forbrug af biomasse'!$D$1:$D$425,I$2)*'[1]Processer - data'!I444</f>
        <v>10585224.077550136</v>
      </c>
      <c r="J444" s="256">
        <f>SUMIFS('Forbrug af biomasse'!$E$1:$E$425,'Forbrug af biomasse'!$A$1:$A$425,$F444,'Forbrug af biomasse'!$C$1:$C$425,$D444,'Forbrug af biomasse'!$B$1:$B$425,$A$1,'Forbrug af biomasse'!$D$1:$D$425,J$2)*'[1]Processer - data'!J444</f>
        <v>1243303.3148929619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4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55">
        <f>SUMIFS('Forbrug af biomasse'!$E$1:$E$425,'Forbrug af biomasse'!$A$1:$A$425,$F445,'Forbrug af biomasse'!$C$1:$C$425,$D445,'Forbrug af biomasse'!$B$1:$B$425,$A$1,'Forbrug af biomasse'!$D$1:$D$425,I$2)*'[1]Processer - data'!I445</f>
        <v>123839719.45273688</v>
      </c>
      <c r="J445" s="256">
        <f>SUMIFS('Forbrug af biomasse'!$E$1:$E$425,'Forbrug af biomasse'!$A$1:$A$425,$F445,'Forbrug af biomasse'!$C$1:$C$425,$D445,'Forbrug af biomasse'!$B$1:$B$425,$A$1,'Forbrug af biomasse'!$D$1:$D$425,J$2)*'[1]Processer - data'!J445</f>
        <v>14545779.341370106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4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55">
        <f>SUMIFS('Forbrug af biomasse'!$E$1:$E$425,'Forbrug af biomasse'!$A$1:$A$425,$F446,'Forbrug af biomasse'!$C$1:$C$425,$D446,'Forbrug af biomasse'!$B$1:$B$425,$A$1,'Forbrug af biomasse'!$D$1:$D$425,I$2)*'[1]Processer - data'!I446</f>
        <v>17839433.585241836</v>
      </c>
      <c r="J446" s="256">
        <f>SUMIFS('Forbrug af biomasse'!$E$1:$E$425,'Forbrug af biomasse'!$A$1:$A$425,$F446,'Forbrug af biomasse'!$C$1:$C$425,$D446,'Forbrug af biomasse'!$B$1:$B$425,$A$1,'Forbrug af biomasse'!$D$1:$D$425,J$2)*'[1]Processer - data'!J446</f>
        <v>2095357.334889537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4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5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6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4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5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6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4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55">
        <f>SUMIFS('Forbrug af biomasse'!$E$1:$E$425,'Forbrug af biomasse'!$A$1:$A$425,$F449,'Forbrug af biomasse'!$C$1:$C$425,$D449,'Forbrug af biomasse'!$B$1:$B$425,$A$1,'Forbrug af biomasse'!$D$1:$D$425,I$2)*'[1]Processer - data'!I449</f>
        <v>168179224.5048525</v>
      </c>
      <c r="J449" s="256">
        <f>SUMIFS('Forbrug af biomasse'!$E$1:$E$425,'Forbrug af biomasse'!$A$1:$A$425,$F449,'Forbrug af biomasse'!$C$1:$C$425,$D449,'Forbrug af biomasse'!$B$1:$B$425,$A$1,'Forbrug af biomasse'!$D$1:$D$425,J$2)*'[1]Processer - data'!J449</f>
        <v>19753742.177879784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4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55">
        <f>SUMIFS('Forbrug af biomasse'!$E$1:$E$425,'Forbrug af biomasse'!$A$1:$A$425,$F450,'Forbrug af biomasse'!$C$1:$C$425,$D450,'Forbrug af biomasse'!$B$1:$B$425,$A$1,'Forbrug af biomasse'!$D$1:$D$425,I$2)*'[1]Processer - data'!I450</f>
        <v>12065674.997487217</v>
      </c>
      <c r="J450" s="256">
        <f>SUMIFS('Forbrug af biomasse'!$E$1:$E$425,'Forbrug af biomasse'!$A$1:$A$425,$F450,'Forbrug af biomasse'!$C$1:$C$425,$D450,'Forbrug af biomasse'!$B$1:$B$425,$A$1,'Forbrug af biomasse'!$D$1:$D$425,J$2)*'[1]Processer - data'!J450</f>
        <v>1417191.890402467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4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4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4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55">
        <f>SUMIFS('Forbrug af biomasse'!$E$1:$E$425,'Forbrug af biomasse'!$A$1:$A$425,$F453,'Forbrug af biomasse'!$C$1:$C$425,$D453,'Forbrug af biomasse'!$B$1:$B$425,$A$1,'Forbrug af biomasse'!$D$1:$D$425,I$2)*'[1]Processer - data'!I453</f>
        <v>8956728.0656193458</v>
      </c>
      <c r="J453" s="256">
        <f>SUMIFS('Forbrug af biomasse'!$E$1:$E$425,'Forbrug af biomasse'!$A$1:$A$425,$F453,'Forbrug af biomasse'!$C$1:$C$425,$D453,'Forbrug af biomasse'!$B$1:$B$425,$A$1,'Forbrug af biomasse'!$D$1:$D$425,J$2)*'[1]Processer - data'!J453</f>
        <v>1052025.8818325063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4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55">
        <f>SUMIFS('Forbrug af biomasse'!$E$1:$E$425,'Forbrug af biomasse'!$A$1:$A$425,$F454,'Forbrug af biomasse'!$C$1:$C$425,$D454,'Forbrug af biomasse'!$B$1:$B$425,$A$1,'Forbrug af biomasse'!$D$1:$D$425,I$2)*'[1]Processer - data'!I454</f>
        <v>296534319.26339751</v>
      </c>
      <c r="J454" s="256">
        <f>SUMIFS('Forbrug af biomasse'!$E$1:$E$425,'Forbrug af biomasse'!$A$1:$A$425,$F454,'Forbrug af biomasse'!$C$1:$C$425,$D454,'Forbrug af biomasse'!$B$1:$B$425,$A$1,'Forbrug af biomasse'!$D$1:$D$425,J$2)*'[1]Processer - data'!J454</f>
        <v>34829881.674553886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4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55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6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4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55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6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4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55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6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4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55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8679939.1124959849</v>
      </c>
      <c r="J458" s="256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0</v>
      </c>
    </row>
    <row r="459" spans="1:10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60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61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-9206.2327866666437</v>
      </c>
      <c r="J459" s="262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</row>
    <row r="460" spans="1:10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4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55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5754194.0104801925</v>
      </c>
      <c r="J460" s="256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707869.25082461175</v>
      </c>
    </row>
    <row r="461" spans="1:10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60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61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-12008.862001645197</v>
      </c>
      <c r="J461" s="262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-1477.3057934574824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4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55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6666.5489528999733</v>
      </c>
      <c r="J462" s="256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5559.5923198662958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4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55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15425466.694012061</v>
      </c>
      <c r="J463" s="256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3007950.5478875069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4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55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6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4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55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6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4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55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6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4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55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6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4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5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6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4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5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6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4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55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16462259.429267358</v>
      </c>
      <c r="J470" s="256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21598041.24201522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4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5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6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4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55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56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4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55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34824972.645088904</v>
      </c>
      <c r="J473" s="256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43688934.297361225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60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61">
        <f ca="1">SUMIFS('Forbrug af biomasse'!$E$1:$E$425,'Forbrug af biomasse'!$A$1:$A$425,"Biogas",'Forbrug af biomasse'!$B$1:$B$425,$A$1,'Forbrug af biomasse'!$D$1:$D$425,I$2)*'[1]Processer - data'!I474</f>
        <v>3926338.169828245</v>
      </c>
      <c r="J474" s="262">
        <f ca="1">SUMIFS('Forbrug af biomasse'!$E$1:$E$425,'Forbrug af biomasse'!$A$1:$A$425,"Biogas",'Forbrug af biomasse'!$B$1:$B$425,$A$1,'Forbrug af biomasse'!$D$1:$D$425,J$2)*'[1]Processer - data'!J474</f>
        <v>3428084.2294498845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60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61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1277879.9248952419</v>
      </c>
      <c r="J475" s="262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0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60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61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1088263.6426440079</v>
      </c>
      <c r="J476" s="262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44625.32708114179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60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61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1187.4260221450336</v>
      </c>
      <c r="J477" s="262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330.0860580073288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60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61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454194.29710146622</v>
      </c>
      <c r="J478" s="262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29522.477599636633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60">
        <f ca="1">H474*'[1]Processer - data'!H$479*Biogasanlæg!AA$3</f>
        <v>12613034.84027173</v>
      </c>
      <c r="I479" s="261">
        <f ca="1">I474*'[1]Processer - data'!I$479*Biogasanlæg!AB$3</f>
        <v>18838480.682286877</v>
      </c>
      <c r="J479" s="262">
        <f ca="1">J474*'[1]Processer - data'!J$479*Biogasanlæg!AC$3</f>
        <v>2433645.9629572071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60">
        <f ca="1">-SUMIFS('Resultater - Østdanmark'!H$3:H$504,'Resultater - Østdanmark'!$F$3:$F$504,"Gødning",'Resultater - Østdanmark'!$A$3:$A$504,"&lt;&gt;Gødning")-SUM(H475:H479)</f>
        <v>59971256.963903613</v>
      </c>
      <c r="I480" s="261">
        <f ca="1">-SUMIFS('Resultater - Østdanmark'!I$3:I$504,'Resultater - Østdanmark'!$F$3:$F$504,"Gødning",'Resultater - Østdanmark'!$A$3:$A$504,"&lt;&gt;Gødning")-SUM(I475:I479)</f>
        <v>77837045.290293068</v>
      </c>
      <c r="J480" s="262">
        <f ca="1">-SUMIFS('Resultater - Østdanmark'!J$3:J$504,'Resultater - Østdanmark'!$F$3:$F$504,"Gødning",'Resultater - Østdanmark'!$A$3:$A$504,"&lt;&gt;Gødning")-SUM(J475:J479)</f>
        <v>155749231.10139814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3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65">
        <f>SUMIFS('Forbrug af biomasse'!$E$1:$E$425,'Forbrug af biomasse'!$A$1:$A$425,$F481,'Forbrug af biomasse'!$C$1:$C$425,$D481,'Forbrug af biomasse'!$B$1:$B$425,$A$1,'Forbrug af biomasse'!$D$1:$D$425,I$2)*'[1]Processer - data'!I481</f>
        <v>6.2941534601218443</v>
      </c>
      <c r="J481" s="266">
        <f>SUMIFS('Forbrug af biomasse'!$E$1:$E$425,'Forbrug af biomasse'!$A$1:$A$425,$F481,'Forbrug af biomasse'!$C$1:$C$425,$D481,'Forbrug af biomasse'!$B$1:$B$425,$A$1,'Forbrug af biomasse'!$D$1:$D$425,J$2)*'[1]Processer - data'!J481</f>
        <v>3.4480321865332897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3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65">
        <f>SUMIFS('Forbrug af biomasse'!$E$1:$E$425,'Forbrug af biomasse'!$A$1:$A$425,$F482,'Forbrug af biomasse'!$C$1:$C$425,$D482,'Forbrug af biomasse'!$B$1:$B$425,$A$1,'Forbrug af biomasse'!$D$1:$D$425,I$2)*'[1]Processer - data'!I482</f>
        <v>1.6606784103478176</v>
      </c>
      <c r="J482" s="266">
        <f>SUMIFS('Forbrug af biomasse'!$E$1:$E$425,'Forbrug af biomasse'!$A$1:$A$425,$F482,'Forbrug af biomasse'!$C$1:$C$425,$D482,'Forbrug af biomasse'!$B$1:$B$425,$A$1,'Forbrug af biomasse'!$D$1:$D$425,J$2)*'[1]Processer - data'!J482</f>
        <v>3.4967588038534942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3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65">
        <f>SUMIFS('Forbrug af biomasse'!$E$1:$E$425,'Forbrug af biomasse'!$A$1:$A$425,$F483,'Forbrug af biomasse'!$C$1:$C$425,$D483,'Forbrug af biomasse'!$B$1:$B$425,$A$1,'Forbrug af biomasse'!$D$1:$D$425,I$2)*'[1]Processer - data'!I483</f>
        <v>0.75047857796903505</v>
      </c>
      <c r="J483" s="266">
        <f>SUMIFS('Forbrug af biomasse'!$E$1:$E$425,'Forbrug af biomasse'!$A$1:$A$425,$F483,'Forbrug af biomasse'!$C$1:$C$425,$D483,'Forbrug af biomasse'!$B$1:$B$425,$A$1,'Forbrug af biomasse'!$D$1:$D$425,J$2)*'[1]Processer - data'!J483</f>
        <v>0.62612007092909838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3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65">
        <f ca="1">SUMIFS('Forbrug af biomasse'!$E$1:$E$425,'Forbrug af biomasse'!$A$1:$A$425,$F484,'Forbrug af biomasse'!$C$1:$C$425,$D484,'Forbrug af biomasse'!$B$1:$B$425,$A$1,'Forbrug af biomasse'!$D$1:$D$425,I$2)*'[1]Processer - data'!I484</f>
        <v>9.3866998993191597</v>
      </c>
      <c r="J484" s="266">
        <f ca="1">SUMIFS('Forbrug af biomasse'!$E$1:$E$425,'Forbrug af biomasse'!$A$1:$A$425,$F484,'Forbrug af biomasse'!$C$1:$C$425,$D484,'Forbrug af biomasse'!$B$1:$B$425,$A$1,'Forbrug af biomasse'!$D$1:$D$425,J$2)*'[1]Processer - data'!J484</f>
        <v>9.2457157245424533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3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65">
        <f>SUMIFS('Forbrug af biomasse'!$E$1:$E$425,'Forbrug af biomasse'!$A$1:$A$425,$F485,'Forbrug af biomasse'!$C$1:$C$425,$D485,'Forbrug af biomasse'!$B$1:$B$425,$A$1,'Forbrug af biomasse'!$D$1:$D$425,I$2)*'[1]Processer - data'!I485</f>
        <v>1.9286749755774253</v>
      </c>
      <c r="J485" s="266">
        <f>SUMIFS('Forbrug af biomasse'!$E$1:$E$425,'Forbrug af biomasse'!$A$1:$A$425,$F485,'Forbrug af biomasse'!$C$1:$C$425,$D485,'Forbrug af biomasse'!$B$1:$B$425,$A$1,'Forbrug af biomasse'!$D$1:$D$425,J$2)*'[1]Processer - data'!J485</f>
        <v>2.3365287637384994E-2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3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5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66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3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5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6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3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5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6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60">
        <f ca="1">SUM(H455:H473)*'[1]Processer - data'!$H$489</f>
        <v>3.9778561239632375</v>
      </c>
      <c r="I489" s="261">
        <f ca="1">SUM(I455:I473)*'[1]Processer - data'!$H$489</f>
        <v>3.3465453695053768</v>
      </c>
      <c r="J489" s="262">
        <f ca="1">SUM(J455:J473)*'[1]Processer - data'!$H$489</f>
        <v>2.9112433041252777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4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5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56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4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5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56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4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5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56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9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80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74137.429033384717</v>
      </c>
      <c r="J493" s="281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156105.30374345958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6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77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47447.954581366219</v>
      </c>
      <c r="J494" s="278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99907.394395814132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51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2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3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4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5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6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7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8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9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4" t="str">
        <f>'Resultater - Vestdanmark'!A2</f>
        <v>Processer</v>
      </c>
      <c r="B2" s="94" t="str">
        <f>'Resultater - Vestdanmark'!B2</f>
        <v>Konventionel/økologisk</v>
      </c>
      <c r="C2" s="94" t="str">
        <f>'Resultater - Vestdanmark'!C2</f>
        <v>Jordbundstype</v>
      </c>
      <c r="D2" s="94" t="str">
        <f>'Resultater - Vestdanmark'!D2</f>
        <v>Input</v>
      </c>
      <c r="E2" s="94" t="str">
        <f>'Resultater - Vestdanmark'!E2</f>
        <v>Enhed</v>
      </c>
      <c r="F2" s="94" t="str">
        <f>'Resultater - Vestdanmark'!F2</f>
        <v>Output</v>
      </c>
      <c r="G2" s="94" t="str">
        <f>'Resultater - Vestdanmark'!G2</f>
        <v>Enhed</v>
      </c>
      <c r="H2" s="94">
        <f>'Resultater - Vestdanmark'!H2</f>
        <v>2019</v>
      </c>
      <c r="I2" s="94">
        <f>'Resultater - Vestdanmark'!I2</f>
        <v>2030</v>
      </c>
      <c r="J2" s="94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4" t="str">
        <f>'Resultater - Vestdanmark'!A3</f>
        <v>Spildevandsproduktion</v>
      </c>
      <c r="B3" s="94" t="str">
        <f>'Resultater - Vestdanmark'!B3</f>
        <v/>
      </c>
      <c r="C3" s="94" t="str">
        <f>'Resultater - Vestdanmark'!C3</f>
        <v/>
      </c>
      <c r="D3" s="94" t="str">
        <f>'Resultater - Vestdanmark'!D3</f>
        <v>Befolkning</v>
      </c>
      <c r="E3" s="94" t="str">
        <f>'Resultater - Vestdanmark'!E3</f>
        <v>Antal</v>
      </c>
      <c r="F3" s="94" t="str">
        <f>'Resultater - Vestdanmark'!F3</f>
        <v>Spildevandsslam</v>
      </c>
      <c r="G3" s="94" t="str">
        <f>'Resultater - Vestdanmark'!G3</f>
        <v>Ton</v>
      </c>
      <c r="H3" s="251">
        <f>'Resultater - Vestdanmark'!H3+'Resultater - Østdanmark'!H3</f>
        <v>6905432.901678659</v>
      </c>
      <c r="I3" s="252">
        <f>'Resultater - Vestdanmark'!I3+'Resultater - Østdanmark'!I3</f>
        <v>7187550.2724163011</v>
      </c>
      <c r="J3" s="253">
        <f>'Resultater - Vestdanmark'!J3+'Resultater - Østdanmark'!J3</f>
        <v>7494121.763909651</v>
      </c>
      <c r="L3" s="94" t="s">
        <v>111</v>
      </c>
      <c r="M3" s="94">
        <f ca="1">SUMIF($F$3:$F$509,$L$3,H$3:H$509)</f>
        <v>13910380.018766832</v>
      </c>
      <c r="N3" s="94">
        <f ca="1">SUMIF($F$3:$F$509,$L$3,I$3:I$509)</f>
        <v>9752909.8767487388</v>
      </c>
      <c r="O3" s="94">
        <f ca="1">SUMIF($F$3:$F$509,$L$3,J$3:J$509)</f>
        <v>633807.98066069407</v>
      </c>
      <c r="Q3" s="94"/>
      <c r="U3" s="94"/>
    </row>
    <row r="4" spans="1:21" x14ac:dyDescent="0.25">
      <c r="A4" s="94" t="str">
        <f>'Resultater - Vestdanmark'!A4</f>
        <v>Bioaffaldsproduktion</v>
      </c>
      <c r="B4" s="94" t="str">
        <f>'Resultater - Vestdanmark'!B4</f>
        <v/>
      </c>
      <c r="C4" s="94" t="str">
        <f>'Resultater - Vestdanmark'!C4</f>
        <v/>
      </c>
      <c r="D4" s="94" t="str">
        <f>'Resultater - Vestdanmark'!D4</f>
        <v>Befolkning</v>
      </c>
      <c r="E4" s="94" t="str">
        <f>'Resultater - Vestdanmark'!E4</f>
        <v>Antal</v>
      </c>
      <c r="F4" s="94" t="str">
        <f>'Resultater - Vestdanmark'!F4</f>
        <v>Bioaffald</v>
      </c>
      <c r="G4" s="94" t="str">
        <f>'Resultater - Vestdanmark'!G4</f>
        <v>Ton</v>
      </c>
      <c r="H4" s="254">
        <f ca="1">'Resultater - Vestdanmark'!H4+'Resultater - Østdanmark'!H4</f>
        <v>358674.32551850227</v>
      </c>
      <c r="I4" s="255">
        <f ca="1">'Resultater - Vestdanmark'!I4+'Resultater - Østdanmark'!I4</f>
        <v>363994.97174274386</v>
      </c>
      <c r="J4" s="256">
        <f ca="1">'Resultater - Vestdanmark'!J4+'Resultater - Østdanmark'!J4</f>
        <v>369776.8151095995</v>
      </c>
      <c r="L4" s="94" t="s">
        <v>167</v>
      </c>
      <c r="M4" s="94">
        <f t="shared" ref="M4:O6" si="0">SUMIFS(H$3:H$509,$F$3:$F$509,$L$3,$A$3:$A$509,$L4)</f>
        <v>1383287.873779177</v>
      </c>
      <c r="N4" s="94">
        <f t="shared" si="0"/>
        <v>956753.90896861535</v>
      </c>
      <c r="O4" s="94">
        <f t="shared" si="0"/>
        <v>101618.25379267999</v>
      </c>
    </row>
    <row r="5" spans="1:21" x14ac:dyDescent="0.25">
      <c r="A5" s="94" t="str">
        <f>'Resultater - Vestdanmark'!A5</f>
        <v>Bioaffaldsproduktion</v>
      </c>
      <c r="B5" s="94" t="str">
        <f>'Resultater - Vestdanmark'!B5</f>
        <v/>
      </c>
      <c r="C5" s="94" t="str">
        <f>'Resultater - Vestdanmark'!C5</f>
        <v/>
      </c>
      <c r="D5" s="94" t="str">
        <f>'Resultater - Vestdanmark'!D5</f>
        <v>Befolkning</v>
      </c>
      <c r="E5" s="94" t="str">
        <f>'Resultater - Vestdanmark'!E5</f>
        <v>Antal</v>
      </c>
      <c r="F5" s="94" t="str">
        <f>'Resultater - Vestdanmark'!F5</f>
        <v>Have/parkaffald</v>
      </c>
      <c r="G5" s="94" t="str">
        <f>'Resultater - Vestdanmark'!G5</f>
        <v>Ton</v>
      </c>
      <c r="H5" s="254">
        <f>'Resultater - Vestdanmark'!H5+'Resultater - Østdanmark'!H5</f>
        <v>982809</v>
      </c>
      <c r="I5" s="255">
        <f>'Resultater - Vestdanmark'!I5+'Resultater - Østdanmark'!I5</f>
        <v>982809</v>
      </c>
      <c r="J5" s="256">
        <f>'Resultater - Vestdanmark'!J5+'Resultater - Østdanmark'!J5</f>
        <v>982809</v>
      </c>
      <c r="L5" s="94" t="s">
        <v>168</v>
      </c>
      <c r="M5" s="94">
        <f t="shared" si="0"/>
        <v>4119285.0829287488</v>
      </c>
      <c r="N5" s="94">
        <f t="shared" si="0"/>
        <v>2661868.2774193259</v>
      </c>
      <c r="O5" s="94">
        <f t="shared" si="0"/>
        <v>353174.11012668692</v>
      </c>
    </row>
    <row r="6" spans="1:21" x14ac:dyDescent="0.25">
      <c r="A6" s="94" t="str">
        <f>'Resultater - Vestdanmark'!A6</f>
        <v>Bioaffaldsproduktion</v>
      </c>
      <c r="B6" s="94" t="str">
        <f>'Resultater - Vestdanmark'!B6</f>
        <v/>
      </c>
      <c r="C6" s="94" t="str">
        <f>'Resultater - Vestdanmark'!C6</f>
        <v/>
      </c>
      <c r="D6" s="94" t="str">
        <f>'Resultater - Vestdanmark'!D6</f>
        <v>Befolkning</v>
      </c>
      <c r="E6" s="94" t="str">
        <f>'Resultater - Vestdanmark'!E6</f>
        <v>Antal</v>
      </c>
      <c r="F6" s="94" t="str">
        <f>'Resultater - Vestdanmark'!F6</f>
        <v>Industriaffald</v>
      </c>
      <c r="G6" s="94" t="str">
        <f>'Resultater - Vestdanmark'!G6</f>
        <v>Ton</v>
      </c>
      <c r="H6" s="254">
        <f>'Resultater - Vestdanmark'!H6+'Resultater - Østdanmark'!H6</f>
        <v>355018</v>
      </c>
      <c r="I6" s="255">
        <f>'Resultater - Vestdanmark'!I6+'Resultater - Østdanmark'!I6</f>
        <v>355018</v>
      </c>
      <c r="J6" s="256">
        <f>'Resultater - Vestdanmark'!J6+'Resultater - Østdanmark'!J6</f>
        <v>355018</v>
      </c>
      <c r="L6" s="94" t="s">
        <v>169</v>
      </c>
      <c r="M6" s="94">
        <f t="shared" si="0"/>
        <v>16688.944028790498</v>
      </c>
      <c r="N6" s="94">
        <f t="shared" si="0"/>
        <v>13530.076428940514</v>
      </c>
      <c r="O6" s="94">
        <f t="shared" si="0"/>
        <v>7240.2366053086025</v>
      </c>
    </row>
    <row r="7" spans="1:21" x14ac:dyDescent="0.25">
      <c r="A7" s="94" t="str">
        <f>'Resultater - Vestdanmark'!A7</f>
        <v>Muslingefarm</v>
      </c>
      <c r="B7" s="94" t="str">
        <f>'Resultater - Vestdanmark'!B7</f>
        <v/>
      </c>
      <c r="C7" s="94" t="str">
        <f>'Resultater - Vestdanmark'!C7</f>
        <v/>
      </c>
      <c r="D7" s="94" t="str">
        <f>'Resultater - Vestdanmark'!D7</f>
        <v>Muslingeareal</v>
      </c>
      <c r="E7" s="94" t="str">
        <f>'Resultater - Vestdanmark'!E7</f>
        <v>Hektar</v>
      </c>
      <c r="F7" s="94" t="str">
        <f>'Resultater - Vestdanmark'!F7</f>
        <v>Muslinger</v>
      </c>
      <c r="G7" s="94" t="str">
        <f>'Resultater - Vestdanmark'!G7</f>
        <v>Ton</v>
      </c>
      <c r="H7" s="254">
        <f>'Resultater - Vestdanmark'!H7+'Resultater - Østdanmark'!H7</f>
        <v>880.09999999999991</v>
      </c>
      <c r="I7" s="255">
        <f>'Resultater - Vestdanmark'!I7+'Resultater - Østdanmark'!I7</f>
        <v>880.09999999999991</v>
      </c>
      <c r="J7" s="256">
        <f>'Resultater - Vestdanmark'!J7+'Resultater - Østdanmark'!J7</f>
        <v>880.09999999999991</v>
      </c>
      <c r="L7" s="94" t="s">
        <v>42</v>
      </c>
      <c r="M7" s="94">
        <f>SUMIFS(H$3:H$509,$F$3:$F$509,$L$3,$C$3:$C$509,$L7)+SUMIFS(H$3:H$509,$F$3:$F$509,$L$3,$C$3:$C$509,"",$A$3:$A$509,"Grøntsager I drivhus")</f>
        <v>5792.400747147125</v>
      </c>
      <c r="N7" s="94">
        <f>SUMIFS(I$3:I$509,$F$3:$F$509,$L$3,$C$3:$C$509,$L7)+SUMIFS(I$3:I$509,$F$3:$F$509,$L$3,$C$3:$C$509,"",$A$3:$A$509,"Grøntsager I drivhus")</f>
        <v>31913.544949424846</v>
      </c>
      <c r="O7" s="94">
        <f>SUMIFS(J$3:J$509,$F$3:$F$509,$L$3,$C$3:$C$509,$L7)+SUMIFS(J$3:J$509,$F$3:$F$509,$L$3,$C$3:$C$509,"",$A$3:$A$509,"Grøntsager I drivhus")</f>
        <v>97771.16740350968</v>
      </c>
    </row>
    <row r="8" spans="1:21" x14ac:dyDescent="0.25">
      <c r="A8" s="94" t="str">
        <f>'Resultater - Vestdanmark'!A8</f>
        <v>Muslingefarm</v>
      </c>
      <c r="B8" s="94" t="str">
        <f>'Resultater - Vestdanmark'!B8</f>
        <v/>
      </c>
      <c r="C8" s="94" t="str">
        <f>'Resultater - Vestdanmark'!C8</f>
        <v/>
      </c>
      <c r="D8" s="94" t="str">
        <f>'Resultater - Vestdanmark'!D8</f>
        <v>Muslingeareal</v>
      </c>
      <c r="E8" s="94" t="str">
        <f>'Resultater - Vestdanmark'!E8</f>
        <v>Hektar</v>
      </c>
      <c r="F8" s="94" t="str">
        <f>'Resultater - Vestdanmark'!F8</f>
        <v>CO2 - atmosfære</v>
      </c>
      <c r="G8" s="94" t="str">
        <f>'Resultater - Vestdanmark'!G8</f>
        <v>t CO2-ækvivalenter</v>
      </c>
      <c r="H8" s="254">
        <f>'Resultater - Vestdanmark'!H8+'Resultater - Østdanmark'!H8</f>
        <v>-142.57619999999997</v>
      </c>
      <c r="I8" s="255">
        <f>'Resultater - Vestdanmark'!I8+'Resultater - Østdanmark'!I8</f>
        <v>-142.57619999999997</v>
      </c>
      <c r="J8" s="256">
        <f>'Resultater - Vestdanmark'!J8+'Resultater - Østdanmark'!J8</f>
        <v>-142.57619999999997</v>
      </c>
      <c r="L8" s="94" t="s">
        <v>41</v>
      </c>
      <c r="M8" s="94">
        <f>SUMIFS(H$3:H$509,$F$3:$F$509,$L$3,$C$3:$C$509,$L8)+SUMIFS(H$3:H$509,$F$3:$F$509,$L$3,$C$3:$C$509,"",$A$3:$A$509,"Grøntsager I drivhus")</f>
        <v>1473136.3400311922</v>
      </c>
      <c r="N8" s="94">
        <f>SUMIFS(I$3:I$509,$F$3:$F$509,$L$3,$C$3:$C$509,$L8)+SUMIFS(I$3:I$509,$F$3:$F$509,$L$3,$C$3:$C$509,"",$A$3:$A$509,"Grøntsager I drivhus")</f>
        <v>1151971.3777610124</v>
      </c>
      <c r="O8" s="94">
        <f>SUMIFS(J$3:J$509,$F$3:$F$509,$L$3,$C$3:$C$509,$L8)</f>
        <v>127526.36326668343</v>
      </c>
    </row>
    <row r="9" spans="1:21" x14ac:dyDescent="0.25">
      <c r="A9" s="94" t="str">
        <f>'Resultater - Vestdanmark'!A9</f>
        <v>Tangfarm</v>
      </c>
      <c r="B9" s="94" t="str">
        <f>'Resultater - Vestdanmark'!B9</f>
        <v/>
      </c>
      <c r="C9" s="94" t="str">
        <f>'Resultater - Vestdanmark'!C9</f>
        <v/>
      </c>
      <c r="D9" s="94" t="str">
        <f>'Resultater - Vestdanmark'!D9</f>
        <v>Tangfarmareal</v>
      </c>
      <c r="E9" s="94" t="str">
        <f>'Resultater - Vestdanmark'!E9</f>
        <v>Hektar</v>
      </c>
      <c r="F9" s="94" t="str">
        <f>'Resultater - Vestdanmark'!F9</f>
        <v>Tang</v>
      </c>
      <c r="G9" s="94" t="str">
        <f>'Resultater - Vestdanmark'!G9</f>
        <v>Ton</v>
      </c>
      <c r="H9" s="254">
        <f>'Resultater - Vestdanmark'!H9+'Resultater - Østdanmark'!H9</f>
        <v>76.5</v>
      </c>
      <c r="I9" s="255">
        <f>'Resultater - Vestdanmark'!I9+'Resultater - Østdanmark'!I9</f>
        <v>382.5</v>
      </c>
      <c r="J9" s="256">
        <f>'Resultater - Vestdanmark'!J9+'Resultater - Østdanmark'!J9</f>
        <v>382.5</v>
      </c>
      <c r="L9" s="94" t="s">
        <v>40</v>
      </c>
      <c r="M9" s="94">
        <f>SUMIFS(H$3:H$509,$F$3:$F$509,$L$3,$C$3:$C$509,$L9)+SUMIFS(H$3:H$509,$F$3:$F$509,$L$3,$C$3:$C$509,"",$A$3:$A$509,"Grøntsager I drivhus")</f>
        <v>2862788.0827837912</v>
      </c>
      <c r="N9" s="94">
        <f>SUMIFS(I$3:I$509,$F$3:$F$509,$L$3,$C$3:$C$509,$L9)+SUMIFS(I$3:I$509,$F$3:$F$509,$L$3,$C$3:$C$509,"",$A$3:$A$509,"Grøntsager I drivhus")</f>
        <v>2150202.3149853405</v>
      </c>
      <c r="O9" s="94">
        <f>SUMIFS(J$3:J$509,$F$3:$F$509,$L$3,$C$3:$C$509,$L9)</f>
        <v>0</v>
      </c>
    </row>
    <row r="10" spans="1:21" x14ac:dyDescent="0.25">
      <c r="A10" s="94" t="str">
        <f>'Resultater - Vestdanmark'!A10</f>
        <v>Tangfarm</v>
      </c>
      <c r="B10" s="94" t="str">
        <f>'Resultater - Vestdanmark'!B10</f>
        <v/>
      </c>
      <c r="C10" s="94" t="str">
        <f>'Resultater - Vestdanmark'!C10</f>
        <v/>
      </c>
      <c r="D10" s="94" t="str">
        <f>'Resultater - Vestdanmark'!D10</f>
        <v>Tangfarmareal</v>
      </c>
      <c r="E10" s="94" t="str">
        <f>'Resultater - Vestdanmark'!E10</f>
        <v>Hektar</v>
      </c>
      <c r="F10" s="94" t="str">
        <f>'Resultater - Vestdanmark'!F10</f>
        <v>CO2 - atmosfære</v>
      </c>
      <c r="G10" s="94" t="str">
        <f>'Resultater - Vestdanmark'!G10</f>
        <v>t CO2-ækvivalenter</v>
      </c>
      <c r="H10" s="254">
        <f>'Resultater - Vestdanmark'!H10+'Resultater - Østdanmark'!H10</f>
        <v>-15.861000000000001</v>
      </c>
      <c r="I10" s="255">
        <f>'Resultater - Vestdanmark'!I10+'Resultater - Østdanmark'!I10</f>
        <v>-15.861000000000001</v>
      </c>
      <c r="J10" s="256">
        <f>'Resultater - Vestdanmark'!J10+'Resultater - Østdanmark'!J10</f>
        <v>-15.861000000000001</v>
      </c>
    </row>
    <row r="11" spans="1:21" x14ac:dyDescent="0.25">
      <c r="A11" s="94" t="str">
        <f>'Resultater - Vestdanmark'!A11</f>
        <v>Skovproduktion</v>
      </c>
      <c r="B11" s="94" t="str">
        <f>'Resultater - Vestdanmark'!B11</f>
        <v/>
      </c>
      <c r="C11" s="94" t="str">
        <f>'Resultater - Vestdanmark'!C11</f>
        <v>Basisskov</v>
      </c>
      <c r="D11" s="94" t="str">
        <f>'Resultater - Vestdanmark'!D11</f>
        <v>Areal-basisskov</v>
      </c>
      <c r="E11" s="94" t="str">
        <f>'Resultater - Vestdanmark'!E11</f>
        <v>Hektar</v>
      </c>
      <c r="F11" s="94" t="str">
        <f>'Resultater - Vestdanmark'!F11</f>
        <v>Træer</v>
      </c>
      <c r="G11" s="94" t="str">
        <f>'Resultater - Vestdanmark'!G11</f>
        <v>m3</v>
      </c>
      <c r="H11" s="254">
        <f>'Resultater - Vestdanmark'!H11+'Resultater - Østdanmark'!H11</f>
        <v>1724391.5316257188</v>
      </c>
      <c r="I11" s="255">
        <f>'Resultater - Vestdanmark'!I11+'Resultater - Østdanmark'!I11</f>
        <v>1631885.8233455163</v>
      </c>
      <c r="J11" s="256">
        <f>'Resultater - Vestdanmark'!J11+'Resultater - Østdanmark'!J11</f>
        <v>1476221.0184099278</v>
      </c>
    </row>
    <row r="12" spans="1:21" x14ac:dyDescent="0.25">
      <c r="A12" s="94" t="str">
        <f>'Resultater - Vestdanmark'!A12</f>
        <v>Skovproduktion</v>
      </c>
      <c r="B12" s="94" t="str">
        <f>'Resultater - Vestdanmark'!B12</f>
        <v/>
      </c>
      <c r="C12" s="94" t="str">
        <f>'Resultater - Vestdanmark'!C12</f>
        <v>Basisskov</v>
      </c>
      <c r="D12" s="94" t="str">
        <f>'Resultater - Vestdanmark'!D12</f>
        <v>Areal-basisskov</v>
      </c>
      <c r="E12" s="94" t="str">
        <f>'Resultater - Vestdanmark'!E12</f>
        <v>Hektar</v>
      </c>
      <c r="F12" s="94" t="str">
        <f>'Resultater - Vestdanmark'!F12</f>
        <v>Træ til energi</v>
      </c>
      <c r="G12" s="94" t="str">
        <f>'Resultater - Vestdanmark'!G12</f>
        <v>m3</v>
      </c>
      <c r="H12" s="254">
        <f>'Resultater - Vestdanmark'!H12+'Resultater - Østdanmark'!H12</f>
        <v>2113608.4683742807</v>
      </c>
      <c r="I12" s="255">
        <f>'Resultater - Vestdanmark'!I12+'Resultater - Østdanmark'!I12</f>
        <v>2000223.0539784776</v>
      </c>
      <c r="J12" s="256">
        <f>'Resultater - Vestdanmark'!J12+'Resultater - Østdanmark'!J12</f>
        <v>1809422.7375158332</v>
      </c>
    </row>
    <row r="13" spans="1:21" x14ac:dyDescent="0.25">
      <c r="A13" s="94" t="str">
        <f>'Resultater - Vestdanmark'!A13</f>
        <v>Skovproduktion</v>
      </c>
      <c r="B13" s="94" t="str">
        <f>'Resultater - Vestdanmark'!B13</f>
        <v/>
      </c>
      <c r="C13" s="94" t="str">
        <f>'Resultater - Vestdanmark'!C13</f>
        <v>Basisskov</v>
      </c>
      <c r="D13" s="94" t="str">
        <f>'Resultater - Vestdanmark'!D13</f>
        <v>Areal-basisskov</v>
      </c>
      <c r="E13" s="94" t="str">
        <f>'Resultater - Vestdanmark'!E13</f>
        <v>Hektar</v>
      </c>
      <c r="F13" s="94" t="str">
        <f>'Resultater - Vestdanmark'!F13</f>
        <v>CO2 - atmosfære</v>
      </c>
      <c r="G13" s="94" t="str">
        <f>'Resultater - Vestdanmark'!G13</f>
        <v>t CO2-ækvivalenter</v>
      </c>
      <c r="H13" s="254">
        <f>'Resultater - Vestdanmark'!H13+'Resultater - Østdanmark'!H13</f>
        <v>-562410</v>
      </c>
      <c r="I13" s="255">
        <f>'Resultater - Vestdanmark'!I13+'Resultater - Østdanmark'!I13</f>
        <v>-532239.27923287847</v>
      </c>
      <c r="J13" s="256">
        <f>'Resultater - Vestdanmark'!J13+'Resultater - Østdanmark'!J13</f>
        <v>-481469.23000787059</v>
      </c>
    </row>
    <row r="14" spans="1:21" x14ac:dyDescent="0.25">
      <c r="A14" s="94" t="str">
        <f>'Resultater - Vestdanmark'!A14</f>
        <v>Skovproduktion</v>
      </c>
      <c r="B14" s="94" t="str">
        <f>'Resultater - Vestdanmark'!B14</f>
        <v/>
      </c>
      <c r="C14" s="94" t="str">
        <f>'Resultater - Vestdanmark'!C14</f>
        <v>Basisskov</v>
      </c>
      <c r="D14" s="94" t="str">
        <f>'Resultater - Vestdanmark'!D14</f>
        <v>Areal-basisskov</v>
      </c>
      <c r="E14" s="94" t="str">
        <f>'Resultater - Vestdanmark'!E14</f>
        <v>Hektar</v>
      </c>
      <c r="F14" s="94" t="str">
        <f>'Resultater - Vestdanmark'!F14</f>
        <v>CO2 - HWP</v>
      </c>
      <c r="G14" s="94" t="str">
        <f>'Resultater - Vestdanmark'!G14</f>
        <v>t CO2-ækvivalenter</v>
      </c>
      <c r="H14" s="254">
        <f>'Resultater - Vestdanmark'!H14+'Resultater - Østdanmark'!H14</f>
        <v>-1263438.0423418714</v>
      </c>
      <c r="I14" s="255">
        <f>'Resultater - Vestdanmark'!I14+'Resultater - Østdanmark'!I14</f>
        <v>-1195660.3776807606</v>
      </c>
      <c r="J14" s="256">
        <f>'Resultater - Vestdanmark'!J14+'Resultater - Østdanmark'!J14</f>
        <v>-1081606.9084991238</v>
      </c>
    </row>
    <row r="15" spans="1:21" x14ac:dyDescent="0.25">
      <c r="A15" s="94" t="str">
        <f>'Resultater - Vestdanmark'!A15</f>
        <v>Skovproduktion</v>
      </c>
      <c r="B15" s="94" t="str">
        <f>'Resultater - Vestdanmark'!B15</f>
        <v/>
      </c>
      <c r="C15" s="94" t="str">
        <f>'Resultater - Vestdanmark'!C15</f>
        <v>Skovtype1</v>
      </c>
      <c r="D15" s="94" t="str">
        <f>'Resultater - Vestdanmark'!D15</f>
        <v>Areal-skovtype1-10</v>
      </c>
      <c r="E15" s="94" t="str">
        <f>'Resultater - Vestdanmark'!E15</f>
        <v>Hektar</v>
      </c>
      <c r="F15" s="94" t="str">
        <f>'Resultater - Vestdanmark'!F15</f>
        <v>Træer</v>
      </c>
      <c r="G15" s="94" t="str">
        <f>'Resultater - Vestdanmark'!G15</f>
        <v>m3</v>
      </c>
      <c r="H15" s="254">
        <f ca="1">'Resultater - Vestdanmark'!H15+'Resultater - Østdanmark'!H15</f>
        <v>0</v>
      </c>
      <c r="I15" s="255">
        <f ca="1">'Resultater - Vestdanmark'!I15+'Resultater - Østdanmark'!I15</f>
        <v>0</v>
      </c>
      <c r="J15" s="256">
        <f ca="1">'Resultater - Vestdanmark'!J15+'Resultater - Østdanmark'!J15</f>
        <v>0</v>
      </c>
    </row>
    <row r="16" spans="1:21" x14ac:dyDescent="0.25">
      <c r="A16" s="94" t="str">
        <f>'Resultater - Vestdanmark'!A16</f>
        <v>Skovproduktion</v>
      </c>
      <c r="B16" s="94" t="str">
        <f>'Resultater - Vestdanmark'!B16</f>
        <v/>
      </c>
      <c r="C16" s="94" t="str">
        <f>'Resultater - Vestdanmark'!C16</f>
        <v>Skovtype1</v>
      </c>
      <c r="D16" s="94" t="str">
        <f>'Resultater - Vestdanmark'!D16</f>
        <v>Areal-skovtype1-10</v>
      </c>
      <c r="E16" s="94" t="str">
        <f>'Resultater - Vestdanmark'!E16</f>
        <v>Hektar</v>
      </c>
      <c r="F16" s="94" t="str">
        <f>'Resultater - Vestdanmark'!F16</f>
        <v>Træ til energi</v>
      </c>
      <c r="G16" s="94" t="str">
        <f>'Resultater - Vestdanmark'!G16</f>
        <v>m3</v>
      </c>
      <c r="H16" s="254">
        <f ca="1">'Resultater - Vestdanmark'!H16+'Resultater - Østdanmark'!H16</f>
        <v>0</v>
      </c>
      <c r="I16" s="255">
        <f ca="1">'Resultater - Vestdanmark'!I16+'Resultater - Østdanmark'!I16</f>
        <v>0</v>
      </c>
      <c r="J16" s="256">
        <f ca="1">'Resultater - Vestdanmark'!J16+'Resultater - Østdanmark'!J16</f>
        <v>0</v>
      </c>
    </row>
    <row r="17" spans="1:10" x14ac:dyDescent="0.25">
      <c r="A17" s="94" t="str">
        <f>'Resultater - Vestdanmark'!A17</f>
        <v>Skovproduktion</v>
      </c>
      <c r="B17" s="94" t="str">
        <f>'Resultater - Vestdanmark'!B17</f>
        <v/>
      </c>
      <c r="C17" s="94" t="str">
        <f>'Resultater - Vestdanmark'!C17</f>
        <v>Skovtype1</v>
      </c>
      <c r="D17" s="94" t="str">
        <f>'Resultater - Vestdanmark'!D17</f>
        <v>Areal-skovtype1-10</v>
      </c>
      <c r="E17" s="94" t="str">
        <f>'Resultater - Vestdanmark'!E17</f>
        <v>Hektar</v>
      </c>
      <c r="F17" s="94" t="str">
        <f>'Resultater - Vestdanmark'!F17</f>
        <v>CO2 - atmosfære</v>
      </c>
      <c r="G17" s="94" t="str">
        <f>'Resultater - Vestdanmark'!G17</f>
        <v>t CO2-ækvivalenter</v>
      </c>
      <c r="H17" s="254">
        <f ca="1">'Resultater - Vestdanmark'!H17+'Resultater - Østdanmark'!H17</f>
        <v>0</v>
      </c>
      <c r="I17" s="255">
        <f ca="1">'Resultater - Vestdanmark'!I17+'Resultater - Østdanmark'!I17</f>
        <v>-10785.15371121005</v>
      </c>
      <c r="J17" s="256">
        <f ca="1">'Resultater - Vestdanmark'!J17+'Resultater - Østdanmark'!J17</f>
        <v>-14671.279823069774</v>
      </c>
    </row>
    <row r="18" spans="1:10" x14ac:dyDescent="0.25">
      <c r="A18" s="94" t="str">
        <f>'Resultater - Vestdanmark'!A18</f>
        <v>Skovproduktion</v>
      </c>
      <c r="B18" s="94" t="str">
        <f>'Resultater - Vestdanmark'!B18</f>
        <v/>
      </c>
      <c r="C18" s="94" t="str">
        <f>'Resultater - Vestdanmark'!C18</f>
        <v>Skovtype1</v>
      </c>
      <c r="D18" s="94" t="str">
        <f>'Resultater - Vestdanmark'!D18</f>
        <v>Areal-skovtype1-10</v>
      </c>
      <c r="E18" s="94" t="str">
        <f>'Resultater - Vestdanmark'!E18</f>
        <v>Hektar</v>
      </c>
      <c r="F18" s="94" t="str">
        <f>'Resultater - Vestdanmark'!F18</f>
        <v>CO2 - HWP</v>
      </c>
      <c r="G18" s="94" t="str">
        <f>'Resultater - Vestdanmark'!G18</f>
        <v>t CO2-ækvivalenter</v>
      </c>
      <c r="H18" s="254">
        <f ca="1">'Resultater - Vestdanmark'!H18+'Resultater - Østdanmark'!H18</f>
        <v>0</v>
      </c>
      <c r="I18" s="255">
        <f ca="1">'Resultater - Vestdanmark'!I18+'Resultater - Østdanmark'!I18</f>
        <v>0</v>
      </c>
      <c r="J18" s="256">
        <f ca="1">'Resultater - Vestdanmark'!J18+'Resultater - Østdanmark'!J18</f>
        <v>0</v>
      </c>
    </row>
    <row r="19" spans="1:10" x14ac:dyDescent="0.25">
      <c r="A19" s="94" t="str">
        <f>'Resultater - Vestdanmark'!A19</f>
        <v>Skovproduktion</v>
      </c>
      <c r="B19" s="94" t="str">
        <f>'Resultater - Vestdanmark'!B19</f>
        <v/>
      </c>
      <c r="C19" s="94" t="str">
        <f>'Resultater - Vestdanmark'!C19</f>
        <v>Skovtype1</v>
      </c>
      <c r="D19" s="94" t="str">
        <f>'Resultater - Vestdanmark'!D19</f>
        <v>Areal-skovtype1-20</v>
      </c>
      <c r="E19" s="94" t="str">
        <f>'Resultater - Vestdanmark'!E19</f>
        <v>Hektar</v>
      </c>
      <c r="F19" s="94" t="str">
        <f>'Resultater - Vestdanmark'!F19</f>
        <v>Træer</v>
      </c>
      <c r="G19" s="94" t="str">
        <f>'Resultater - Vestdanmark'!G19</f>
        <v>m3</v>
      </c>
      <c r="H19" s="254">
        <f ca="1">'Resultater - Vestdanmark'!H19+'Resultater - Østdanmark'!H19</f>
        <v>0</v>
      </c>
      <c r="I19" s="255">
        <f ca="1">'Resultater - Vestdanmark'!I19+'Resultater - Østdanmark'!I19</f>
        <v>0</v>
      </c>
      <c r="J19" s="256">
        <f ca="1">'Resultater - Vestdanmark'!J19+'Resultater - Østdanmark'!J19</f>
        <v>0</v>
      </c>
    </row>
    <row r="20" spans="1:10" x14ac:dyDescent="0.25">
      <c r="A20" s="94" t="str">
        <f>'Resultater - Vestdanmark'!A20</f>
        <v>Skovproduktion</v>
      </c>
      <c r="B20" s="94" t="str">
        <f>'Resultater - Vestdanmark'!B20</f>
        <v/>
      </c>
      <c r="C20" s="94" t="str">
        <f>'Resultater - Vestdanmark'!C20</f>
        <v>Skovtype1</v>
      </c>
      <c r="D20" s="94" t="str">
        <f>'Resultater - Vestdanmark'!D20</f>
        <v>Areal-skovtype1-20</v>
      </c>
      <c r="E20" s="94" t="str">
        <f>'Resultater - Vestdanmark'!E20</f>
        <v>Hektar</v>
      </c>
      <c r="F20" s="94" t="str">
        <f>'Resultater - Vestdanmark'!F20</f>
        <v>Træ til energi</v>
      </c>
      <c r="G20" s="94" t="str">
        <f>'Resultater - Vestdanmark'!G20</f>
        <v>m3</v>
      </c>
      <c r="H20" s="254">
        <f ca="1">'Resultater - Vestdanmark'!H20+'Resultater - Østdanmark'!H20</f>
        <v>0</v>
      </c>
      <c r="I20" s="255">
        <f ca="1">'Resultater - Vestdanmark'!I20+'Resultater - Østdanmark'!I20</f>
        <v>0</v>
      </c>
      <c r="J20" s="256">
        <f ca="1">'Resultater - Vestdanmark'!J20+'Resultater - Østdanmark'!J20</f>
        <v>0</v>
      </c>
    </row>
    <row r="21" spans="1:10" x14ac:dyDescent="0.25">
      <c r="A21" s="94" t="str">
        <f>'Resultater - Vestdanmark'!A21</f>
        <v>Skovproduktion</v>
      </c>
      <c r="B21" s="94" t="str">
        <f>'Resultater - Vestdanmark'!B21</f>
        <v/>
      </c>
      <c r="C21" s="94" t="str">
        <f>'Resultater - Vestdanmark'!C21</f>
        <v>Skovtype1</v>
      </c>
      <c r="D21" s="94" t="str">
        <f>'Resultater - Vestdanmark'!D21</f>
        <v>Areal-skovtype1-20</v>
      </c>
      <c r="E21" s="94" t="str">
        <f>'Resultater - Vestdanmark'!E21</f>
        <v>Hektar</v>
      </c>
      <c r="F21" s="94" t="str">
        <f>'Resultater - Vestdanmark'!F21</f>
        <v>CO2 - atmosfære</v>
      </c>
      <c r="G21" s="94" t="str">
        <f>'Resultater - Vestdanmark'!G21</f>
        <v>t CO2-ækvivalenter</v>
      </c>
      <c r="H21" s="254">
        <f ca="1">'Resultater - Vestdanmark'!H21+'Resultater - Østdanmark'!H21</f>
        <v>0</v>
      </c>
      <c r="I21" s="255">
        <f ca="1">'Resultater - Vestdanmark'!I21+'Resultater - Østdanmark'!I21</f>
        <v>-2393.6841203703707</v>
      </c>
      <c r="J21" s="256">
        <f ca="1">'Resultater - Vestdanmark'!J21+'Resultater - Østdanmark'!J21</f>
        <v>-32618.767916701869</v>
      </c>
    </row>
    <row r="22" spans="1:10" x14ac:dyDescent="0.25">
      <c r="A22" s="94" t="str">
        <f>'Resultater - Vestdanmark'!A22</f>
        <v>Skovproduktion</v>
      </c>
      <c r="B22" s="94" t="str">
        <f>'Resultater - Vestdanmark'!B22</f>
        <v/>
      </c>
      <c r="C22" s="94" t="str">
        <f>'Resultater - Vestdanmark'!C22</f>
        <v>Skovtype1</v>
      </c>
      <c r="D22" s="94" t="str">
        <f>'Resultater - Vestdanmark'!D22</f>
        <v>Areal-skovtype1-20</v>
      </c>
      <c r="E22" s="94" t="str">
        <f>'Resultater - Vestdanmark'!E22</f>
        <v>Hektar</v>
      </c>
      <c r="F22" s="94" t="str">
        <f>'Resultater - Vestdanmark'!F22</f>
        <v>CO2 - HWP</v>
      </c>
      <c r="G22" s="94" t="str">
        <f>'Resultater - Vestdanmark'!G22</f>
        <v>t CO2-ækvivalenter</v>
      </c>
      <c r="H22" s="254">
        <f ca="1">'Resultater - Vestdanmark'!H22+'Resultater - Østdanmark'!H22</f>
        <v>0</v>
      </c>
      <c r="I22" s="255">
        <f ca="1">'Resultater - Vestdanmark'!I22+'Resultater - Østdanmark'!I22</f>
        <v>0</v>
      </c>
      <c r="J22" s="256">
        <f ca="1">'Resultater - Vestdanmark'!J22+'Resultater - Østdanmark'!J22</f>
        <v>0</v>
      </c>
    </row>
    <row r="23" spans="1:10" x14ac:dyDescent="0.25">
      <c r="A23" s="94" t="str">
        <f>'Resultater - Vestdanmark'!A23</f>
        <v>Skovproduktion</v>
      </c>
      <c r="B23" s="94" t="str">
        <f>'Resultater - Vestdanmark'!B23</f>
        <v/>
      </c>
      <c r="C23" s="94" t="str">
        <f>'Resultater - Vestdanmark'!C23</f>
        <v>Skovtype1</v>
      </c>
      <c r="D23" s="94" t="str">
        <f>'Resultater - Vestdanmark'!D23</f>
        <v>Areal-skovtype1-30</v>
      </c>
      <c r="E23" s="94" t="str">
        <f>'Resultater - Vestdanmark'!E23</f>
        <v>Hektar</v>
      </c>
      <c r="F23" s="94" t="str">
        <f>'Resultater - Vestdanmark'!F23</f>
        <v>Træer</v>
      </c>
      <c r="G23" s="94" t="str">
        <f>'Resultater - Vestdanmark'!G23</f>
        <v>m3</v>
      </c>
      <c r="H23" s="254">
        <f ca="1">'Resultater - Vestdanmark'!H23+'Resultater - Østdanmark'!H23</f>
        <v>0</v>
      </c>
      <c r="I23" s="255">
        <f ca="1">'Resultater - Vestdanmark'!I23+'Resultater - Østdanmark'!I23</f>
        <v>0</v>
      </c>
      <c r="J23" s="256">
        <f ca="1">'Resultater - Vestdanmark'!J23+'Resultater - Østdanmark'!J23</f>
        <v>0</v>
      </c>
    </row>
    <row r="24" spans="1:10" x14ac:dyDescent="0.25">
      <c r="A24" s="94" t="str">
        <f>'Resultater - Vestdanmark'!A24</f>
        <v>Skovproduktion</v>
      </c>
      <c r="B24" s="94" t="str">
        <f>'Resultater - Vestdanmark'!B24</f>
        <v/>
      </c>
      <c r="C24" s="94" t="str">
        <f>'Resultater - Vestdanmark'!C24</f>
        <v>Skovtype1</v>
      </c>
      <c r="D24" s="94" t="str">
        <f>'Resultater - Vestdanmark'!D24</f>
        <v>Areal-skovtype1-30</v>
      </c>
      <c r="E24" s="94" t="str">
        <f>'Resultater - Vestdanmark'!E24</f>
        <v>Hektar</v>
      </c>
      <c r="F24" s="94" t="str">
        <f>'Resultater - Vestdanmark'!F24</f>
        <v>Træ til energi</v>
      </c>
      <c r="G24" s="94" t="str">
        <f>'Resultater - Vestdanmark'!G24</f>
        <v>m3</v>
      </c>
      <c r="H24" s="254">
        <f ca="1">'Resultater - Vestdanmark'!H24+'Resultater - Østdanmark'!H24</f>
        <v>0</v>
      </c>
      <c r="I24" s="255">
        <f ca="1">'Resultater - Vestdanmark'!I24+'Resultater - Østdanmark'!I24</f>
        <v>0</v>
      </c>
      <c r="J24" s="256">
        <f ca="1">'Resultater - Vestdanmark'!J24+'Resultater - Østdanmark'!J24</f>
        <v>0</v>
      </c>
    </row>
    <row r="25" spans="1:10" x14ac:dyDescent="0.25">
      <c r="A25" s="94" t="str">
        <f>'Resultater - Vestdanmark'!A25</f>
        <v>Skovproduktion</v>
      </c>
      <c r="B25" s="94" t="str">
        <f>'Resultater - Vestdanmark'!B25</f>
        <v/>
      </c>
      <c r="C25" s="94" t="str">
        <f>'Resultater - Vestdanmark'!C25</f>
        <v>Skovtype1</v>
      </c>
      <c r="D25" s="94" t="str">
        <f>'Resultater - Vestdanmark'!D25</f>
        <v>Areal-skovtype1-30</v>
      </c>
      <c r="E25" s="94" t="str">
        <f>'Resultater - Vestdanmark'!E25</f>
        <v>Hektar</v>
      </c>
      <c r="F25" s="94" t="str">
        <f>'Resultater - Vestdanmark'!F25</f>
        <v>CO2 - atmosfære</v>
      </c>
      <c r="G25" s="94" t="str">
        <f>'Resultater - Vestdanmark'!G25</f>
        <v>t CO2-ækvivalenter</v>
      </c>
      <c r="H25" s="254">
        <f ca="1">'Resultater - Vestdanmark'!H25+'Resultater - Østdanmark'!H25</f>
        <v>0</v>
      </c>
      <c r="I25" s="255">
        <f ca="1">'Resultater - Vestdanmark'!I25+'Resultater - Østdanmark'!I25</f>
        <v>0</v>
      </c>
      <c r="J25" s="256">
        <f ca="1">'Resultater - Vestdanmark'!J25+'Resultater - Østdanmark'!J25</f>
        <v>-60396.86078277629</v>
      </c>
    </row>
    <row r="26" spans="1:10" x14ac:dyDescent="0.25">
      <c r="A26" s="94" t="str">
        <f>'Resultater - Vestdanmark'!A26</f>
        <v>Skovproduktion</v>
      </c>
      <c r="B26" s="94" t="str">
        <f>'Resultater - Vestdanmark'!B26</f>
        <v/>
      </c>
      <c r="C26" s="94" t="str">
        <f>'Resultater - Vestdanmark'!C26</f>
        <v>Skovtype1</v>
      </c>
      <c r="D26" s="94" t="str">
        <f>'Resultater - Vestdanmark'!D26</f>
        <v>Areal-skovtype1-30</v>
      </c>
      <c r="E26" s="94" t="str">
        <f>'Resultater - Vestdanmark'!E26</f>
        <v>Hektar</v>
      </c>
      <c r="F26" s="94" t="str">
        <f>'Resultater - Vestdanmark'!F26</f>
        <v>CO2 - HWP</v>
      </c>
      <c r="G26" s="94" t="str">
        <f>'Resultater - Vestdanmark'!G26</f>
        <v>t CO2-ækvivalenter</v>
      </c>
      <c r="H26" s="254">
        <f ca="1">'Resultater - Vestdanmark'!H26+'Resultater - Østdanmark'!H26</f>
        <v>0</v>
      </c>
      <c r="I26" s="255">
        <f ca="1">'Resultater - Vestdanmark'!I26+'Resultater - Østdanmark'!I26</f>
        <v>0</v>
      </c>
      <c r="J26" s="256">
        <f ca="1">'Resultater - Vestdanmark'!J26+'Resultater - Østdanmark'!J26</f>
        <v>0</v>
      </c>
    </row>
    <row r="27" spans="1:10" x14ac:dyDescent="0.25">
      <c r="A27" s="94" t="str">
        <f>'Resultater - Vestdanmark'!A27</f>
        <v>Skovproduktion</v>
      </c>
      <c r="B27" s="94" t="str">
        <f>'Resultater - Vestdanmark'!B27</f>
        <v/>
      </c>
      <c r="C27" s="94" t="str">
        <f>'Resultater - Vestdanmark'!C27</f>
        <v>Skovtype1</v>
      </c>
      <c r="D27" s="94" t="str">
        <f>'Resultater - Vestdanmark'!D27</f>
        <v>Areal-skovtype1-40</v>
      </c>
      <c r="E27" s="94" t="str">
        <f>'Resultater - Vestdanmark'!E27</f>
        <v>Hektar</v>
      </c>
      <c r="F27" s="94" t="str">
        <f>'Resultater - Vestdanmark'!F27</f>
        <v>Træer</v>
      </c>
      <c r="G27" s="94" t="str">
        <f>'Resultater - Vestdanmark'!G27</f>
        <v>m3</v>
      </c>
      <c r="H27" s="254">
        <f ca="1">'Resultater - Vestdanmark'!H27+'Resultater - Østdanmark'!H27</f>
        <v>0</v>
      </c>
      <c r="I27" s="255">
        <f ca="1">'Resultater - Vestdanmark'!I27+'Resultater - Østdanmark'!I27</f>
        <v>0</v>
      </c>
      <c r="J27" s="256">
        <f ca="1">'Resultater - Vestdanmark'!J27+'Resultater - Østdanmark'!J27</f>
        <v>827.42423961918712</v>
      </c>
    </row>
    <row r="28" spans="1:10" x14ac:dyDescent="0.25">
      <c r="A28" s="94" t="str">
        <f>'Resultater - Vestdanmark'!A28</f>
        <v>Skovproduktion</v>
      </c>
      <c r="B28" s="94" t="str">
        <f>'Resultater - Vestdanmark'!B28</f>
        <v/>
      </c>
      <c r="C28" s="94" t="str">
        <f>'Resultater - Vestdanmark'!C28</f>
        <v>Skovtype1</v>
      </c>
      <c r="D28" s="94" t="str">
        <f>'Resultater - Vestdanmark'!D28</f>
        <v>Areal-skovtype1-40</v>
      </c>
      <c r="E28" s="94" t="str">
        <f>'Resultater - Vestdanmark'!E28</f>
        <v>Hektar</v>
      </c>
      <c r="F28" s="94" t="str">
        <f>'Resultater - Vestdanmark'!F28</f>
        <v>Træ til energi</v>
      </c>
      <c r="G28" s="94" t="str">
        <f>'Resultater - Vestdanmark'!G28</f>
        <v>m3</v>
      </c>
      <c r="H28" s="254">
        <f ca="1">'Resultater - Vestdanmark'!H28+'Resultater - Østdanmark'!H28</f>
        <v>0</v>
      </c>
      <c r="I28" s="255">
        <f ca="1">'Resultater - Vestdanmark'!I28+'Resultater - Østdanmark'!I28</f>
        <v>0</v>
      </c>
      <c r="J28" s="256">
        <f ca="1">'Resultater - Vestdanmark'!J28+'Resultater - Østdanmark'!J28</f>
        <v>432.23654308464995</v>
      </c>
    </row>
    <row r="29" spans="1:10" x14ac:dyDescent="0.25">
      <c r="A29" s="94" t="str">
        <f>'Resultater - Vestdanmark'!A29</f>
        <v>Skovproduktion</v>
      </c>
      <c r="B29" s="94" t="str">
        <f>'Resultater - Vestdanmark'!B29</f>
        <v/>
      </c>
      <c r="C29" s="94" t="str">
        <f>'Resultater - Vestdanmark'!C29</f>
        <v>Skovtype1</v>
      </c>
      <c r="D29" s="94" t="str">
        <f>'Resultater - Vestdanmark'!D29</f>
        <v>Areal-skovtype1-40</v>
      </c>
      <c r="E29" s="94" t="str">
        <f>'Resultater - Vestdanmark'!E29</f>
        <v>Hektar</v>
      </c>
      <c r="F29" s="94" t="str">
        <f>'Resultater - Vestdanmark'!F29</f>
        <v>CO2 - atmosfære</v>
      </c>
      <c r="G29" s="94" t="str">
        <f>'Resultater - Vestdanmark'!G29</f>
        <v>t CO2-ækvivalenter</v>
      </c>
      <c r="H29" s="254">
        <f ca="1">'Resultater - Vestdanmark'!H29+'Resultater - Østdanmark'!H29</f>
        <v>0</v>
      </c>
      <c r="I29" s="255">
        <f ca="1">'Resultater - Vestdanmark'!I29+'Resultater - Østdanmark'!I29</f>
        <v>0</v>
      </c>
      <c r="J29" s="256">
        <f ca="1">'Resultater - Vestdanmark'!J29+'Resultater - Østdanmark'!J29</f>
        <v>-6289.8101468931345</v>
      </c>
    </row>
    <row r="30" spans="1:10" x14ac:dyDescent="0.25">
      <c r="A30" s="94" t="str">
        <f>'Resultater - Vestdanmark'!A30</f>
        <v>Skovproduktion</v>
      </c>
      <c r="B30" s="94" t="str">
        <f>'Resultater - Vestdanmark'!B30</f>
        <v/>
      </c>
      <c r="C30" s="94" t="str">
        <f>'Resultater - Vestdanmark'!C30</f>
        <v>Skovtype1</v>
      </c>
      <c r="D30" s="94" t="str">
        <f>'Resultater - Vestdanmark'!D30</f>
        <v>Areal-skovtype1-40</v>
      </c>
      <c r="E30" s="94" t="str">
        <f>'Resultater - Vestdanmark'!E30</f>
        <v>Hektar</v>
      </c>
      <c r="F30" s="94" t="str">
        <f>'Resultater - Vestdanmark'!F30</f>
        <v>CO2 - HWP</v>
      </c>
      <c r="G30" s="94" t="str">
        <f>'Resultater - Vestdanmark'!G30</f>
        <v>t CO2-ækvivalenter</v>
      </c>
      <c r="H30" s="254">
        <f ca="1">'Resultater - Vestdanmark'!H30+'Resultater - Østdanmark'!H30</f>
        <v>0</v>
      </c>
      <c r="I30" s="255">
        <f ca="1">'Resultater - Vestdanmark'!I30+'Resultater - Østdanmark'!I30</f>
        <v>0</v>
      </c>
      <c r="J30" s="256">
        <f ca="1">'Resultater - Vestdanmark'!J30+'Resultater - Østdanmark'!J30</f>
        <v>-4416.4758874567406</v>
      </c>
    </row>
    <row r="31" spans="1:10" x14ac:dyDescent="0.25">
      <c r="A31" s="94" t="str">
        <f>'Resultater - Vestdanmark'!A31</f>
        <v>Skovproduktion</v>
      </c>
      <c r="B31" s="94" t="str">
        <f>'Resultater - Vestdanmark'!B31</f>
        <v/>
      </c>
      <c r="C31" s="94" t="str">
        <f>'Resultater - Vestdanmark'!C31</f>
        <v>Skovtype2</v>
      </c>
      <c r="D31" s="94" t="str">
        <f>'Resultater - Vestdanmark'!D31</f>
        <v>Areal-skovtype2-10</v>
      </c>
      <c r="E31" s="94" t="str">
        <f>'Resultater - Vestdanmark'!E31</f>
        <v>Hektar</v>
      </c>
      <c r="F31" s="94" t="str">
        <f>'Resultater - Vestdanmark'!F31</f>
        <v>Træer</v>
      </c>
      <c r="G31" s="94" t="str">
        <f>'Resultater - Vestdanmark'!G31</f>
        <v>m3</v>
      </c>
      <c r="H31" s="254">
        <f ca="1">'Resultater - Vestdanmark'!H31+'Resultater - Østdanmark'!H31</f>
        <v>0</v>
      </c>
      <c r="I31" s="255">
        <f ca="1">'Resultater - Vestdanmark'!I31+'Resultater - Østdanmark'!I31</f>
        <v>0</v>
      </c>
      <c r="J31" s="256">
        <f ca="1">'Resultater - Vestdanmark'!J31+'Resultater - Østdanmark'!J31</f>
        <v>0</v>
      </c>
    </row>
    <row r="32" spans="1:10" x14ac:dyDescent="0.25">
      <c r="A32" s="94" t="str">
        <f>'Resultater - Vestdanmark'!A32</f>
        <v>Skovproduktion</v>
      </c>
      <c r="B32" s="94" t="str">
        <f>'Resultater - Vestdanmark'!B32</f>
        <v/>
      </c>
      <c r="C32" s="94" t="str">
        <f>'Resultater - Vestdanmark'!C32</f>
        <v>Skovtype2</v>
      </c>
      <c r="D32" s="94" t="str">
        <f>'Resultater - Vestdanmark'!D32</f>
        <v>Areal-skovtype2-10</v>
      </c>
      <c r="E32" s="94" t="str">
        <f>'Resultater - Vestdanmark'!E32</f>
        <v>Hektar</v>
      </c>
      <c r="F32" s="94" t="str">
        <f>'Resultater - Vestdanmark'!F32</f>
        <v>Træ til energi</v>
      </c>
      <c r="G32" s="94" t="str">
        <f>'Resultater - Vestdanmark'!G32</f>
        <v>m3</v>
      </c>
      <c r="H32" s="254">
        <f ca="1">'Resultater - Vestdanmark'!H32+'Resultater - Østdanmark'!H32</f>
        <v>0</v>
      </c>
      <c r="I32" s="255">
        <f ca="1">'Resultater - Vestdanmark'!I32+'Resultater - Østdanmark'!I32</f>
        <v>0</v>
      </c>
      <c r="J32" s="256">
        <f ca="1">'Resultater - Vestdanmark'!J32+'Resultater - Østdanmark'!J32</f>
        <v>0</v>
      </c>
    </row>
    <row r="33" spans="1:10" x14ac:dyDescent="0.25">
      <c r="A33" s="94" t="str">
        <f>'Resultater - Vestdanmark'!A33</f>
        <v>Skovproduktion</v>
      </c>
      <c r="B33" s="94" t="str">
        <f>'Resultater - Vestdanmark'!B33</f>
        <v/>
      </c>
      <c r="C33" s="94" t="str">
        <f>'Resultater - Vestdanmark'!C33</f>
        <v>Skovtype2</v>
      </c>
      <c r="D33" s="94" t="str">
        <f>'Resultater - Vestdanmark'!D33</f>
        <v>Areal-skovtype2-10</v>
      </c>
      <c r="E33" s="94" t="str">
        <f>'Resultater - Vestdanmark'!E33</f>
        <v>Hektar</v>
      </c>
      <c r="F33" s="94" t="str">
        <f>'Resultater - Vestdanmark'!F33</f>
        <v>CO2 - atmosfære</v>
      </c>
      <c r="G33" s="94" t="str">
        <f>'Resultater - Vestdanmark'!G33</f>
        <v>t CO2-ækvivalenter</v>
      </c>
      <c r="H33" s="254">
        <f ca="1">'Resultater - Vestdanmark'!H33+'Resultater - Østdanmark'!H33</f>
        <v>0</v>
      </c>
      <c r="I33" s="255">
        <f ca="1">'Resultater - Vestdanmark'!I33+'Resultater - Østdanmark'!I33</f>
        <v>-485406.60437492619</v>
      </c>
      <c r="J33" s="256">
        <f ca="1">'Resultater - Vestdanmark'!J33+'Resultater - Østdanmark'!J33</f>
        <v>-674293.22976003052</v>
      </c>
    </row>
    <row r="34" spans="1:10" x14ac:dyDescent="0.25">
      <c r="A34" s="94" t="str">
        <f>'Resultater - Vestdanmark'!A34</f>
        <v>Skovproduktion</v>
      </c>
      <c r="B34" s="94" t="str">
        <f>'Resultater - Vestdanmark'!B34</f>
        <v/>
      </c>
      <c r="C34" s="94" t="str">
        <f>'Resultater - Vestdanmark'!C34</f>
        <v>Skovtype2</v>
      </c>
      <c r="D34" s="94" t="str">
        <f>'Resultater - Vestdanmark'!D34</f>
        <v>Areal-skovtype2-10</v>
      </c>
      <c r="E34" s="94" t="str">
        <f>'Resultater - Vestdanmark'!E34</f>
        <v>Hektar</v>
      </c>
      <c r="F34" s="94" t="str">
        <f>'Resultater - Vestdanmark'!F34</f>
        <v>CO2 - HWP</v>
      </c>
      <c r="G34" s="94" t="str">
        <f>'Resultater - Vestdanmark'!G34</f>
        <v>t CO2-ækvivalenter</v>
      </c>
      <c r="H34" s="254">
        <f ca="1">'Resultater - Vestdanmark'!H34+'Resultater - Østdanmark'!H34</f>
        <v>0</v>
      </c>
      <c r="I34" s="255">
        <f ca="1">'Resultater - Vestdanmark'!I34+'Resultater - Østdanmark'!I34</f>
        <v>0</v>
      </c>
      <c r="J34" s="256">
        <f ca="1">'Resultater - Vestdanmark'!J34+'Resultater - Østdanmark'!J34</f>
        <v>0</v>
      </c>
    </row>
    <row r="35" spans="1:10" x14ac:dyDescent="0.25">
      <c r="A35" s="94" t="str">
        <f>'Resultater - Vestdanmark'!A35</f>
        <v>Skovproduktion</v>
      </c>
      <c r="B35" s="94" t="str">
        <f>'Resultater - Vestdanmark'!B35</f>
        <v/>
      </c>
      <c r="C35" s="94" t="str">
        <f>'Resultater - Vestdanmark'!C35</f>
        <v>Skovtype2</v>
      </c>
      <c r="D35" s="94" t="str">
        <f>'Resultater - Vestdanmark'!D35</f>
        <v>Areal-skovtype2-20</v>
      </c>
      <c r="E35" s="94" t="str">
        <f>'Resultater - Vestdanmark'!E35</f>
        <v>Hektar</v>
      </c>
      <c r="F35" s="94" t="str">
        <f>'Resultater - Vestdanmark'!F35</f>
        <v>Træer</v>
      </c>
      <c r="G35" s="94" t="str">
        <f>'Resultater - Vestdanmark'!G35</f>
        <v>m3</v>
      </c>
      <c r="H35" s="254">
        <f ca="1">'Resultater - Vestdanmark'!H35+'Resultater - Østdanmark'!H35</f>
        <v>0</v>
      </c>
      <c r="I35" s="255">
        <f ca="1">'Resultater - Vestdanmark'!I35+'Resultater - Østdanmark'!I35</f>
        <v>8930.4495769940713</v>
      </c>
      <c r="J35" s="256">
        <f ca="1">'Resultater - Vestdanmark'!J35+'Resultater - Østdanmark'!J35</f>
        <v>121735.43017359043</v>
      </c>
    </row>
    <row r="36" spans="1:10" x14ac:dyDescent="0.25">
      <c r="A36" s="94" t="str">
        <f>'Resultater - Vestdanmark'!A36</f>
        <v>Skovproduktion</v>
      </c>
      <c r="B36" s="94" t="str">
        <f>'Resultater - Vestdanmark'!B36</f>
        <v/>
      </c>
      <c r="C36" s="94" t="str">
        <f>'Resultater - Vestdanmark'!C36</f>
        <v>Skovtype2</v>
      </c>
      <c r="D36" s="94" t="str">
        <f>'Resultater - Vestdanmark'!D36</f>
        <v>Areal-skovtype2-20</v>
      </c>
      <c r="E36" s="94" t="str">
        <f>'Resultater - Vestdanmark'!E36</f>
        <v>Hektar</v>
      </c>
      <c r="F36" s="94" t="str">
        <f>'Resultater - Vestdanmark'!F36</f>
        <v>Træ til energi</v>
      </c>
      <c r="G36" s="94" t="str">
        <f>'Resultater - Vestdanmark'!G36</f>
        <v>m3</v>
      </c>
      <c r="H36" s="254">
        <f ca="1">'Resultater - Vestdanmark'!H36+'Resultater - Østdanmark'!H36</f>
        <v>0</v>
      </c>
      <c r="I36" s="255">
        <f ca="1">'Resultater - Vestdanmark'!I36+'Resultater - Østdanmark'!I36</f>
        <v>2232.6123942485174</v>
      </c>
      <c r="J36" s="256">
        <f ca="1">'Resultater - Vestdanmark'!J36+'Resultater - Østdanmark'!J36</f>
        <v>30433.857543397604</v>
      </c>
    </row>
    <row r="37" spans="1:10" x14ac:dyDescent="0.25">
      <c r="A37" s="94" t="str">
        <f>'Resultater - Vestdanmark'!A37</f>
        <v>Skovproduktion</v>
      </c>
      <c r="B37" s="94" t="str">
        <f>'Resultater - Vestdanmark'!B37</f>
        <v/>
      </c>
      <c r="C37" s="94" t="str">
        <f>'Resultater - Vestdanmark'!C37</f>
        <v>Skovtype2</v>
      </c>
      <c r="D37" s="94" t="str">
        <f>'Resultater - Vestdanmark'!D37</f>
        <v>Areal-skovtype2-20</v>
      </c>
      <c r="E37" s="94" t="str">
        <f>'Resultater - Vestdanmark'!E37</f>
        <v>Hektar</v>
      </c>
      <c r="F37" s="94" t="str">
        <f>'Resultater - Vestdanmark'!F37</f>
        <v>CO2 - atmosfære</v>
      </c>
      <c r="G37" s="94" t="str">
        <f>'Resultater - Vestdanmark'!G37</f>
        <v>t CO2-ækvivalenter</v>
      </c>
      <c r="H37" s="254">
        <f ca="1">'Resultater - Vestdanmark'!H37+'Resultater - Østdanmark'!H37</f>
        <v>0</v>
      </c>
      <c r="I37" s="255">
        <f ca="1">'Resultater - Vestdanmark'!I37+'Resultater - Østdanmark'!I37</f>
        <v>-62575.402590035948</v>
      </c>
      <c r="J37" s="256">
        <f ca="1">'Resultater - Vestdanmark'!J37+'Resultater - Østdanmark'!J37</f>
        <v>-852996.64780680381</v>
      </c>
    </row>
    <row r="38" spans="1:10" x14ac:dyDescent="0.25">
      <c r="A38" s="94" t="str">
        <f>'Resultater - Vestdanmark'!A38</f>
        <v>Skovproduktion</v>
      </c>
      <c r="B38" s="94" t="str">
        <f>'Resultater - Vestdanmark'!B38</f>
        <v/>
      </c>
      <c r="C38" s="94" t="str">
        <f>'Resultater - Vestdanmark'!C38</f>
        <v>Skovtype2</v>
      </c>
      <c r="D38" s="94" t="str">
        <f>'Resultater - Vestdanmark'!D38</f>
        <v>Areal-skovtype2-20</v>
      </c>
      <c r="E38" s="94" t="str">
        <f>'Resultater - Vestdanmark'!E38</f>
        <v>Hektar</v>
      </c>
      <c r="F38" s="94" t="str">
        <f>'Resultater - Vestdanmark'!F38</f>
        <v>CO2 - HWP</v>
      </c>
      <c r="G38" s="94" t="str">
        <f>'Resultater - Vestdanmark'!G38</f>
        <v>t CO2-ækvivalenter</v>
      </c>
      <c r="H38" s="254">
        <f ca="1">'Resultater - Vestdanmark'!H38+'Resultater - Østdanmark'!H38</f>
        <v>0</v>
      </c>
      <c r="I38" s="255">
        <f ca="1">'Resultater - Vestdanmark'!I38+'Resultater - Østdanmark'!I38</f>
        <v>-56317.86233103236</v>
      </c>
      <c r="J38" s="256">
        <f ca="1">'Resultater - Vestdanmark'!J38+'Resultater - Østdanmark'!J38</f>
        <v>-767696.98302612361</v>
      </c>
    </row>
    <row r="39" spans="1:10" x14ac:dyDescent="0.25">
      <c r="A39" s="94" t="str">
        <f>'Resultater - Vestdanmark'!A39</f>
        <v>Skovproduktion</v>
      </c>
      <c r="B39" s="94" t="str">
        <f>'Resultater - Vestdanmark'!B39</f>
        <v/>
      </c>
      <c r="C39" s="94" t="str">
        <f>'Resultater - Vestdanmark'!C39</f>
        <v>Skovtype2</v>
      </c>
      <c r="D39" s="94" t="str">
        <f>'Resultater - Vestdanmark'!D39</f>
        <v>Areal-skovtype2-30</v>
      </c>
      <c r="E39" s="94" t="str">
        <f>'Resultater - Vestdanmark'!E39</f>
        <v>Hektar</v>
      </c>
      <c r="F39" s="94" t="str">
        <f>'Resultater - Vestdanmark'!F39</f>
        <v>Træer</v>
      </c>
      <c r="G39" s="94" t="str">
        <f>'Resultater - Vestdanmark'!G39</f>
        <v>m3</v>
      </c>
      <c r="H39" s="254">
        <f ca="1">'Resultater - Vestdanmark'!H39+'Resultater - Østdanmark'!H39</f>
        <v>0</v>
      </c>
      <c r="I39" s="255">
        <f ca="1">'Resultater - Vestdanmark'!I39+'Resultater - Østdanmark'!I39</f>
        <v>0</v>
      </c>
      <c r="J39" s="256">
        <f ca="1">'Resultater - Vestdanmark'!J39+'Resultater - Østdanmark'!J39</f>
        <v>91473.398670001639</v>
      </c>
    </row>
    <row r="40" spans="1:10" x14ac:dyDescent="0.25">
      <c r="A40" s="94" t="str">
        <f>'Resultater - Vestdanmark'!A40</f>
        <v>Skovproduktion</v>
      </c>
      <c r="B40" s="94" t="str">
        <f>'Resultater - Vestdanmark'!B40</f>
        <v/>
      </c>
      <c r="C40" s="94" t="str">
        <f>'Resultater - Vestdanmark'!C40</f>
        <v>Skovtype2</v>
      </c>
      <c r="D40" s="94" t="str">
        <f>'Resultater - Vestdanmark'!D40</f>
        <v>Areal-skovtype2-30</v>
      </c>
      <c r="E40" s="94" t="str">
        <f>'Resultater - Vestdanmark'!E40</f>
        <v>Hektar</v>
      </c>
      <c r="F40" s="94" t="str">
        <f>'Resultater - Vestdanmark'!F40</f>
        <v>Træ til energi</v>
      </c>
      <c r="G40" s="94" t="str">
        <f>'Resultater - Vestdanmark'!G40</f>
        <v>m3</v>
      </c>
      <c r="H40" s="254">
        <f ca="1">'Resultater - Vestdanmark'!H40+'Resultater - Østdanmark'!H40</f>
        <v>0</v>
      </c>
      <c r="I40" s="255">
        <f ca="1">'Resultater - Vestdanmark'!I40+'Resultater - Østdanmark'!I40</f>
        <v>0</v>
      </c>
      <c r="J40" s="256">
        <f ca="1">'Resultater - Vestdanmark'!J40+'Resultater - Østdanmark'!J40</f>
        <v>31663.868770385183</v>
      </c>
    </row>
    <row r="41" spans="1:10" x14ac:dyDescent="0.25">
      <c r="A41" s="94" t="str">
        <f>'Resultater - Vestdanmark'!A41</f>
        <v>Skovproduktion</v>
      </c>
      <c r="B41" s="94" t="str">
        <f>'Resultater - Vestdanmark'!B41</f>
        <v/>
      </c>
      <c r="C41" s="94" t="str">
        <f>'Resultater - Vestdanmark'!C41</f>
        <v>Skovtype2</v>
      </c>
      <c r="D41" s="94" t="str">
        <f>'Resultater - Vestdanmark'!D41</f>
        <v>Areal-skovtype2-30</v>
      </c>
      <c r="E41" s="94" t="str">
        <f>'Resultater - Vestdanmark'!E41</f>
        <v>Hektar</v>
      </c>
      <c r="F41" s="94" t="str">
        <f>'Resultater - Vestdanmark'!F41</f>
        <v>CO2 - atmosfære</v>
      </c>
      <c r="G41" s="94" t="str">
        <f>'Resultater - Vestdanmark'!G41</f>
        <v>t CO2-ækvivalenter</v>
      </c>
      <c r="H41" s="254">
        <f ca="1">'Resultater - Vestdanmark'!H41+'Resultater - Østdanmark'!H41</f>
        <v>0</v>
      </c>
      <c r="I41" s="255">
        <f ca="1">'Resultater - Vestdanmark'!I41+'Resultater - Østdanmark'!I41</f>
        <v>0</v>
      </c>
      <c r="J41" s="256">
        <f ca="1">'Resultater - Vestdanmark'!J41+'Resultater - Østdanmark'!J41</f>
        <v>-18939.935438773871</v>
      </c>
    </row>
    <row r="42" spans="1:10" x14ac:dyDescent="0.25">
      <c r="A42" s="94" t="str">
        <f>'Resultater - Vestdanmark'!A42</f>
        <v>Skovproduktion</v>
      </c>
      <c r="B42" s="94" t="str">
        <f>'Resultater - Vestdanmark'!B42</f>
        <v/>
      </c>
      <c r="C42" s="94" t="str">
        <f>'Resultater - Vestdanmark'!C42</f>
        <v>Skovtype2</v>
      </c>
      <c r="D42" s="94" t="str">
        <f>'Resultater - Vestdanmark'!D42</f>
        <v>Areal-skovtype2-30</v>
      </c>
      <c r="E42" s="94" t="str">
        <f>'Resultater - Vestdanmark'!E42</f>
        <v>Hektar</v>
      </c>
      <c r="F42" s="94" t="str">
        <f>'Resultater - Vestdanmark'!F42</f>
        <v>CO2 - HWP</v>
      </c>
      <c r="G42" s="94" t="str">
        <f>'Resultater - Vestdanmark'!G42</f>
        <v>t CO2-ækvivalenter</v>
      </c>
      <c r="H42" s="254">
        <f ca="1">'Resultater - Vestdanmark'!H42+'Resultater - Østdanmark'!H42</f>
        <v>0</v>
      </c>
      <c r="I42" s="255">
        <f ca="1">'Resultater - Vestdanmark'!I42+'Resultater - Østdanmark'!I42</f>
        <v>0</v>
      </c>
      <c r="J42" s="256">
        <f ca="1">'Resultater - Vestdanmark'!J42+'Resultater - Østdanmark'!J42</f>
        <v>-576856.31936379848</v>
      </c>
    </row>
    <row r="43" spans="1:10" x14ac:dyDescent="0.25">
      <c r="A43" s="94" t="str">
        <f>'Resultater - Vestdanmark'!A43</f>
        <v>Skovproduktion</v>
      </c>
      <c r="B43" s="94" t="str">
        <f>'Resultater - Vestdanmark'!B43</f>
        <v/>
      </c>
      <c r="C43" s="94" t="str">
        <f>'Resultater - Vestdanmark'!C43</f>
        <v>Skovtype2</v>
      </c>
      <c r="D43" s="94" t="str">
        <f>'Resultater - Vestdanmark'!D43</f>
        <v>Areal-skovtype2-40</v>
      </c>
      <c r="E43" s="94" t="str">
        <f>'Resultater - Vestdanmark'!E43</f>
        <v>Hektar</v>
      </c>
      <c r="F43" s="94" t="str">
        <f>'Resultater - Vestdanmark'!F43</f>
        <v>Træer</v>
      </c>
      <c r="G43" s="94" t="str">
        <f>'Resultater - Vestdanmark'!G43</f>
        <v>m3</v>
      </c>
      <c r="H43" s="254">
        <f ca="1">'Resultater - Vestdanmark'!H43+'Resultater - Østdanmark'!H43</f>
        <v>0</v>
      </c>
      <c r="I43" s="255">
        <f ca="1">'Resultater - Vestdanmark'!I43+'Resultater - Østdanmark'!I43</f>
        <v>0</v>
      </c>
      <c r="J43" s="256">
        <f ca="1">'Resultater - Vestdanmark'!J43+'Resultater - Østdanmark'!J43</f>
        <v>4204.3982047078198</v>
      </c>
    </row>
    <row r="44" spans="1:10" x14ac:dyDescent="0.25">
      <c r="A44" s="94" t="str">
        <f>'Resultater - Vestdanmark'!A44</f>
        <v>Skovproduktion</v>
      </c>
      <c r="B44" s="94" t="str">
        <f>'Resultater - Vestdanmark'!B44</f>
        <v/>
      </c>
      <c r="C44" s="94" t="str">
        <f>'Resultater - Vestdanmark'!C44</f>
        <v>Skovtype2</v>
      </c>
      <c r="D44" s="94" t="str">
        <f>'Resultater - Vestdanmark'!D44</f>
        <v>Areal-skovtype2-40</v>
      </c>
      <c r="E44" s="94" t="str">
        <f>'Resultater - Vestdanmark'!E44</f>
        <v>Hektar</v>
      </c>
      <c r="F44" s="94" t="str">
        <f>'Resultater - Vestdanmark'!F44</f>
        <v>Træ til energi</v>
      </c>
      <c r="G44" s="94" t="str">
        <f>'Resultater - Vestdanmark'!G44</f>
        <v>m3</v>
      </c>
      <c r="H44" s="254">
        <f ca="1">'Resultater - Vestdanmark'!H44+'Resultater - Østdanmark'!H44</f>
        <v>0</v>
      </c>
      <c r="I44" s="255">
        <f ca="1">'Resultater - Vestdanmark'!I44+'Resultater - Østdanmark'!I44</f>
        <v>0</v>
      </c>
      <c r="J44" s="256">
        <f ca="1">'Resultater - Vestdanmark'!J44+'Resultater - Østdanmark'!J44</f>
        <v>2102.1991023539103</v>
      </c>
    </row>
    <row r="45" spans="1:10" x14ac:dyDescent="0.25">
      <c r="A45" s="94" t="str">
        <f>'Resultater - Vestdanmark'!A45</f>
        <v>Skovproduktion</v>
      </c>
      <c r="B45" s="94" t="str">
        <f>'Resultater - Vestdanmark'!B45</f>
        <v/>
      </c>
      <c r="C45" s="94" t="str">
        <f>'Resultater - Vestdanmark'!C45</f>
        <v>Skovtype2</v>
      </c>
      <c r="D45" s="94" t="str">
        <f>'Resultater - Vestdanmark'!D45</f>
        <v>Areal-skovtype2-40</v>
      </c>
      <c r="E45" s="94" t="str">
        <f>'Resultater - Vestdanmark'!E45</f>
        <v>Hektar</v>
      </c>
      <c r="F45" s="94" t="str">
        <f>'Resultater - Vestdanmark'!F45</f>
        <v>CO2 - atmosfære</v>
      </c>
      <c r="G45" s="94" t="str">
        <f>'Resultater - Vestdanmark'!G45</f>
        <v>t CO2-ækvivalenter</v>
      </c>
      <c r="H45" s="254">
        <f ca="1">'Resultater - Vestdanmark'!H45+'Resultater - Østdanmark'!H45</f>
        <v>0</v>
      </c>
      <c r="I45" s="255">
        <f ca="1">'Resultater - Vestdanmark'!I45+'Resultater - Østdanmark'!I45</f>
        <v>0</v>
      </c>
      <c r="J45" s="256">
        <f ca="1">'Resultater - Vestdanmark'!J45+'Resultater - Østdanmark'!J45</f>
        <v>-47346.584377285166</v>
      </c>
    </row>
    <row r="46" spans="1:10" x14ac:dyDescent="0.25">
      <c r="A46" s="94" t="str">
        <f>'Resultater - Vestdanmark'!A46</f>
        <v>Skovproduktion</v>
      </c>
      <c r="B46" s="94" t="str">
        <f>'Resultater - Vestdanmark'!B46</f>
        <v/>
      </c>
      <c r="C46" s="94" t="str">
        <f>'Resultater - Vestdanmark'!C46</f>
        <v>Skovtype2</v>
      </c>
      <c r="D46" s="94" t="str">
        <f>'Resultater - Vestdanmark'!D46</f>
        <v>Areal-skovtype2-40</v>
      </c>
      <c r="E46" s="94" t="str">
        <f>'Resultater - Vestdanmark'!E46</f>
        <v>Hektar</v>
      </c>
      <c r="F46" s="94" t="str">
        <f>'Resultater - Vestdanmark'!F46</f>
        <v>CO2 - HWP</v>
      </c>
      <c r="G46" s="94" t="str">
        <f>'Resultater - Vestdanmark'!G46</f>
        <v>t CO2-ækvivalenter</v>
      </c>
      <c r="H46" s="254">
        <f ca="1">'Resultater - Vestdanmark'!H46+'Resultater - Østdanmark'!H46</f>
        <v>0</v>
      </c>
      <c r="I46" s="255">
        <f ca="1">'Resultater - Vestdanmark'!I46+'Resultater - Østdanmark'!I46</f>
        <v>0</v>
      </c>
      <c r="J46" s="256">
        <f ca="1">'Resultater - Vestdanmark'!J46+'Resultater - Østdanmark'!J46</f>
        <v>-26514.087251279692</v>
      </c>
    </row>
    <row r="47" spans="1:10" x14ac:dyDescent="0.25">
      <c r="A47" s="94" t="str">
        <f>'Resultater - Vestdanmark'!A47</f>
        <v>Skovproduktion</v>
      </c>
      <c r="B47" s="94" t="str">
        <f>'Resultater - Vestdanmark'!B47</f>
        <v/>
      </c>
      <c r="C47" s="94" t="str">
        <f>'Resultater - Vestdanmark'!C47</f>
        <v>Skovtype3</v>
      </c>
      <c r="D47" s="94" t="str">
        <f>'Resultater - Vestdanmark'!D47</f>
        <v>Areal-skovtype3-10</v>
      </c>
      <c r="E47" s="94" t="str">
        <f>'Resultater - Vestdanmark'!E47</f>
        <v>Hektar</v>
      </c>
      <c r="F47" s="94" t="str">
        <f>'Resultater - Vestdanmark'!F47</f>
        <v>Træer</v>
      </c>
      <c r="G47" s="94" t="str">
        <f>'Resultater - Vestdanmark'!G47</f>
        <v>m3</v>
      </c>
      <c r="H47" s="254">
        <f ca="1">'Resultater - Vestdanmark'!H47+'Resultater - Østdanmark'!H47</f>
        <v>0</v>
      </c>
      <c r="I47" s="255">
        <f ca="1">'Resultater - Vestdanmark'!I47+'Resultater - Østdanmark'!I47</f>
        <v>0</v>
      </c>
      <c r="J47" s="256">
        <f ca="1">'Resultater - Vestdanmark'!J47+'Resultater - Østdanmark'!J47</f>
        <v>0</v>
      </c>
    </row>
    <row r="48" spans="1:10" x14ac:dyDescent="0.25">
      <c r="A48" s="94" t="str">
        <f>'Resultater - Vestdanmark'!A48</f>
        <v>Skovproduktion</v>
      </c>
      <c r="B48" s="94" t="str">
        <f>'Resultater - Vestdanmark'!B48</f>
        <v/>
      </c>
      <c r="C48" s="94" t="str">
        <f>'Resultater - Vestdanmark'!C48</f>
        <v>Skovtype3</v>
      </c>
      <c r="D48" s="94" t="str">
        <f>'Resultater - Vestdanmark'!D48</f>
        <v>Areal-skovtype3-10</v>
      </c>
      <c r="E48" s="94" t="str">
        <f>'Resultater - Vestdanmark'!E48</f>
        <v>Hektar</v>
      </c>
      <c r="F48" s="94" t="str">
        <f>'Resultater - Vestdanmark'!F48</f>
        <v>Træ til energi</v>
      </c>
      <c r="G48" s="94" t="str">
        <f>'Resultater - Vestdanmark'!G48</f>
        <v>m3</v>
      </c>
      <c r="H48" s="254">
        <f ca="1">'Resultater - Vestdanmark'!H48+'Resultater - Østdanmark'!H48</f>
        <v>0</v>
      </c>
      <c r="I48" s="255">
        <f ca="1">'Resultater - Vestdanmark'!I48+'Resultater - Østdanmark'!I48</f>
        <v>0</v>
      </c>
      <c r="J48" s="256">
        <f ca="1">'Resultater - Vestdanmark'!J48+'Resultater - Østdanmark'!J48</f>
        <v>0</v>
      </c>
    </row>
    <row r="49" spans="1:10" x14ac:dyDescent="0.25">
      <c r="A49" s="94" t="str">
        <f>'Resultater - Vestdanmark'!A49</f>
        <v>Skovproduktion</v>
      </c>
      <c r="B49" s="94" t="str">
        <f>'Resultater - Vestdanmark'!B49</f>
        <v/>
      </c>
      <c r="C49" s="94" t="str">
        <f>'Resultater - Vestdanmark'!C49</f>
        <v>Skovtype3</v>
      </c>
      <c r="D49" s="94" t="str">
        <f>'Resultater - Vestdanmark'!D49</f>
        <v>Areal-skovtype3-10</v>
      </c>
      <c r="E49" s="94" t="str">
        <f>'Resultater - Vestdanmark'!E49</f>
        <v>Hektar</v>
      </c>
      <c r="F49" s="94" t="str">
        <f>'Resultater - Vestdanmark'!F49</f>
        <v>CO2 - atmosfære</v>
      </c>
      <c r="G49" s="94" t="str">
        <f>'Resultater - Vestdanmark'!G49</f>
        <v>t CO2-ækvivalenter</v>
      </c>
      <c r="H49" s="254">
        <f ca="1">'Resultater - Vestdanmark'!H49+'Resultater - Østdanmark'!H49</f>
        <v>0</v>
      </c>
      <c r="I49" s="255">
        <f ca="1">'Resultater - Vestdanmark'!I49+'Resultater - Østdanmark'!I49</f>
        <v>-10785.15371121005</v>
      </c>
      <c r="J49" s="256">
        <f ca="1">'Resultater - Vestdanmark'!J49+'Resultater - Østdanmark'!J49</f>
        <v>-14669.66986320334</v>
      </c>
    </row>
    <row r="50" spans="1:10" x14ac:dyDescent="0.25">
      <c r="A50" s="94" t="str">
        <f>'Resultater - Vestdanmark'!A50</f>
        <v>Skovproduktion</v>
      </c>
      <c r="B50" s="94" t="str">
        <f>'Resultater - Vestdanmark'!B50</f>
        <v/>
      </c>
      <c r="C50" s="94" t="str">
        <f>'Resultater - Vestdanmark'!C50</f>
        <v>Skovtype3</v>
      </c>
      <c r="D50" s="94" t="str">
        <f>'Resultater - Vestdanmark'!D50</f>
        <v>Areal-skovtype3-10</v>
      </c>
      <c r="E50" s="94" t="str">
        <f>'Resultater - Vestdanmark'!E50</f>
        <v>Hektar</v>
      </c>
      <c r="F50" s="94" t="str">
        <f>'Resultater - Vestdanmark'!F50</f>
        <v>CO2 - HWP</v>
      </c>
      <c r="G50" s="94" t="str">
        <f>'Resultater - Vestdanmark'!G50</f>
        <v>t CO2-ækvivalenter</v>
      </c>
      <c r="H50" s="254">
        <f ca="1">'Resultater - Vestdanmark'!H50+'Resultater - Østdanmark'!H50</f>
        <v>0</v>
      </c>
      <c r="I50" s="255">
        <f ca="1">'Resultater - Vestdanmark'!I50+'Resultater - Østdanmark'!I50</f>
        <v>0</v>
      </c>
      <c r="J50" s="256">
        <f ca="1">'Resultater - Vestdanmark'!J50+'Resultater - Østdanmark'!J50</f>
        <v>0</v>
      </c>
    </row>
    <row r="51" spans="1:10" x14ac:dyDescent="0.25">
      <c r="A51" s="94" t="str">
        <f>'Resultater - Vestdanmark'!A51</f>
        <v>Skovproduktion</v>
      </c>
      <c r="B51" s="94" t="str">
        <f>'Resultater - Vestdanmark'!B51</f>
        <v/>
      </c>
      <c r="C51" s="94" t="str">
        <f>'Resultater - Vestdanmark'!C51</f>
        <v>Skovtype3</v>
      </c>
      <c r="D51" s="94" t="str">
        <f>'Resultater - Vestdanmark'!D51</f>
        <v>Areal-skovtype3-20</v>
      </c>
      <c r="E51" s="94" t="str">
        <f>'Resultater - Vestdanmark'!E51</f>
        <v>Hektar</v>
      </c>
      <c r="F51" s="94" t="str">
        <f>'Resultater - Vestdanmark'!F51</f>
        <v>Træer</v>
      </c>
      <c r="G51" s="94" t="str">
        <f>'Resultater - Vestdanmark'!G51</f>
        <v>m3</v>
      </c>
      <c r="H51" s="254">
        <f ca="1">'Resultater - Vestdanmark'!H51+'Resultater - Østdanmark'!H51</f>
        <v>0</v>
      </c>
      <c r="I51" s="255">
        <f ca="1">'Resultater - Vestdanmark'!I51+'Resultater - Østdanmark'!I51</f>
        <v>0</v>
      </c>
      <c r="J51" s="256">
        <f ca="1">'Resultater - Vestdanmark'!J51+'Resultater - Østdanmark'!J51</f>
        <v>0</v>
      </c>
    </row>
    <row r="52" spans="1:10" x14ac:dyDescent="0.25">
      <c r="A52" s="94" t="str">
        <f>'Resultater - Vestdanmark'!A52</f>
        <v>Skovproduktion</v>
      </c>
      <c r="B52" s="94" t="str">
        <f>'Resultater - Vestdanmark'!B52</f>
        <v/>
      </c>
      <c r="C52" s="94" t="str">
        <f>'Resultater - Vestdanmark'!C52</f>
        <v>Skovtype3</v>
      </c>
      <c r="D52" s="94" t="str">
        <f>'Resultater - Vestdanmark'!D52</f>
        <v>Areal-skovtype3-20</v>
      </c>
      <c r="E52" s="94" t="str">
        <f>'Resultater - Vestdanmark'!E52</f>
        <v>Hektar</v>
      </c>
      <c r="F52" s="94" t="str">
        <f>'Resultater - Vestdanmark'!F52</f>
        <v>Træ til energi</v>
      </c>
      <c r="G52" s="94" t="str">
        <f>'Resultater - Vestdanmark'!G52</f>
        <v>m3</v>
      </c>
      <c r="H52" s="254">
        <f ca="1">'Resultater - Vestdanmark'!H52+'Resultater - Østdanmark'!H52</f>
        <v>0</v>
      </c>
      <c r="I52" s="255">
        <f ca="1">'Resultater - Vestdanmark'!I52+'Resultater - Østdanmark'!I52</f>
        <v>0</v>
      </c>
      <c r="J52" s="256">
        <f ca="1">'Resultater - Vestdanmark'!J52+'Resultater - Østdanmark'!J52</f>
        <v>0</v>
      </c>
    </row>
    <row r="53" spans="1:10" x14ac:dyDescent="0.25">
      <c r="A53" s="94" t="str">
        <f>'Resultater - Vestdanmark'!A53</f>
        <v>Skovproduktion</v>
      </c>
      <c r="B53" s="94" t="str">
        <f>'Resultater - Vestdanmark'!B53</f>
        <v/>
      </c>
      <c r="C53" s="94" t="str">
        <f>'Resultater - Vestdanmark'!C53</f>
        <v>Skovtype3</v>
      </c>
      <c r="D53" s="94" t="str">
        <f>'Resultater - Vestdanmark'!D53</f>
        <v>Areal-skovtype3-20</v>
      </c>
      <c r="E53" s="94" t="str">
        <f>'Resultater - Vestdanmark'!E53</f>
        <v>Hektar</v>
      </c>
      <c r="F53" s="94" t="str">
        <f>'Resultater - Vestdanmark'!F53</f>
        <v>CO2 - atmosfære</v>
      </c>
      <c r="G53" s="94" t="str">
        <f>'Resultater - Vestdanmark'!G53</f>
        <v>t CO2-ækvivalenter</v>
      </c>
      <c r="H53" s="254">
        <f ca="1">'Resultater - Vestdanmark'!H53+'Resultater - Østdanmark'!H53</f>
        <v>0</v>
      </c>
      <c r="I53" s="255">
        <f ca="1">'Resultater - Vestdanmark'!I53+'Resultater - Østdanmark'!I53</f>
        <v>-1849.6650021043774</v>
      </c>
      <c r="J53" s="256">
        <f ca="1">'Resultater - Vestdanmark'!J53+'Resultater - Østdanmark'!J53</f>
        <v>-25205.411571996898</v>
      </c>
    </row>
    <row r="54" spans="1:10" x14ac:dyDescent="0.25">
      <c r="A54" s="94" t="str">
        <f>'Resultater - Vestdanmark'!A54</f>
        <v>Skovproduktion</v>
      </c>
      <c r="B54" s="94" t="str">
        <f>'Resultater - Vestdanmark'!B54</f>
        <v/>
      </c>
      <c r="C54" s="94" t="str">
        <f>'Resultater - Vestdanmark'!C54</f>
        <v>Skovtype3</v>
      </c>
      <c r="D54" s="94" t="str">
        <f>'Resultater - Vestdanmark'!D54</f>
        <v>Areal-skovtype3-20</v>
      </c>
      <c r="E54" s="94" t="str">
        <f>'Resultater - Vestdanmark'!E54</f>
        <v>Hektar</v>
      </c>
      <c r="F54" s="94" t="str">
        <f>'Resultater - Vestdanmark'!F54</f>
        <v>CO2 - HWP</v>
      </c>
      <c r="G54" s="94" t="str">
        <f>'Resultater - Vestdanmark'!G54</f>
        <v>t CO2-ækvivalenter</v>
      </c>
      <c r="H54" s="254">
        <f ca="1">'Resultater - Vestdanmark'!H54+'Resultater - Østdanmark'!H54</f>
        <v>0</v>
      </c>
      <c r="I54" s="255">
        <f ca="1">'Resultater - Vestdanmark'!I54+'Resultater - Østdanmark'!I54</f>
        <v>0</v>
      </c>
      <c r="J54" s="256">
        <f ca="1">'Resultater - Vestdanmark'!J54+'Resultater - Østdanmark'!J54</f>
        <v>0</v>
      </c>
    </row>
    <row r="55" spans="1:10" x14ac:dyDescent="0.25">
      <c r="A55" s="94" t="str">
        <f>'Resultater - Vestdanmark'!A55</f>
        <v>Skovproduktion</v>
      </c>
      <c r="B55" s="94" t="str">
        <f>'Resultater - Vestdanmark'!B55</f>
        <v/>
      </c>
      <c r="C55" s="94" t="str">
        <f>'Resultater - Vestdanmark'!C55</f>
        <v>Skovtype3</v>
      </c>
      <c r="D55" s="94" t="str">
        <f>'Resultater - Vestdanmark'!D55</f>
        <v>Areal-skovtype3-30</v>
      </c>
      <c r="E55" s="94" t="str">
        <f>'Resultater - Vestdanmark'!E55</f>
        <v>Hektar</v>
      </c>
      <c r="F55" s="94" t="str">
        <f>'Resultater - Vestdanmark'!F55</f>
        <v>Træer</v>
      </c>
      <c r="G55" s="94" t="str">
        <f>'Resultater - Vestdanmark'!G55</f>
        <v>m3</v>
      </c>
      <c r="H55" s="254">
        <f ca="1">'Resultater - Vestdanmark'!H55+'Resultater - Østdanmark'!H55</f>
        <v>0</v>
      </c>
      <c r="I55" s="255">
        <f ca="1">'Resultater - Vestdanmark'!I55+'Resultater - Østdanmark'!I55</f>
        <v>0</v>
      </c>
      <c r="J55" s="256">
        <f ca="1">'Resultater - Vestdanmark'!J55+'Resultater - Østdanmark'!J55</f>
        <v>0</v>
      </c>
    </row>
    <row r="56" spans="1:10" x14ac:dyDescent="0.25">
      <c r="A56" s="94" t="str">
        <f>'Resultater - Vestdanmark'!A56</f>
        <v>Skovproduktion</v>
      </c>
      <c r="B56" s="94" t="str">
        <f>'Resultater - Vestdanmark'!B56</f>
        <v/>
      </c>
      <c r="C56" s="94" t="str">
        <f>'Resultater - Vestdanmark'!C56</f>
        <v>Skovtype3</v>
      </c>
      <c r="D56" s="94" t="str">
        <f>'Resultater - Vestdanmark'!D56</f>
        <v>Areal-skovtype3-30</v>
      </c>
      <c r="E56" s="94" t="str">
        <f>'Resultater - Vestdanmark'!E56</f>
        <v>Hektar</v>
      </c>
      <c r="F56" s="94" t="str">
        <f>'Resultater - Vestdanmark'!F56</f>
        <v>Træ til energi</v>
      </c>
      <c r="G56" s="94" t="str">
        <f>'Resultater - Vestdanmark'!G56</f>
        <v>m3</v>
      </c>
      <c r="H56" s="254">
        <f ca="1">'Resultater - Vestdanmark'!H56+'Resultater - Østdanmark'!H56</f>
        <v>0</v>
      </c>
      <c r="I56" s="255">
        <f ca="1">'Resultater - Vestdanmark'!I56+'Resultater - Østdanmark'!I56</f>
        <v>0</v>
      </c>
      <c r="J56" s="256">
        <f ca="1">'Resultater - Vestdanmark'!J56+'Resultater - Østdanmark'!J56</f>
        <v>0</v>
      </c>
    </row>
    <row r="57" spans="1:10" x14ac:dyDescent="0.25">
      <c r="A57" s="94" t="str">
        <f>'Resultater - Vestdanmark'!A57</f>
        <v>Skovproduktion</v>
      </c>
      <c r="B57" s="94" t="str">
        <f>'Resultater - Vestdanmark'!B57</f>
        <v/>
      </c>
      <c r="C57" s="94" t="str">
        <f>'Resultater - Vestdanmark'!C57</f>
        <v>Skovtype3</v>
      </c>
      <c r="D57" s="94" t="str">
        <f>'Resultater - Vestdanmark'!D57</f>
        <v>Areal-skovtype3-30</v>
      </c>
      <c r="E57" s="94" t="str">
        <f>'Resultater - Vestdanmark'!E57</f>
        <v>Hektar</v>
      </c>
      <c r="F57" s="94" t="str">
        <f>'Resultater - Vestdanmark'!F57</f>
        <v>CO2 - atmosfære</v>
      </c>
      <c r="G57" s="94" t="str">
        <f>'Resultater - Vestdanmark'!G57</f>
        <v>t CO2-ækvivalenter</v>
      </c>
      <c r="H57" s="254">
        <f ca="1">'Resultater - Vestdanmark'!H57+'Resultater - Østdanmark'!H57</f>
        <v>0</v>
      </c>
      <c r="I57" s="255">
        <f ca="1">'Resultater - Vestdanmark'!I57+'Resultater - Østdanmark'!I57</f>
        <v>0</v>
      </c>
      <c r="J57" s="256">
        <f ca="1">'Resultater - Vestdanmark'!J57+'Resultater - Østdanmark'!J57</f>
        <v>-59318.345411655289</v>
      </c>
    </row>
    <row r="58" spans="1:10" x14ac:dyDescent="0.25">
      <c r="A58" s="94" t="str">
        <f>'Resultater - Vestdanmark'!A58</f>
        <v>Skovproduktion</v>
      </c>
      <c r="B58" s="94" t="str">
        <f>'Resultater - Vestdanmark'!B58</f>
        <v/>
      </c>
      <c r="C58" s="94" t="str">
        <f>'Resultater - Vestdanmark'!C58</f>
        <v>Skovtype3</v>
      </c>
      <c r="D58" s="94" t="str">
        <f>'Resultater - Vestdanmark'!D58</f>
        <v>Areal-skovtype3-30</v>
      </c>
      <c r="E58" s="94" t="str">
        <f>'Resultater - Vestdanmark'!E58</f>
        <v>Hektar</v>
      </c>
      <c r="F58" s="94" t="str">
        <f>'Resultater - Vestdanmark'!F58</f>
        <v>CO2 - HWP</v>
      </c>
      <c r="G58" s="94" t="str">
        <f>'Resultater - Vestdanmark'!G58</f>
        <v>t CO2-ækvivalenter</v>
      </c>
      <c r="H58" s="254">
        <f ca="1">'Resultater - Vestdanmark'!H58+'Resultater - Østdanmark'!H58</f>
        <v>0</v>
      </c>
      <c r="I58" s="255">
        <f ca="1">'Resultater - Vestdanmark'!I58+'Resultater - Østdanmark'!I58</f>
        <v>0</v>
      </c>
      <c r="J58" s="256">
        <f ca="1">'Resultater - Vestdanmark'!J58+'Resultater - Østdanmark'!J58</f>
        <v>0</v>
      </c>
    </row>
    <row r="59" spans="1:10" x14ac:dyDescent="0.25">
      <c r="A59" s="94" t="str">
        <f>'Resultater - Vestdanmark'!A59</f>
        <v>Skovproduktion</v>
      </c>
      <c r="B59" s="94" t="str">
        <f>'Resultater - Vestdanmark'!B59</f>
        <v/>
      </c>
      <c r="C59" s="94" t="str">
        <f>'Resultater - Vestdanmark'!C59</f>
        <v>Skovtype3</v>
      </c>
      <c r="D59" s="94" t="str">
        <f>'Resultater - Vestdanmark'!D59</f>
        <v>Areal-skovtype3-40</v>
      </c>
      <c r="E59" s="94" t="str">
        <f>'Resultater - Vestdanmark'!E59</f>
        <v>Hektar</v>
      </c>
      <c r="F59" s="94" t="str">
        <f>'Resultater - Vestdanmark'!F59</f>
        <v>Træer</v>
      </c>
      <c r="G59" s="94" t="str">
        <f>'Resultater - Vestdanmark'!G59</f>
        <v>m3</v>
      </c>
      <c r="H59" s="254">
        <f ca="1">'Resultater - Vestdanmark'!H59+'Resultater - Østdanmark'!H59</f>
        <v>0</v>
      </c>
      <c r="I59" s="255">
        <f ca="1">'Resultater - Vestdanmark'!I59+'Resultater - Østdanmark'!I59</f>
        <v>0</v>
      </c>
      <c r="J59" s="256">
        <f ca="1">'Resultater - Vestdanmark'!J59+'Resultater - Østdanmark'!J59</f>
        <v>607.54560110920306</v>
      </c>
    </row>
    <row r="60" spans="1:10" x14ac:dyDescent="0.25">
      <c r="A60" s="94" t="str">
        <f>'Resultater - Vestdanmark'!A60</f>
        <v>Skovproduktion</v>
      </c>
      <c r="B60" s="94" t="str">
        <f>'Resultater - Vestdanmark'!B60</f>
        <v/>
      </c>
      <c r="C60" s="94" t="str">
        <f>'Resultater - Vestdanmark'!C60</f>
        <v>Skovtype3</v>
      </c>
      <c r="D60" s="94" t="str">
        <f>'Resultater - Vestdanmark'!D60</f>
        <v>Areal-skovtype3-40</v>
      </c>
      <c r="E60" s="94" t="str">
        <f>'Resultater - Vestdanmark'!E60</f>
        <v>Hektar</v>
      </c>
      <c r="F60" s="94" t="str">
        <f>'Resultater - Vestdanmark'!F60</f>
        <v>Træ til energi</v>
      </c>
      <c r="G60" s="94" t="str">
        <f>'Resultater - Vestdanmark'!G60</f>
        <v>m3</v>
      </c>
      <c r="H60" s="254">
        <f ca="1">'Resultater - Vestdanmark'!H60+'Resultater - Østdanmark'!H60</f>
        <v>0</v>
      </c>
      <c r="I60" s="255">
        <f ca="1">'Resultater - Vestdanmark'!I60+'Resultater - Østdanmark'!I60</f>
        <v>0</v>
      </c>
      <c r="J60" s="256">
        <f ca="1">'Resultater - Vestdanmark'!J60+'Resultater - Østdanmark'!J60</f>
        <v>331.38850969592897</v>
      </c>
    </row>
    <row r="61" spans="1:10" x14ac:dyDescent="0.25">
      <c r="A61" s="94" t="str">
        <f>'Resultater - Vestdanmark'!A61</f>
        <v>Skovproduktion</v>
      </c>
      <c r="B61" s="94" t="str">
        <f>'Resultater - Vestdanmark'!B61</f>
        <v/>
      </c>
      <c r="C61" s="94" t="str">
        <f>'Resultater - Vestdanmark'!C61</f>
        <v>Skovtype3</v>
      </c>
      <c r="D61" s="94" t="str">
        <f>'Resultater - Vestdanmark'!D61</f>
        <v>Areal-skovtype3-40</v>
      </c>
      <c r="E61" s="94" t="str">
        <f>'Resultater - Vestdanmark'!E61</f>
        <v>Hektar</v>
      </c>
      <c r="F61" s="94" t="str">
        <f>'Resultater - Vestdanmark'!F61</f>
        <v>CO2 - atmosfære</v>
      </c>
      <c r="G61" s="94" t="str">
        <f>'Resultater - Vestdanmark'!G61</f>
        <v>t CO2-ækvivalenter</v>
      </c>
      <c r="H61" s="254">
        <f ca="1">'Resultater - Vestdanmark'!H61+'Resultater - Østdanmark'!H61</f>
        <v>0</v>
      </c>
      <c r="I61" s="255">
        <f ca="1">'Resultater - Vestdanmark'!I61+'Resultater - Østdanmark'!I61</f>
        <v>0</v>
      </c>
      <c r="J61" s="256">
        <f ca="1">'Resultater - Vestdanmark'!J61+'Resultater - Østdanmark'!J61</f>
        <v>-5756.11792152204</v>
      </c>
    </row>
    <row r="62" spans="1:10" x14ac:dyDescent="0.25">
      <c r="A62" s="94" t="str">
        <f>'Resultater - Vestdanmark'!A62</f>
        <v>Skovproduktion</v>
      </c>
      <c r="B62" s="94" t="str">
        <f>'Resultater - Vestdanmark'!B62</f>
        <v/>
      </c>
      <c r="C62" s="94" t="str">
        <f>'Resultater - Vestdanmark'!C62</f>
        <v>Skovtype3</v>
      </c>
      <c r="D62" s="94" t="str">
        <f>'Resultater - Vestdanmark'!D62</f>
        <v>Areal-skovtype3-40</v>
      </c>
      <c r="E62" s="94" t="str">
        <f>'Resultater - Vestdanmark'!E62</f>
        <v>Hektar</v>
      </c>
      <c r="F62" s="94" t="str">
        <f>'Resultater - Vestdanmark'!F62</f>
        <v>CO2 - HWP</v>
      </c>
      <c r="G62" s="94" t="str">
        <f>'Resultater - Vestdanmark'!G62</f>
        <v>t CO2-ækvivalenter</v>
      </c>
      <c r="H62" s="254">
        <f ca="1">'Resultater - Vestdanmark'!H62+'Resultater - Østdanmark'!H62</f>
        <v>0</v>
      </c>
      <c r="I62" s="255">
        <f ca="1">'Resultater - Vestdanmark'!I62+'Resultater - Østdanmark'!I62</f>
        <v>0</v>
      </c>
      <c r="J62" s="256">
        <f ca="1">'Resultater - Vestdanmark'!J62+'Resultater - Østdanmark'!J62</f>
        <v>-1124.3915140819963</v>
      </c>
    </row>
    <row r="63" spans="1:10" x14ac:dyDescent="0.25">
      <c r="A63" s="94" t="str">
        <f>'Resultater - Vestdanmark'!A63</f>
        <v>Skovproduktion</v>
      </c>
      <c r="B63" s="94" t="str">
        <f>'Resultater - Vestdanmark'!B63</f>
        <v/>
      </c>
      <c r="C63" s="94" t="str">
        <f>'Resultater - Vestdanmark'!C63</f>
        <v>Skovtype4</v>
      </c>
      <c r="D63" s="94" t="str">
        <f>'Resultater - Vestdanmark'!D63</f>
        <v>Areal-skovtype4-10</v>
      </c>
      <c r="E63" s="94" t="str">
        <f>'Resultater - Vestdanmark'!E63</f>
        <v>Hektar</v>
      </c>
      <c r="F63" s="94" t="str">
        <f>'Resultater - Vestdanmark'!F63</f>
        <v>Træer</v>
      </c>
      <c r="G63" s="94" t="str">
        <f>'Resultater - Vestdanmark'!G63</f>
        <v>m3</v>
      </c>
      <c r="H63" s="254">
        <f ca="1">'Resultater - Vestdanmark'!H63+'Resultater - Østdanmark'!H63</f>
        <v>0</v>
      </c>
      <c r="I63" s="255">
        <f ca="1">'Resultater - Vestdanmark'!I63+'Resultater - Østdanmark'!I63</f>
        <v>0</v>
      </c>
      <c r="J63" s="256">
        <f ca="1">'Resultater - Vestdanmark'!J63+'Resultater - Østdanmark'!J63</f>
        <v>0</v>
      </c>
    </row>
    <row r="64" spans="1:10" x14ac:dyDescent="0.25">
      <c r="A64" s="94" t="str">
        <f>'Resultater - Vestdanmark'!A64</f>
        <v>Skovproduktion</v>
      </c>
      <c r="B64" s="94" t="str">
        <f>'Resultater - Vestdanmark'!B64</f>
        <v/>
      </c>
      <c r="C64" s="94" t="str">
        <f>'Resultater - Vestdanmark'!C64</f>
        <v>Skovtype4</v>
      </c>
      <c r="D64" s="94" t="str">
        <f>'Resultater - Vestdanmark'!D64</f>
        <v>Areal-skovtype4-10</v>
      </c>
      <c r="E64" s="94" t="str">
        <f>'Resultater - Vestdanmark'!E64</f>
        <v>Hektar</v>
      </c>
      <c r="F64" s="94" t="str">
        <f>'Resultater - Vestdanmark'!F64</f>
        <v>Træ til energi</v>
      </c>
      <c r="G64" s="94" t="str">
        <f>'Resultater - Vestdanmark'!G64</f>
        <v>m3</v>
      </c>
      <c r="H64" s="254">
        <f ca="1">'Resultater - Vestdanmark'!H64+'Resultater - Østdanmark'!H64</f>
        <v>0</v>
      </c>
      <c r="I64" s="255">
        <f ca="1">'Resultater - Vestdanmark'!I64+'Resultater - Østdanmark'!I64</f>
        <v>0</v>
      </c>
      <c r="J64" s="256">
        <f ca="1">'Resultater - Vestdanmark'!J64+'Resultater - Østdanmark'!J64</f>
        <v>0</v>
      </c>
    </row>
    <row r="65" spans="1:10" x14ac:dyDescent="0.25">
      <c r="A65" s="94" t="str">
        <f>'Resultater - Vestdanmark'!A65</f>
        <v>Skovproduktion</v>
      </c>
      <c r="B65" s="94" t="str">
        <f>'Resultater - Vestdanmark'!B65</f>
        <v/>
      </c>
      <c r="C65" s="94" t="str">
        <f>'Resultater - Vestdanmark'!C65</f>
        <v>Skovtype4</v>
      </c>
      <c r="D65" s="94" t="str">
        <f>'Resultater - Vestdanmark'!D65</f>
        <v>Areal-skovtype4-10</v>
      </c>
      <c r="E65" s="94" t="str">
        <f>'Resultater - Vestdanmark'!E65</f>
        <v>Hektar</v>
      </c>
      <c r="F65" s="94" t="str">
        <f>'Resultater - Vestdanmark'!F65</f>
        <v>CO2 - atmosfære</v>
      </c>
      <c r="G65" s="94" t="str">
        <f>'Resultater - Vestdanmark'!G65</f>
        <v>t CO2-ækvivalenter</v>
      </c>
      <c r="H65" s="254">
        <f ca="1">'Resultater - Vestdanmark'!H65+'Resultater - Østdanmark'!H65</f>
        <v>0</v>
      </c>
      <c r="I65" s="255">
        <f ca="1">'Resultater - Vestdanmark'!I65+'Resultater - Østdanmark'!I65</f>
        <v>-368933.93940367759</v>
      </c>
      <c r="J65" s="256">
        <f ca="1">'Resultater - Vestdanmark'!J65+'Resultater - Østdanmark'!J65</f>
        <v>-514198.15731336805</v>
      </c>
    </row>
    <row r="66" spans="1:10" x14ac:dyDescent="0.25">
      <c r="A66" s="94" t="str">
        <f>'Resultater - Vestdanmark'!A66</f>
        <v>Skovproduktion</v>
      </c>
      <c r="B66" s="94" t="str">
        <f>'Resultater - Vestdanmark'!B66</f>
        <v/>
      </c>
      <c r="C66" s="94" t="str">
        <f>'Resultater - Vestdanmark'!C66</f>
        <v>Skovtype4</v>
      </c>
      <c r="D66" s="94" t="str">
        <f>'Resultater - Vestdanmark'!D66</f>
        <v>Areal-skovtype4-10</v>
      </c>
      <c r="E66" s="94" t="str">
        <f>'Resultater - Vestdanmark'!E66</f>
        <v>Hektar</v>
      </c>
      <c r="F66" s="94" t="str">
        <f>'Resultater - Vestdanmark'!F66</f>
        <v>CO2 - HWP</v>
      </c>
      <c r="G66" s="94" t="str">
        <f>'Resultater - Vestdanmark'!G66</f>
        <v>t CO2-ækvivalenter</v>
      </c>
      <c r="H66" s="254">
        <f ca="1">'Resultater - Vestdanmark'!H66+'Resultater - Østdanmark'!H66</f>
        <v>0</v>
      </c>
      <c r="I66" s="255">
        <f ca="1">'Resultater - Vestdanmark'!I66+'Resultater - Østdanmark'!I66</f>
        <v>0</v>
      </c>
      <c r="J66" s="256">
        <f ca="1">'Resultater - Vestdanmark'!J66+'Resultater - Østdanmark'!J66</f>
        <v>0</v>
      </c>
    </row>
    <row r="67" spans="1:10" x14ac:dyDescent="0.25">
      <c r="A67" s="94" t="str">
        <f>'Resultater - Vestdanmark'!A67</f>
        <v>Skovproduktion</v>
      </c>
      <c r="B67" s="94" t="str">
        <f>'Resultater - Vestdanmark'!B67</f>
        <v/>
      </c>
      <c r="C67" s="94" t="str">
        <f>'Resultater - Vestdanmark'!C67</f>
        <v>Skovtype4</v>
      </c>
      <c r="D67" s="94" t="str">
        <f>'Resultater - Vestdanmark'!D67</f>
        <v>Areal-skovtype4-20</v>
      </c>
      <c r="E67" s="94" t="str">
        <f>'Resultater - Vestdanmark'!E67</f>
        <v>Hektar</v>
      </c>
      <c r="F67" s="94" t="str">
        <f>'Resultater - Vestdanmark'!F67</f>
        <v>Træer</v>
      </c>
      <c r="G67" s="94" t="str">
        <f>'Resultater - Vestdanmark'!G67</f>
        <v>m3</v>
      </c>
      <c r="H67" s="254">
        <f ca="1">'Resultater - Vestdanmark'!H67+'Resultater - Østdanmark'!H67</f>
        <v>0</v>
      </c>
      <c r="I67" s="255">
        <f ca="1">'Resultater - Vestdanmark'!I67+'Resultater - Østdanmark'!I67</f>
        <v>2266.3262164585844</v>
      </c>
      <c r="J67" s="256">
        <f ca="1">'Resultater - Vestdanmark'!J67+'Resultater - Østdanmark'!J67</f>
        <v>30894.184497527393</v>
      </c>
    </row>
    <row r="68" spans="1:10" x14ac:dyDescent="0.25">
      <c r="A68" s="94" t="str">
        <f>'Resultater - Vestdanmark'!A68</f>
        <v>Skovproduktion</v>
      </c>
      <c r="B68" s="94" t="str">
        <f>'Resultater - Vestdanmark'!B68</f>
        <v/>
      </c>
      <c r="C68" s="94" t="str">
        <f>'Resultater - Vestdanmark'!C68</f>
        <v>Skovtype4</v>
      </c>
      <c r="D68" s="94" t="str">
        <f>'Resultater - Vestdanmark'!D68</f>
        <v>Areal-skovtype4-20</v>
      </c>
      <c r="E68" s="94" t="str">
        <f>'Resultater - Vestdanmark'!E68</f>
        <v>Hektar</v>
      </c>
      <c r="F68" s="94" t="str">
        <f>'Resultater - Vestdanmark'!F68</f>
        <v>Træ til energi</v>
      </c>
      <c r="G68" s="94" t="str">
        <f>'Resultater - Vestdanmark'!G68</f>
        <v>m3</v>
      </c>
      <c r="H68" s="254">
        <f ca="1">'Resultater - Vestdanmark'!H68+'Resultater - Østdanmark'!H68</f>
        <v>0</v>
      </c>
      <c r="I68" s="255">
        <f ca="1">'Resultater - Vestdanmark'!I68+'Resultater - Østdanmark'!I68</f>
        <v>7932.1417576050417</v>
      </c>
      <c r="J68" s="256">
        <f ca="1">'Resultater - Vestdanmark'!J68+'Resultater - Østdanmark'!J68</f>
        <v>108129.64574134581</v>
      </c>
    </row>
    <row r="69" spans="1:10" x14ac:dyDescent="0.25">
      <c r="A69" s="94" t="str">
        <f>'Resultater - Vestdanmark'!A69</f>
        <v>Skovproduktion</v>
      </c>
      <c r="B69" s="94" t="str">
        <f>'Resultater - Vestdanmark'!B69</f>
        <v/>
      </c>
      <c r="C69" s="94" t="str">
        <f>'Resultater - Vestdanmark'!C69</f>
        <v>Skovtype4</v>
      </c>
      <c r="D69" s="94" t="str">
        <f>'Resultater - Vestdanmark'!D69</f>
        <v>Areal-skovtype4-20</v>
      </c>
      <c r="E69" s="94" t="str">
        <f>'Resultater - Vestdanmark'!E69</f>
        <v>Hektar</v>
      </c>
      <c r="F69" s="94" t="str">
        <f>'Resultater - Vestdanmark'!F69</f>
        <v>CO2 - atmosfære</v>
      </c>
      <c r="G69" s="94" t="str">
        <f>'Resultater - Vestdanmark'!G69</f>
        <v>t CO2-ækvivalenter</v>
      </c>
      <c r="H69" s="254">
        <f ca="1">'Resultater - Vestdanmark'!H69+'Resultater - Østdanmark'!H69</f>
        <v>0</v>
      </c>
      <c r="I69" s="255">
        <f ca="1">'Resultater - Vestdanmark'!I69+'Resultater - Østdanmark'!I69</f>
        <v>-31266.715965558018</v>
      </c>
      <c r="J69" s="256">
        <f ca="1">'Resultater - Vestdanmark'!J69+'Resultater - Østdanmark'!J69</f>
        <v>-426222.70556494134</v>
      </c>
    </row>
    <row r="70" spans="1:10" x14ac:dyDescent="0.25">
      <c r="A70" s="94" t="str">
        <f>'Resultater - Vestdanmark'!A70</f>
        <v>Skovproduktion</v>
      </c>
      <c r="B70" s="94" t="str">
        <f>'Resultater - Vestdanmark'!B70</f>
        <v/>
      </c>
      <c r="C70" s="94" t="str">
        <f>'Resultater - Vestdanmark'!C70</f>
        <v>Skovtype4</v>
      </c>
      <c r="D70" s="94" t="str">
        <f>'Resultater - Vestdanmark'!D70</f>
        <v>Areal-skovtype4-20</v>
      </c>
      <c r="E70" s="94" t="str">
        <f>'Resultater - Vestdanmark'!E70</f>
        <v>Hektar</v>
      </c>
      <c r="F70" s="94" t="str">
        <f>'Resultater - Vestdanmark'!F70</f>
        <v>CO2 - HWP</v>
      </c>
      <c r="G70" s="94" t="str">
        <f>'Resultater - Vestdanmark'!G70</f>
        <v>t CO2-ækvivalenter</v>
      </c>
      <c r="H70" s="254">
        <f ca="1">'Resultater - Vestdanmark'!H70+'Resultater - Østdanmark'!H70</f>
        <v>0</v>
      </c>
      <c r="I70" s="255">
        <f ca="1">'Resultater - Vestdanmark'!I70+'Resultater - Østdanmark'!I70</f>
        <v>-15633.357982779016</v>
      </c>
      <c r="J70" s="256">
        <f ca="1">'Resultater - Vestdanmark'!J70+'Resultater - Østdanmark'!J70</f>
        <v>-213111.35278247076</v>
      </c>
    </row>
    <row r="71" spans="1:10" x14ac:dyDescent="0.25">
      <c r="A71" s="94" t="str">
        <f>'Resultater - Vestdanmark'!A71</f>
        <v>Skovproduktion</v>
      </c>
      <c r="B71" s="94" t="str">
        <f>'Resultater - Vestdanmark'!B71</f>
        <v/>
      </c>
      <c r="C71" s="94" t="str">
        <f>'Resultater - Vestdanmark'!C71</f>
        <v>Skovtype4</v>
      </c>
      <c r="D71" s="94" t="str">
        <f>'Resultater - Vestdanmark'!D71</f>
        <v>Areal-skovtype4-30</v>
      </c>
      <c r="E71" s="94" t="str">
        <f>'Resultater - Vestdanmark'!E71</f>
        <v>Hektar</v>
      </c>
      <c r="F71" s="94" t="str">
        <f>'Resultater - Vestdanmark'!F71</f>
        <v>Træer</v>
      </c>
      <c r="G71" s="94" t="str">
        <f>'Resultater - Vestdanmark'!G71</f>
        <v>m3</v>
      </c>
      <c r="H71" s="254">
        <f ca="1">'Resultater - Vestdanmark'!H71+'Resultater - Østdanmark'!H71</f>
        <v>0</v>
      </c>
      <c r="I71" s="255">
        <f ca="1">'Resultater - Vestdanmark'!I71+'Resultater - Østdanmark'!I71</f>
        <v>0</v>
      </c>
      <c r="J71" s="256">
        <f ca="1">'Resultater - Vestdanmark'!J71+'Resultater - Østdanmark'!J71</f>
        <v>23553.86056416342</v>
      </c>
    </row>
    <row r="72" spans="1:10" x14ac:dyDescent="0.25">
      <c r="A72" s="94" t="str">
        <f>'Resultater - Vestdanmark'!A72</f>
        <v>Skovproduktion</v>
      </c>
      <c r="B72" s="94" t="str">
        <f>'Resultater - Vestdanmark'!B72</f>
        <v/>
      </c>
      <c r="C72" s="94" t="str">
        <f>'Resultater - Vestdanmark'!C72</f>
        <v>Skovtype4</v>
      </c>
      <c r="D72" s="94" t="str">
        <f>'Resultater - Vestdanmark'!D72</f>
        <v>Areal-skovtype4-30</v>
      </c>
      <c r="E72" s="94" t="str">
        <f>'Resultater - Vestdanmark'!E72</f>
        <v>Hektar</v>
      </c>
      <c r="F72" s="94" t="str">
        <f>'Resultater - Vestdanmark'!F72</f>
        <v>Træ til energi</v>
      </c>
      <c r="G72" s="94" t="str">
        <f>'Resultater - Vestdanmark'!G72</f>
        <v>m3</v>
      </c>
      <c r="H72" s="254">
        <f ca="1">'Resultater - Vestdanmark'!H72+'Resultater - Østdanmark'!H72</f>
        <v>0</v>
      </c>
      <c r="I72" s="255">
        <f ca="1">'Resultater - Vestdanmark'!I72+'Resultater - Østdanmark'!I72</f>
        <v>0</v>
      </c>
      <c r="J72" s="256">
        <f ca="1">'Resultater - Vestdanmark'!J72+'Resultater - Østdanmark'!J72</f>
        <v>31151.880100990333</v>
      </c>
    </row>
    <row r="73" spans="1:10" x14ac:dyDescent="0.25">
      <c r="A73" s="94" t="str">
        <f>'Resultater - Vestdanmark'!A73</f>
        <v>Skovproduktion</v>
      </c>
      <c r="B73" s="94" t="str">
        <f>'Resultater - Vestdanmark'!B73</f>
        <v/>
      </c>
      <c r="C73" s="94" t="str">
        <f>'Resultater - Vestdanmark'!C73</f>
        <v>Skovtype4</v>
      </c>
      <c r="D73" s="94" t="str">
        <f>'Resultater - Vestdanmark'!D73</f>
        <v>Areal-skovtype4-30</v>
      </c>
      <c r="E73" s="94" t="str">
        <f>'Resultater - Vestdanmark'!E73</f>
        <v>Hektar</v>
      </c>
      <c r="F73" s="94" t="str">
        <f>'Resultater - Vestdanmark'!F73</f>
        <v>CO2 - atmosfære</v>
      </c>
      <c r="G73" s="94" t="str">
        <f>'Resultater - Vestdanmark'!G73</f>
        <v>t CO2-ækvivalenter</v>
      </c>
      <c r="H73" s="254">
        <f ca="1">'Resultater - Vestdanmark'!H73+'Resultater - Østdanmark'!H73</f>
        <v>0</v>
      </c>
      <c r="I73" s="255">
        <f ca="1">'Resultater - Vestdanmark'!I73+'Resultater - Østdanmark'!I73</f>
        <v>0</v>
      </c>
      <c r="J73" s="256">
        <f ca="1">'Resultater - Vestdanmark'!J73+'Resultater - Østdanmark'!J73</f>
        <v>-169814.69375160095</v>
      </c>
    </row>
    <row r="74" spans="1:10" x14ac:dyDescent="0.25">
      <c r="A74" s="94" t="str">
        <f>'Resultater - Vestdanmark'!A74</f>
        <v>Skovproduktion</v>
      </c>
      <c r="B74" s="94" t="str">
        <f>'Resultater - Vestdanmark'!B74</f>
        <v/>
      </c>
      <c r="C74" s="94" t="str">
        <f>'Resultater - Vestdanmark'!C74</f>
        <v>Skovtype4</v>
      </c>
      <c r="D74" s="94" t="str">
        <f>'Resultater - Vestdanmark'!D74</f>
        <v>Areal-skovtype4-30</v>
      </c>
      <c r="E74" s="94" t="str">
        <f>'Resultater - Vestdanmark'!E74</f>
        <v>Hektar</v>
      </c>
      <c r="F74" s="94" t="str">
        <f>'Resultater - Vestdanmark'!F74</f>
        <v>CO2 - HWP</v>
      </c>
      <c r="G74" s="94" t="str">
        <f>'Resultater - Vestdanmark'!G74</f>
        <v>t CO2-ækvivalenter</v>
      </c>
      <c r="H74" s="254">
        <f ca="1">'Resultater - Vestdanmark'!H74+'Resultater - Østdanmark'!H74</f>
        <v>0</v>
      </c>
      <c r="I74" s="255">
        <f ca="1">'Resultater - Vestdanmark'!I74+'Resultater - Østdanmark'!I74</f>
        <v>0</v>
      </c>
      <c r="J74" s="256">
        <f ca="1">'Resultater - Vestdanmark'!J74+'Resultater - Østdanmark'!J74</f>
        <v>-162477.02179937129</v>
      </c>
    </row>
    <row r="75" spans="1:10" x14ac:dyDescent="0.25">
      <c r="A75" s="94" t="str">
        <f>'Resultater - Vestdanmark'!A75</f>
        <v>Skovproduktion</v>
      </c>
      <c r="B75" s="94" t="str">
        <f>'Resultater - Vestdanmark'!B75</f>
        <v/>
      </c>
      <c r="C75" s="94" t="str">
        <f>'Resultater - Vestdanmark'!C75</f>
        <v>Skovtype4</v>
      </c>
      <c r="D75" s="94" t="str">
        <f>'Resultater - Vestdanmark'!D75</f>
        <v>Areal-skovtype4-40</v>
      </c>
      <c r="E75" s="94" t="str">
        <f>'Resultater - Vestdanmark'!E75</f>
        <v>Hektar</v>
      </c>
      <c r="F75" s="94" t="str">
        <f>'Resultater - Vestdanmark'!F75</f>
        <v>Træer</v>
      </c>
      <c r="G75" s="94" t="str">
        <f>'Resultater - Vestdanmark'!G75</f>
        <v>m3</v>
      </c>
      <c r="H75" s="254">
        <f ca="1">'Resultater - Vestdanmark'!H75+'Resultater - Østdanmark'!H75</f>
        <v>0</v>
      </c>
      <c r="I75" s="255">
        <f ca="1">'Resultater - Vestdanmark'!I75+'Resultater - Østdanmark'!I75</f>
        <v>0</v>
      </c>
      <c r="J75" s="256">
        <f ca="1">'Resultater - Vestdanmark'!J75+'Resultater - Østdanmark'!J75</f>
        <v>1951.5900289989213</v>
      </c>
    </row>
    <row r="76" spans="1:10" x14ac:dyDescent="0.25">
      <c r="A76" s="94" t="str">
        <f>'Resultater - Vestdanmark'!A76</f>
        <v>Skovproduktion</v>
      </c>
      <c r="B76" s="94" t="str">
        <f>'Resultater - Vestdanmark'!B76</f>
        <v/>
      </c>
      <c r="C76" s="94" t="str">
        <f>'Resultater - Vestdanmark'!C76</f>
        <v>Skovtype4</v>
      </c>
      <c r="D76" s="94" t="str">
        <f>'Resultater - Vestdanmark'!D76</f>
        <v>Areal-skovtype4-40</v>
      </c>
      <c r="E76" s="94" t="str">
        <f>'Resultater - Vestdanmark'!E76</f>
        <v>Hektar</v>
      </c>
      <c r="F76" s="94" t="str">
        <f>'Resultater - Vestdanmark'!F76</f>
        <v>Træ til energi</v>
      </c>
      <c r="G76" s="94" t="str">
        <f>'Resultater - Vestdanmark'!G76</f>
        <v>m3</v>
      </c>
      <c r="H76" s="254">
        <f ca="1">'Resultater - Vestdanmark'!H76+'Resultater - Østdanmark'!H76</f>
        <v>0</v>
      </c>
      <c r="I76" s="255">
        <f ca="1">'Resultater - Vestdanmark'!I76+'Resultater - Østdanmark'!I76</f>
        <v>0</v>
      </c>
      <c r="J76" s="256">
        <f ca="1">'Resultater - Vestdanmark'!J76+'Resultater - Østdanmark'!J76</f>
        <v>1064.5036521812301</v>
      </c>
    </row>
    <row r="77" spans="1:10" x14ac:dyDescent="0.25">
      <c r="A77" s="94" t="str">
        <f>'Resultater - Vestdanmark'!A77</f>
        <v>Skovproduktion</v>
      </c>
      <c r="B77" s="94" t="str">
        <f>'Resultater - Vestdanmark'!B77</f>
        <v/>
      </c>
      <c r="C77" s="94" t="str">
        <f>'Resultater - Vestdanmark'!C77</f>
        <v>Skovtype4</v>
      </c>
      <c r="D77" s="94" t="str">
        <f>'Resultater - Vestdanmark'!D77</f>
        <v>Areal-skovtype4-40</v>
      </c>
      <c r="E77" s="94" t="str">
        <f>'Resultater - Vestdanmark'!E77</f>
        <v>Hektar</v>
      </c>
      <c r="F77" s="94" t="str">
        <f>'Resultater - Vestdanmark'!F77</f>
        <v>CO2 - atmosfære</v>
      </c>
      <c r="G77" s="94" t="str">
        <f>'Resultater - Vestdanmark'!G77</f>
        <v>t CO2-ækvivalenter</v>
      </c>
      <c r="H77" s="254">
        <f ca="1">'Resultater - Vestdanmark'!H77+'Resultater - Østdanmark'!H77</f>
        <v>0</v>
      </c>
      <c r="I77" s="255">
        <f ca="1">'Resultater - Vestdanmark'!I77+'Resultater - Østdanmark'!I77</f>
        <v>0</v>
      </c>
      <c r="J77" s="256">
        <f ca="1">'Resultater - Vestdanmark'!J77+'Resultater - Østdanmark'!J77</f>
        <v>-49176.242269881506</v>
      </c>
    </row>
    <row r="78" spans="1:10" x14ac:dyDescent="0.25">
      <c r="A78" s="94" t="str">
        <f>'Resultater - Vestdanmark'!A78</f>
        <v>Skovproduktion</v>
      </c>
      <c r="B78" s="94" t="str">
        <f>'Resultater - Vestdanmark'!B78</f>
        <v/>
      </c>
      <c r="C78" s="94" t="str">
        <f>'Resultater - Vestdanmark'!C78</f>
        <v>Skovtype4</v>
      </c>
      <c r="D78" s="94" t="str">
        <f>'Resultater - Vestdanmark'!D78</f>
        <v>Areal-skovtype4-40</v>
      </c>
      <c r="E78" s="94" t="str">
        <f>'Resultater - Vestdanmark'!E78</f>
        <v>Hektar</v>
      </c>
      <c r="F78" s="94" t="str">
        <f>'Resultater - Vestdanmark'!F78</f>
        <v>CO2 - HWP</v>
      </c>
      <c r="G78" s="94" t="str">
        <f>'Resultater - Vestdanmark'!G78</f>
        <v>t CO2-ækvivalenter</v>
      </c>
      <c r="H78" s="254">
        <f ca="1">'Resultater - Vestdanmark'!H78+'Resultater - Østdanmark'!H78</f>
        <v>0</v>
      </c>
      <c r="I78" s="255">
        <f ca="1">'Resultater - Vestdanmark'!I78+'Resultater - Østdanmark'!I78</f>
        <v>0</v>
      </c>
      <c r="J78" s="256">
        <f ca="1">'Resultater - Vestdanmark'!J78+'Resultater - Østdanmark'!J78</f>
        <v>-13462.274467546747</v>
      </c>
    </row>
    <row r="79" spans="1:10" x14ac:dyDescent="0.25">
      <c r="A79" s="94" t="str">
        <f>'Resultater - Vestdanmark'!A79</f>
        <v>Skovproduktion</v>
      </c>
      <c r="B79" s="94" t="str">
        <f>'Resultater - Vestdanmark'!B79</f>
        <v/>
      </c>
      <c r="C79" s="94" t="str">
        <f>'Resultater - Vestdanmark'!C79</f>
        <v>Skovtype5</v>
      </c>
      <c r="D79" s="94" t="str">
        <f>'Resultater - Vestdanmark'!D79</f>
        <v>Areal-skovtype5-10</v>
      </c>
      <c r="E79" s="94" t="str">
        <f>'Resultater - Vestdanmark'!E79</f>
        <v>Hektar</v>
      </c>
      <c r="F79" s="94" t="str">
        <f>'Resultater - Vestdanmark'!F79</f>
        <v>Træer</v>
      </c>
      <c r="G79" s="94" t="str">
        <f>'Resultater - Vestdanmark'!G79</f>
        <v>m3</v>
      </c>
      <c r="H79" s="254">
        <f ca="1">'Resultater - Vestdanmark'!H79+'Resultater - Østdanmark'!H79</f>
        <v>0</v>
      </c>
      <c r="I79" s="255">
        <f ca="1">'Resultater - Vestdanmark'!I79+'Resultater - Østdanmark'!I79</f>
        <v>0</v>
      </c>
      <c r="J79" s="256">
        <f ca="1">'Resultater - Vestdanmark'!J79+'Resultater - Østdanmark'!J79</f>
        <v>0</v>
      </c>
    </row>
    <row r="80" spans="1:10" x14ac:dyDescent="0.25">
      <c r="A80" s="94" t="str">
        <f>'Resultater - Vestdanmark'!A80</f>
        <v>Skovproduktion</v>
      </c>
      <c r="B80" s="94" t="str">
        <f>'Resultater - Vestdanmark'!B80</f>
        <v/>
      </c>
      <c r="C80" s="94" t="str">
        <f>'Resultater - Vestdanmark'!C80</f>
        <v>Skovtype5</v>
      </c>
      <c r="D80" s="94" t="str">
        <f>'Resultater - Vestdanmark'!D80</f>
        <v>Areal-skovtype5-10</v>
      </c>
      <c r="E80" s="94" t="str">
        <f>'Resultater - Vestdanmark'!E80</f>
        <v>Hektar</v>
      </c>
      <c r="F80" s="94" t="str">
        <f>'Resultater - Vestdanmark'!F80</f>
        <v>Træ til energi</v>
      </c>
      <c r="G80" s="94" t="str">
        <f>'Resultater - Vestdanmark'!G80</f>
        <v>m3</v>
      </c>
      <c r="H80" s="254">
        <f ca="1">'Resultater - Vestdanmark'!H80+'Resultater - Østdanmark'!H80</f>
        <v>0</v>
      </c>
      <c r="I80" s="255">
        <f ca="1">'Resultater - Vestdanmark'!I80+'Resultater - Østdanmark'!I80</f>
        <v>0</v>
      </c>
      <c r="J80" s="256">
        <f ca="1">'Resultater - Vestdanmark'!J80+'Resultater - Østdanmark'!J80</f>
        <v>0</v>
      </c>
    </row>
    <row r="81" spans="1:10" x14ac:dyDescent="0.25">
      <c r="A81" s="94" t="str">
        <f>'Resultater - Vestdanmark'!A81</f>
        <v>Skovproduktion</v>
      </c>
      <c r="B81" s="94" t="str">
        <f>'Resultater - Vestdanmark'!B81</f>
        <v/>
      </c>
      <c r="C81" s="94" t="str">
        <f>'Resultater - Vestdanmark'!C81</f>
        <v>Skovtype5</v>
      </c>
      <c r="D81" s="94" t="str">
        <f>'Resultater - Vestdanmark'!D81</f>
        <v>Areal-skovtype5-10</v>
      </c>
      <c r="E81" s="94" t="str">
        <f>'Resultater - Vestdanmark'!E81</f>
        <v>Hektar</v>
      </c>
      <c r="F81" s="94" t="str">
        <f>'Resultater - Vestdanmark'!F81</f>
        <v>CO2 - atmosfære</v>
      </c>
      <c r="G81" s="94" t="str">
        <f>'Resultater - Vestdanmark'!G81</f>
        <v>t CO2-ækvivalenter</v>
      </c>
      <c r="H81" s="254">
        <f ca="1">'Resultater - Vestdanmark'!H81+'Resultater - Østdanmark'!H81</f>
        <v>0</v>
      </c>
      <c r="I81" s="255">
        <f ca="1">'Resultater - Vestdanmark'!I81+'Resultater - Østdanmark'!I81</f>
        <v>0</v>
      </c>
      <c r="J81" s="256">
        <f ca="1">'Resultater - Vestdanmark'!J81+'Resultater - Østdanmark'!J81</f>
        <v>0</v>
      </c>
    </row>
    <row r="82" spans="1:10" x14ac:dyDescent="0.25">
      <c r="A82" s="94" t="str">
        <f>'Resultater - Vestdanmark'!A82</f>
        <v>Skovproduktion</v>
      </c>
      <c r="B82" s="94" t="str">
        <f>'Resultater - Vestdanmark'!B82</f>
        <v/>
      </c>
      <c r="C82" s="94" t="str">
        <f>'Resultater - Vestdanmark'!C82</f>
        <v>Skovtype5</v>
      </c>
      <c r="D82" s="94" t="str">
        <f>'Resultater - Vestdanmark'!D82</f>
        <v>Areal-skovtype5-10</v>
      </c>
      <c r="E82" s="94" t="str">
        <f>'Resultater - Vestdanmark'!E82</f>
        <v>Hektar</v>
      </c>
      <c r="F82" s="94" t="str">
        <f>'Resultater - Vestdanmark'!F82</f>
        <v>CO2 - HWP</v>
      </c>
      <c r="G82" s="94" t="str">
        <f>'Resultater - Vestdanmark'!G82</f>
        <v>t CO2-ækvivalenter</v>
      </c>
      <c r="H82" s="254">
        <f ca="1">'Resultater - Vestdanmark'!H82+'Resultater - Østdanmark'!H82</f>
        <v>0</v>
      </c>
      <c r="I82" s="255">
        <f ca="1">'Resultater - Vestdanmark'!I82+'Resultater - Østdanmark'!I82</f>
        <v>0</v>
      </c>
      <c r="J82" s="256">
        <f ca="1">'Resultater - Vestdanmark'!J82+'Resultater - Østdanmark'!J82</f>
        <v>0</v>
      </c>
    </row>
    <row r="83" spans="1:10" x14ac:dyDescent="0.25">
      <c r="A83" s="94" t="str">
        <f>'Resultater - Vestdanmark'!A83</f>
        <v>Skovproduktion</v>
      </c>
      <c r="B83" s="94" t="str">
        <f>'Resultater - Vestdanmark'!B83</f>
        <v/>
      </c>
      <c r="C83" s="94" t="str">
        <f>'Resultater - Vestdanmark'!C83</f>
        <v>Skovtype5</v>
      </c>
      <c r="D83" s="94" t="str">
        <f>'Resultater - Vestdanmark'!D83</f>
        <v>Areal-skovtype5-20</v>
      </c>
      <c r="E83" s="94" t="str">
        <f>'Resultater - Vestdanmark'!E83</f>
        <v>Hektar</v>
      </c>
      <c r="F83" s="94" t="str">
        <f>'Resultater - Vestdanmark'!F83</f>
        <v>Træer</v>
      </c>
      <c r="G83" s="94" t="str">
        <f>'Resultater - Vestdanmark'!G83</f>
        <v>m3</v>
      </c>
      <c r="H83" s="254">
        <f ca="1">'Resultater - Vestdanmark'!H83+'Resultater - Østdanmark'!H83</f>
        <v>0</v>
      </c>
      <c r="I83" s="255">
        <f ca="1">'Resultater - Vestdanmark'!I83+'Resultater - Østdanmark'!I83</f>
        <v>0</v>
      </c>
      <c r="J83" s="256">
        <f ca="1">'Resultater - Vestdanmark'!J83+'Resultater - Østdanmark'!J83</f>
        <v>0</v>
      </c>
    </row>
    <row r="84" spans="1:10" x14ac:dyDescent="0.25">
      <c r="A84" s="94" t="str">
        <f>'Resultater - Vestdanmark'!A84</f>
        <v>Skovproduktion</v>
      </c>
      <c r="B84" s="94" t="str">
        <f>'Resultater - Vestdanmark'!B84</f>
        <v/>
      </c>
      <c r="C84" s="94" t="str">
        <f>'Resultater - Vestdanmark'!C84</f>
        <v>Skovtype5</v>
      </c>
      <c r="D84" s="94" t="str">
        <f>'Resultater - Vestdanmark'!D84</f>
        <v>Areal-skovtype5-20</v>
      </c>
      <c r="E84" s="94" t="str">
        <f>'Resultater - Vestdanmark'!E84</f>
        <v>Hektar</v>
      </c>
      <c r="F84" s="94" t="str">
        <f>'Resultater - Vestdanmark'!F84</f>
        <v>Træ til energi</v>
      </c>
      <c r="G84" s="94" t="str">
        <f>'Resultater - Vestdanmark'!G84</f>
        <v>m3</v>
      </c>
      <c r="H84" s="254">
        <f ca="1">'Resultater - Vestdanmark'!H84+'Resultater - Østdanmark'!H84</f>
        <v>0</v>
      </c>
      <c r="I84" s="255">
        <f ca="1">'Resultater - Vestdanmark'!I84+'Resultater - Østdanmark'!I84</f>
        <v>0</v>
      </c>
      <c r="J84" s="256">
        <f ca="1">'Resultater - Vestdanmark'!J84+'Resultater - Østdanmark'!J84</f>
        <v>0</v>
      </c>
    </row>
    <row r="85" spans="1:10" x14ac:dyDescent="0.25">
      <c r="A85" s="94" t="str">
        <f>'Resultater - Vestdanmark'!A85</f>
        <v>Skovproduktion</v>
      </c>
      <c r="B85" s="94" t="str">
        <f>'Resultater - Vestdanmark'!B85</f>
        <v/>
      </c>
      <c r="C85" s="94" t="str">
        <f>'Resultater - Vestdanmark'!C85</f>
        <v>Skovtype5</v>
      </c>
      <c r="D85" s="94" t="str">
        <f>'Resultater - Vestdanmark'!D85</f>
        <v>Areal-skovtype5-20</v>
      </c>
      <c r="E85" s="94" t="str">
        <f>'Resultater - Vestdanmark'!E85</f>
        <v>Hektar</v>
      </c>
      <c r="F85" s="94" t="str">
        <f>'Resultater - Vestdanmark'!F85</f>
        <v>CO2 - atmosfære</v>
      </c>
      <c r="G85" s="94" t="str">
        <f>'Resultater - Vestdanmark'!G85</f>
        <v>t CO2-ækvivalenter</v>
      </c>
      <c r="H85" s="254">
        <f ca="1">'Resultater - Vestdanmark'!H85+'Resultater - Østdanmark'!H85</f>
        <v>0</v>
      </c>
      <c r="I85" s="255">
        <f ca="1">'Resultater - Vestdanmark'!I85+'Resultater - Østdanmark'!I85</f>
        <v>0</v>
      </c>
      <c r="J85" s="256">
        <f ca="1">'Resultater - Vestdanmark'!J85+'Resultater - Østdanmark'!J85</f>
        <v>0</v>
      </c>
    </row>
    <row r="86" spans="1:10" x14ac:dyDescent="0.25">
      <c r="A86" s="94" t="str">
        <f>'Resultater - Vestdanmark'!A86</f>
        <v>Skovproduktion</v>
      </c>
      <c r="B86" s="94" t="str">
        <f>'Resultater - Vestdanmark'!B86</f>
        <v/>
      </c>
      <c r="C86" s="94" t="str">
        <f>'Resultater - Vestdanmark'!C86</f>
        <v>Skovtype5</v>
      </c>
      <c r="D86" s="94" t="str">
        <f>'Resultater - Vestdanmark'!D86</f>
        <v>Areal-skovtype5-20</v>
      </c>
      <c r="E86" s="94" t="str">
        <f>'Resultater - Vestdanmark'!E86</f>
        <v>Hektar</v>
      </c>
      <c r="F86" s="94" t="str">
        <f>'Resultater - Vestdanmark'!F86</f>
        <v>CO2 - HWP</v>
      </c>
      <c r="G86" s="94" t="str">
        <f>'Resultater - Vestdanmark'!G86</f>
        <v>t CO2-ækvivalenter</v>
      </c>
      <c r="H86" s="254">
        <f ca="1">'Resultater - Vestdanmark'!H86+'Resultater - Østdanmark'!H86</f>
        <v>0</v>
      </c>
      <c r="I86" s="255">
        <f ca="1">'Resultater - Vestdanmark'!I86+'Resultater - Østdanmark'!I86</f>
        <v>0</v>
      </c>
      <c r="J86" s="256">
        <f ca="1">'Resultater - Vestdanmark'!J86+'Resultater - Østdanmark'!J86</f>
        <v>0</v>
      </c>
    </row>
    <row r="87" spans="1:10" x14ac:dyDescent="0.25">
      <c r="A87" s="94" t="str">
        <f>'Resultater - Vestdanmark'!A87</f>
        <v>Skovproduktion</v>
      </c>
      <c r="B87" s="94" t="str">
        <f>'Resultater - Vestdanmark'!B87</f>
        <v/>
      </c>
      <c r="C87" s="94" t="str">
        <f>'Resultater - Vestdanmark'!C87</f>
        <v>Skovtype5</v>
      </c>
      <c r="D87" s="94" t="str">
        <f>'Resultater - Vestdanmark'!D87</f>
        <v>Areal-skovtype5-30</v>
      </c>
      <c r="E87" s="94" t="str">
        <f>'Resultater - Vestdanmark'!E87</f>
        <v>Hektar</v>
      </c>
      <c r="F87" s="94" t="str">
        <f>'Resultater - Vestdanmark'!F87</f>
        <v>Træer</v>
      </c>
      <c r="G87" s="94" t="str">
        <f>'Resultater - Vestdanmark'!G87</f>
        <v>m3</v>
      </c>
      <c r="H87" s="254">
        <f ca="1">'Resultater - Vestdanmark'!H87+'Resultater - Østdanmark'!H87</f>
        <v>0</v>
      </c>
      <c r="I87" s="255">
        <f ca="1">'Resultater - Vestdanmark'!I87+'Resultater - Østdanmark'!I87</f>
        <v>0</v>
      </c>
      <c r="J87" s="256">
        <f ca="1">'Resultater - Vestdanmark'!J87+'Resultater - Østdanmark'!J87</f>
        <v>0</v>
      </c>
    </row>
    <row r="88" spans="1:10" x14ac:dyDescent="0.25">
      <c r="A88" s="94" t="str">
        <f>'Resultater - Vestdanmark'!A88</f>
        <v>Skovproduktion</v>
      </c>
      <c r="B88" s="94" t="str">
        <f>'Resultater - Vestdanmark'!B88</f>
        <v/>
      </c>
      <c r="C88" s="94" t="str">
        <f>'Resultater - Vestdanmark'!C88</f>
        <v>Skovtype5</v>
      </c>
      <c r="D88" s="94" t="str">
        <f>'Resultater - Vestdanmark'!D88</f>
        <v>Areal-skovtype5-30</v>
      </c>
      <c r="E88" s="94" t="str">
        <f>'Resultater - Vestdanmark'!E88</f>
        <v>Hektar</v>
      </c>
      <c r="F88" s="94" t="str">
        <f>'Resultater - Vestdanmark'!F88</f>
        <v>Træ til energi</v>
      </c>
      <c r="G88" s="94" t="str">
        <f>'Resultater - Vestdanmark'!G88</f>
        <v>m3</v>
      </c>
      <c r="H88" s="254">
        <f ca="1">'Resultater - Vestdanmark'!H88+'Resultater - Østdanmark'!H88</f>
        <v>0</v>
      </c>
      <c r="I88" s="255">
        <f ca="1">'Resultater - Vestdanmark'!I88+'Resultater - Østdanmark'!I88</f>
        <v>0</v>
      </c>
      <c r="J88" s="256">
        <f ca="1">'Resultater - Vestdanmark'!J88+'Resultater - Østdanmark'!J88</f>
        <v>0</v>
      </c>
    </row>
    <row r="89" spans="1:10" x14ac:dyDescent="0.25">
      <c r="A89" s="94" t="str">
        <f>'Resultater - Vestdanmark'!A89</f>
        <v>Skovproduktion</v>
      </c>
      <c r="B89" s="94" t="str">
        <f>'Resultater - Vestdanmark'!B89</f>
        <v/>
      </c>
      <c r="C89" s="94" t="str">
        <f>'Resultater - Vestdanmark'!C89</f>
        <v>Skovtype5</v>
      </c>
      <c r="D89" s="94" t="str">
        <f>'Resultater - Vestdanmark'!D89</f>
        <v>Areal-skovtype5-30</v>
      </c>
      <c r="E89" s="94" t="str">
        <f>'Resultater - Vestdanmark'!E89</f>
        <v>Hektar</v>
      </c>
      <c r="F89" s="94" t="str">
        <f>'Resultater - Vestdanmark'!F89</f>
        <v>CO2 - atmosfære</v>
      </c>
      <c r="G89" s="94" t="str">
        <f>'Resultater - Vestdanmark'!G89</f>
        <v>t CO2-ækvivalenter</v>
      </c>
      <c r="H89" s="254">
        <f ca="1">'Resultater - Vestdanmark'!H89+'Resultater - Østdanmark'!H89</f>
        <v>0</v>
      </c>
      <c r="I89" s="255">
        <f ca="1">'Resultater - Vestdanmark'!I89+'Resultater - Østdanmark'!I89</f>
        <v>0</v>
      </c>
      <c r="J89" s="256">
        <f ca="1">'Resultater - Vestdanmark'!J89+'Resultater - Østdanmark'!J89</f>
        <v>0</v>
      </c>
    </row>
    <row r="90" spans="1:10" x14ac:dyDescent="0.25">
      <c r="A90" s="94" t="str">
        <f>'Resultater - Vestdanmark'!A90</f>
        <v>Skovproduktion</v>
      </c>
      <c r="B90" s="94" t="str">
        <f>'Resultater - Vestdanmark'!B90</f>
        <v/>
      </c>
      <c r="C90" s="94" t="str">
        <f>'Resultater - Vestdanmark'!C90</f>
        <v>Skovtype5</v>
      </c>
      <c r="D90" s="94" t="str">
        <f>'Resultater - Vestdanmark'!D90</f>
        <v>Areal-skovtype5-30</v>
      </c>
      <c r="E90" s="94" t="str">
        <f>'Resultater - Vestdanmark'!E90</f>
        <v>Hektar</v>
      </c>
      <c r="F90" s="94" t="str">
        <f>'Resultater - Vestdanmark'!F90</f>
        <v>CO2 - HWP</v>
      </c>
      <c r="G90" s="94" t="str">
        <f>'Resultater - Vestdanmark'!G90</f>
        <v>t CO2-ækvivalenter</v>
      </c>
      <c r="H90" s="254">
        <f ca="1">'Resultater - Vestdanmark'!H90+'Resultater - Østdanmark'!H90</f>
        <v>0</v>
      </c>
      <c r="I90" s="255">
        <f ca="1">'Resultater - Vestdanmark'!I90+'Resultater - Østdanmark'!I90</f>
        <v>0</v>
      </c>
      <c r="J90" s="256">
        <f ca="1">'Resultater - Vestdanmark'!J90+'Resultater - Østdanmark'!J90</f>
        <v>0</v>
      </c>
    </row>
    <row r="91" spans="1:10" x14ac:dyDescent="0.25">
      <c r="A91" s="94" t="str">
        <f>'Resultater - Vestdanmark'!A91</f>
        <v>Skovproduktion</v>
      </c>
      <c r="B91" s="94" t="str">
        <f>'Resultater - Vestdanmark'!B91</f>
        <v/>
      </c>
      <c r="C91" s="94" t="str">
        <f>'Resultater - Vestdanmark'!C91</f>
        <v>Skovtype5</v>
      </c>
      <c r="D91" s="94" t="str">
        <f>'Resultater - Vestdanmark'!D91</f>
        <v>Areal-skovtype5-40</v>
      </c>
      <c r="E91" s="94" t="str">
        <f>'Resultater - Vestdanmark'!E91</f>
        <v>Hektar</v>
      </c>
      <c r="F91" s="94" t="str">
        <f>'Resultater - Vestdanmark'!F91</f>
        <v>Træer</v>
      </c>
      <c r="G91" s="94" t="str">
        <f>'Resultater - Vestdanmark'!G91</f>
        <v>m3</v>
      </c>
      <c r="H91" s="254">
        <f ca="1">'Resultater - Vestdanmark'!H91+'Resultater - Østdanmark'!H91</f>
        <v>0</v>
      </c>
      <c r="I91" s="255">
        <f ca="1">'Resultater - Vestdanmark'!I91+'Resultater - Østdanmark'!I91</f>
        <v>0</v>
      </c>
      <c r="J91" s="256">
        <f ca="1">'Resultater - Vestdanmark'!J91+'Resultater - Østdanmark'!J91</f>
        <v>0</v>
      </c>
    </row>
    <row r="92" spans="1:10" x14ac:dyDescent="0.25">
      <c r="A92" s="94" t="str">
        <f>'Resultater - Vestdanmark'!A92</f>
        <v>Skovproduktion</v>
      </c>
      <c r="B92" s="94" t="str">
        <f>'Resultater - Vestdanmark'!B92</f>
        <v/>
      </c>
      <c r="C92" s="94" t="str">
        <f>'Resultater - Vestdanmark'!C92</f>
        <v>Skovtype5</v>
      </c>
      <c r="D92" s="94" t="str">
        <f>'Resultater - Vestdanmark'!D92</f>
        <v>Areal-skovtype5-40</v>
      </c>
      <c r="E92" s="94" t="str">
        <f>'Resultater - Vestdanmark'!E92</f>
        <v>Hektar</v>
      </c>
      <c r="F92" s="94" t="str">
        <f>'Resultater - Vestdanmark'!F92</f>
        <v>Træ til energi</v>
      </c>
      <c r="G92" s="94" t="str">
        <f>'Resultater - Vestdanmark'!G92</f>
        <v>m3</v>
      </c>
      <c r="H92" s="254">
        <f ca="1">'Resultater - Vestdanmark'!H92+'Resultater - Østdanmark'!H92</f>
        <v>0</v>
      </c>
      <c r="I92" s="255">
        <f ca="1">'Resultater - Vestdanmark'!I92+'Resultater - Østdanmark'!I92</f>
        <v>0</v>
      </c>
      <c r="J92" s="256">
        <f ca="1">'Resultater - Vestdanmark'!J92+'Resultater - Østdanmark'!J92</f>
        <v>0</v>
      </c>
    </row>
    <row r="93" spans="1:10" x14ac:dyDescent="0.25">
      <c r="A93" s="94" t="str">
        <f>'Resultater - Vestdanmark'!A93</f>
        <v>Skovproduktion</v>
      </c>
      <c r="B93" s="94" t="str">
        <f>'Resultater - Vestdanmark'!B93</f>
        <v/>
      </c>
      <c r="C93" s="94" t="str">
        <f>'Resultater - Vestdanmark'!C93</f>
        <v>Skovtype5</v>
      </c>
      <c r="D93" s="94" t="str">
        <f>'Resultater - Vestdanmark'!D93</f>
        <v>Areal-skovtype5-40</v>
      </c>
      <c r="E93" s="94" t="str">
        <f>'Resultater - Vestdanmark'!E93</f>
        <v>Hektar</v>
      </c>
      <c r="F93" s="94" t="str">
        <f>'Resultater - Vestdanmark'!F93</f>
        <v>CO2 - atmosfære</v>
      </c>
      <c r="G93" s="94" t="str">
        <f>'Resultater - Vestdanmark'!G93</f>
        <v>t CO2-ækvivalenter</v>
      </c>
      <c r="H93" s="254">
        <f ca="1">'Resultater - Vestdanmark'!H93+'Resultater - Østdanmark'!H93</f>
        <v>0</v>
      </c>
      <c r="I93" s="255">
        <f ca="1">'Resultater - Vestdanmark'!I93+'Resultater - Østdanmark'!I93</f>
        <v>0</v>
      </c>
      <c r="J93" s="256">
        <f ca="1">'Resultater - Vestdanmark'!J93+'Resultater - Østdanmark'!J93</f>
        <v>0</v>
      </c>
    </row>
    <row r="94" spans="1:10" x14ac:dyDescent="0.25">
      <c r="A94" s="94" t="str">
        <f>'Resultater - Vestdanmark'!A94</f>
        <v>Skovproduktion</v>
      </c>
      <c r="B94" s="94" t="str">
        <f>'Resultater - Vestdanmark'!B94</f>
        <v/>
      </c>
      <c r="C94" s="94" t="str">
        <f>'Resultater - Vestdanmark'!C94</f>
        <v>Skovtype5</v>
      </c>
      <c r="D94" s="94" t="str">
        <f>'Resultater - Vestdanmark'!D94</f>
        <v>Areal-skovtype5-40</v>
      </c>
      <c r="E94" s="94" t="str">
        <f>'Resultater - Vestdanmark'!E94</f>
        <v>Hektar</v>
      </c>
      <c r="F94" s="94" t="str">
        <f>'Resultater - Vestdanmark'!F94</f>
        <v>CO2 - HWP</v>
      </c>
      <c r="G94" s="94" t="str">
        <f>'Resultater - Vestdanmark'!G94</f>
        <v>t CO2-ækvivalenter</v>
      </c>
      <c r="H94" s="254">
        <f ca="1">'Resultater - Vestdanmark'!H94+'Resultater - Østdanmark'!H94</f>
        <v>0</v>
      </c>
      <c r="I94" s="255">
        <f ca="1">'Resultater - Vestdanmark'!I94+'Resultater - Østdanmark'!I94</f>
        <v>0</v>
      </c>
      <c r="J94" s="256">
        <f ca="1">'Resultater - Vestdanmark'!J94+'Resultater - Østdanmark'!J94</f>
        <v>0</v>
      </c>
    </row>
    <row r="95" spans="1:10" x14ac:dyDescent="0.25">
      <c r="A95" s="94" t="str">
        <f>'Resultater - Vestdanmark'!A95</f>
        <v>Grisestald</v>
      </c>
      <c r="B95" s="94" t="str">
        <f>'Resultater - Vestdanmark'!B95</f>
        <v>Konventionel</v>
      </c>
      <c r="C95" s="94" t="str">
        <f>'Resultater - Vestdanmark'!C95</f>
        <v/>
      </c>
      <c r="D95" s="94" t="str">
        <f>'Resultater - Vestdanmark'!D95</f>
        <v>Svin</v>
      </c>
      <c r="E95" s="94" t="str">
        <f>'Resultater - Vestdanmark'!E95</f>
        <v>Antal</v>
      </c>
      <c r="F95" s="94" t="str">
        <f>'Resultater - Vestdanmark'!F95</f>
        <v>Slagtesvin</v>
      </c>
      <c r="G95" s="94" t="str">
        <f>'Resultater - Vestdanmark'!G95</f>
        <v>Antal</v>
      </c>
      <c r="H95" s="254">
        <f>'Resultater - Vestdanmark'!H95+'Resultater - Østdanmark'!H95</f>
        <v>16367972</v>
      </c>
      <c r="I95" s="255">
        <f>'Resultater - Vestdanmark'!I95+'Resultater - Østdanmark'!I95</f>
        <v>7064132.6848006118</v>
      </c>
      <c r="J95" s="256">
        <f>'Resultater - Vestdanmark'!J95+'Resultater - Østdanmark'!J95</f>
        <v>0</v>
      </c>
    </row>
    <row r="96" spans="1:10" x14ac:dyDescent="0.25">
      <c r="A96" s="94" t="str">
        <f>'Resultater - Vestdanmark'!A96</f>
        <v>Grisestald</v>
      </c>
      <c r="B96" s="94" t="str">
        <f>'Resultater - Vestdanmark'!B96</f>
        <v>Konventionel</v>
      </c>
      <c r="C96" s="94" t="str">
        <f>'Resultater - Vestdanmark'!C96</f>
        <v/>
      </c>
      <c r="D96" s="94" t="str">
        <f>'Resultater - Vestdanmark'!D96</f>
        <v>Svin</v>
      </c>
      <c r="E96" s="94" t="str">
        <f>'Resultater - Vestdanmark'!E96</f>
        <v>Antal</v>
      </c>
      <c r="F96" s="94" t="str">
        <f>'Resultater - Vestdanmark'!F96</f>
        <v>Svinegylle</v>
      </c>
      <c r="G96" s="94" t="str">
        <f>'Resultater - Vestdanmark'!G96</f>
        <v>Ton</v>
      </c>
      <c r="H96" s="254">
        <f>'Resultater - Vestdanmark'!H96+'Resultater - Østdanmark'!H96</f>
        <v>17657000</v>
      </c>
      <c r="I96" s="255">
        <f>'Resultater - Vestdanmark'!I96+'Resultater - Østdanmark'!I96</f>
        <v>7620454.8013354614</v>
      </c>
      <c r="J96" s="256">
        <f>'Resultater - Vestdanmark'!J96+'Resultater - Østdanmark'!J96</f>
        <v>0</v>
      </c>
    </row>
    <row r="97" spans="1:10" x14ac:dyDescent="0.25">
      <c r="A97" s="94" t="str">
        <f>'Resultater - Vestdanmark'!A97</f>
        <v>Grisestald</v>
      </c>
      <c r="B97" s="94" t="str">
        <f>'Resultater - Vestdanmark'!B97</f>
        <v>Konventionel</v>
      </c>
      <c r="C97" s="94" t="str">
        <f>'Resultater - Vestdanmark'!C97</f>
        <v/>
      </c>
      <c r="D97" s="94" t="str">
        <f>'Resultater - Vestdanmark'!D97</f>
        <v>Svin</v>
      </c>
      <c r="E97" s="94" t="str">
        <f>'Resultater - Vestdanmark'!E97</f>
        <v>Antal</v>
      </c>
      <c r="F97" s="94" t="str">
        <f>'Resultater - Vestdanmark'!F97</f>
        <v>Dybstrøelse</v>
      </c>
      <c r="G97" s="94" t="str">
        <f>'Resultater - Vestdanmark'!G97</f>
        <v>Ton</v>
      </c>
      <c r="H97" s="254">
        <f>'Resultater - Vestdanmark'!H97+'Resultater - Østdanmark'!H97</f>
        <v>2263500</v>
      </c>
      <c r="I97" s="255">
        <f>'Resultater - Vestdanmark'!I97+'Resultater - Østdanmark'!I97</f>
        <v>976887.32190195494</v>
      </c>
      <c r="J97" s="256">
        <f>'Resultater - Vestdanmark'!J97+'Resultater - Østdanmark'!J97</f>
        <v>0</v>
      </c>
    </row>
    <row r="98" spans="1:10" x14ac:dyDescent="0.25">
      <c r="A98" s="94" t="str">
        <f>'Resultater - Vestdanmark'!A98</f>
        <v>Grisestald</v>
      </c>
      <c r="B98" s="94" t="str">
        <f>'Resultater - Vestdanmark'!B98</f>
        <v>Konventionel</v>
      </c>
      <c r="C98" s="94" t="str">
        <f>'Resultater - Vestdanmark'!C98</f>
        <v/>
      </c>
      <c r="D98" s="94" t="str">
        <f>'Resultater - Vestdanmark'!D98</f>
        <v>Svin</v>
      </c>
      <c r="E98" s="94" t="str">
        <f>'Resultater - Vestdanmark'!E98</f>
        <v>Antal</v>
      </c>
      <c r="F98" s="94" t="str">
        <f>'Resultater - Vestdanmark'!F98</f>
        <v>Industriaffald</v>
      </c>
      <c r="G98" s="94" t="str">
        <f>'Resultater - Vestdanmark'!G98</f>
        <v>Ton</v>
      </c>
      <c r="H98" s="254">
        <f>'Resultater - Vestdanmark'!H98+'Resultater - Østdanmark'!H98</f>
        <v>185011.20708453766</v>
      </c>
      <c r="I98" s="255">
        <f>'Resultater - Vestdanmark'!I98+'Resultater - Østdanmark'!I98</f>
        <v>79847.626512331335</v>
      </c>
      <c r="J98" s="256">
        <f>'Resultater - Vestdanmark'!J98+'Resultater - Østdanmark'!J98</f>
        <v>0</v>
      </c>
    </row>
    <row r="99" spans="1:10" x14ac:dyDescent="0.25">
      <c r="A99" s="94" t="str">
        <f>'Resultater - Vestdanmark'!A99</f>
        <v>Grisestald</v>
      </c>
      <c r="B99" s="94" t="str">
        <f>'Resultater - Vestdanmark'!B99</f>
        <v>Konventionel</v>
      </c>
      <c r="C99" s="94" t="str">
        <f>'Resultater - Vestdanmark'!C99</f>
        <v/>
      </c>
      <c r="D99" s="94" t="str">
        <f>'Resultater - Vestdanmark'!D99</f>
        <v>Svin</v>
      </c>
      <c r="E99" s="94" t="str">
        <f>'Resultater - Vestdanmark'!E99</f>
        <v>Antal</v>
      </c>
      <c r="F99" s="94" t="str">
        <f>'Resultater - Vestdanmark'!F99</f>
        <v>Foder</v>
      </c>
      <c r="G99" s="94" t="str">
        <f>'Resultater - Vestdanmark'!G99</f>
        <v>FE</v>
      </c>
      <c r="H99" s="254">
        <f>'Resultater - Vestdanmark'!H99+'Resultater - Østdanmark'!H99</f>
        <v>-10101447931.960001</v>
      </c>
      <c r="I99" s="255">
        <f>'Resultater - Vestdanmark'!I99+'Resultater - Østdanmark'!I99</f>
        <v>-4359609638.8709717</v>
      </c>
      <c r="J99" s="256">
        <f>'Resultater - Vestdanmark'!J99+'Resultater - Østdanmark'!J99</f>
        <v>0</v>
      </c>
    </row>
    <row r="100" spans="1:10" x14ac:dyDescent="0.25">
      <c r="A100" s="94" t="str">
        <f>'Resultater - Vestdanmark'!A100</f>
        <v>Grisestald</v>
      </c>
      <c r="B100" s="94" t="str">
        <f>'Resultater - Vestdanmark'!B100</f>
        <v>Konventionel</v>
      </c>
      <c r="C100" s="94" t="str">
        <f>'Resultater - Vestdanmark'!C100</f>
        <v/>
      </c>
      <c r="D100" s="94" t="str">
        <f>'Resultater - Vestdanmark'!D100</f>
        <v>Svin</v>
      </c>
      <c r="E100" s="94" t="str">
        <f>'Resultater - Vestdanmark'!E100</f>
        <v>Antal</v>
      </c>
      <c r="F100" s="94" t="str">
        <f>'Resultater - Vestdanmark'!F100</f>
        <v>Halm</v>
      </c>
      <c r="G100" s="94" t="str">
        <f>'Resultater - Vestdanmark'!G100</f>
        <v>Ton</v>
      </c>
      <c r="H100" s="254">
        <f>'Resultater - Vestdanmark'!H100+'Resultater - Østdanmark'!H100</f>
        <v>-775790.06759999995</v>
      </c>
      <c r="I100" s="255">
        <f>'Resultater - Vestdanmark'!I100+'Resultater - Østdanmark'!I100</f>
        <v>-334817.53103419504</v>
      </c>
      <c r="J100" s="256">
        <f>'Resultater - Vestdanmark'!J100+'Resultater - Østdanmark'!J100</f>
        <v>0</v>
      </c>
    </row>
    <row r="101" spans="1:10" x14ac:dyDescent="0.25">
      <c r="A101" s="94" t="str">
        <f>'Resultater - Vestdanmark'!A101</f>
        <v>Grisestald</v>
      </c>
      <c r="B101" s="94" t="str">
        <f>'Resultater - Vestdanmark'!B101</f>
        <v>Konventionel</v>
      </c>
      <c r="C101" s="94" t="str">
        <f>'Resultater - Vestdanmark'!C101</f>
        <v/>
      </c>
      <c r="D101" s="94" t="str">
        <f>'Resultater - Vestdanmark'!D101</f>
        <v>Svin</v>
      </c>
      <c r="E101" s="94" t="str">
        <f>'Resultater - Vestdanmark'!E101</f>
        <v>Antal</v>
      </c>
      <c r="F101" s="94" t="str">
        <f>'Resultater - Vestdanmark'!F101</f>
        <v>CO2 - atmosfære</v>
      </c>
      <c r="G101" s="94" t="str">
        <f>'Resultater - Vestdanmark'!G101</f>
        <v>t CO2-ækvivalenter</v>
      </c>
      <c r="H101" s="254">
        <f>'Resultater - Vestdanmark'!H101+'Resultater - Østdanmark'!H101</f>
        <v>1322792.8112606632</v>
      </c>
      <c r="I101" s="255">
        <f>'Resultater - Vestdanmark'!I101+'Resultater - Østdanmark'!I101</f>
        <v>570894.42316040967</v>
      </c>
      <c r="J101" s="256">
        <f>'Resultater - Vestdanmark'!J101+'Resultater - Østdanmark'!J101</f>
        <v>0</v>
      </c>
    </row>
    <row r="102" spans="1:10" x14ac:dyDescent="0.25">
      <c r="A102" s="94" t="str">
        <f>'Resultater - Vestdanmark'!A102</f>
        <v>Grisestald</v>
      </c>
      <c r="B102" s="94" t="str">
        <f>'Resultater - Vestdanmark'!B102</f>
        <v>Økologisk</v>
      </c>
      <c r="C102" s="94" t="str">
        <f>'Resultater - Vestdanmark'!C102</f>
        <v/>
      </c>
      <c r="D102" s="94" t="str">
        <f>'Resultater - Vestdanmark'!D102</f>
        <v>Svin</v>
      </c>
      <c r="E102" s="94" t="str">
        <f>'Resultater - Vestdanmark'!E102</f>
        <v>Antal</v>
      </c>
      <c r="F102" s="94" t="str">
        <f>'Resultater - Vestdanmark'!F102</f>
        <v>Slagtesvin</v>
      </c>
      <c r="G102" s="94" t="str">
        <f>'Resultater - Vestdanmark'!G102</f>
        <v>Antal</v>
      </c>
      <c r="H102" s="254">
        <f>'Resultater - Vestdanmark'!H102+'Resultater - Østdanmark'!H102</f>
        <v>232028</v>
      </c>
      <c r="I102" s="255">
        <f>'Resultater - Vestdanmark'!I102+'Resultater - Østdanmark'!I102</f>
        <v>1479958.8767381907</v>
      </c>
      <c r="J102" s="256">
        <f>'Resultater - Vestdanmark'!J102+'Resultater - Østdanmark'!J102</f>
        <v>389755.44795564236</v>
      </c>
    </row>
    <row r="103" spans="1:10" x14ac:dyDescent="0.25">
      <c r="A103" s="94" t="str">
        <f>'Resultater - Vestdanmark'!A103</f>
        <v>Grisestald</v>
      </c>
      <c r="B103" s="94" t="str">
        <f>'Resultater - Vestdanmark'!B103</f>
        <v>Økologisk</v>
      </c>
      <c r="C103" s="94" t="str">
        <f>'Resultater - Vestdanmark'!C103</f>
        <v/>
      </c>
      <c r="D103" s="94" t="str">
        <f>'Resultater - Vestdanmark'!D103</f>
        <v>Svin</v>
      </c>
      <c r="E103" s="94" t="str">
        <f>'Resultater - Vestdanmark'!E103</f>
        <v>Antal</v>
      </c>
      <c r="F103" s="94" t="str">
        <f>'Resultater - Vestdanmark'!F103</f>
        <v>Svinegylle</v>
      </c>
      <c r="G103" s="94" t="str">
        <f>'Resultater - Vestdanmark'!G103</f>
        <v>Ton</v>
      </c>
      <c r="H103" s="254">
        <f>'Resultater - Vestdanmark'!H103+'Resultater - Østdanmark'!H103</f>
        <v>0</v>
      </c>
      <c r="I103" s="255">
        <f>'Resultater - Vestdanmark'!I103+'Resultater - Østdanmark'!I103</f>
        <v>0</v>
      </c>
      <c r="J103" s="256">
        <f>'Resultater - Vestdanmark'!J103+'Resultater - Østdanmark'!J103</f>
        <v>0</v>
      </c>
    </row>
    <row r="104" spans="1:10" x14ac:dyDescent="0.25">
      <c r="A104" s="94" t="str">
        <f>'Resultater - Vestdanmark'!A104</f>
        <v>Grisestald</v>
      </c>
      <c r="B104" s="94" t="str">
        <f>'Resultater - Vestdanmark'!B104</f>
        <v>Økologisk</v>
      </c>
      <c r="C104" s="94" t="str">
        <f>'Resultater - Vestdanmark'!C104</f>
        <v/>
      </c>
      <c r="D104" s="94" t="str">
        <f>'Resultater - Vestdanmark'!D104</f>
        <v>Svin</v>
      </c>
      <c r="E104" s="94" t="str">
        <f>'Resultater - Vestdanmark'!E104</f>
        <v>Antal</v>
      </c>
      <c r="F104" s="94" t="str">
        <f>'Resultater - Vestdanmark'!F104</f>
        <v>Dybstrøelse</v>
      </c>
      <c r="G104" s="94" t="str">
        <f>'Resultater - Vestdanmark'!G104</f>
        <v>Ton</v>
      </c>
      <c r="H104" s="254">
        <f>'Resultater - Vestdanmark'!H104+'Resultater - Østdanmark'!H104</f>
        <v>251500.00000000003</v>
      </c>
      <c r="I104" s="255">
        <f>'Resultater - Vestdanmark'!I104+'Resultater - Østdanmark'!I104</f>
        <v>1604158.366661157</v>
      </c>
      <c r="J104" s="256">
        <f>'Resultater - Vestdanmark'!J104+'Resultater - Østdanmark'!J104</f>
        <v>422464.07830453239</v>
      </c>
    </row>
    <row r="105" spans="1:10" x14ac:dyDescent="0.25">
      <c r="A105" s="94" t="str">
        <f>'Resultater - Vestdanmark'!A105</f>
        <v>Grisestald</v>
      </c>
      <c r="B105" s="94" t="str">
        <f>'Resultater - Vestdanmark'!B105</f>
        <v>Økologisk</v>
      </c>
      <c r="C105" s="94" t="str">
        <f>'Resultater - Vestdanmark'!C105</f>
        <v/>
      </c>
      <c r="D105" s="94" t="str">
        <f>'Resultater - Vestdanmark'!D105</f>
        <v>Svin</v>
      </c>
      <c r="E105" s="94" t="str">
        <f>'Resultater - Vestdanmark'!E105</f>
        <v>Antal</v>
      </c>
      <c r="F105" s="94" t="str">
        <f>'Resultater - Vestdanmark'!F105</f>
        <v>Industriaffald</v>
      </c>
      <c r="G105" s="94" t="str">
        <f>'Resultater - Vestdanmark'!G105</f>
        <v>Ton</v>
      </c>
      <c r="H105" s="254">
        <f>'Resultater - Vestdanmark'!H105+'Resultater - Østdanmark'!H105</f>
        <v>7691.8969154623392</v>
      </c>
      <c r="I105" s="255">
        <f>'Resultater - Vestdanmark'!I105+'Resultater - Østdanmark'!I105</f>
        <v>49061.71289238194</v>
      </c>
      <c r="J105" s="256">
        <f>'Resultater - Vestdanmark'!J105+'Resultater - Østdanmark'!J105</f>
        <v>12920.676504191943</v>
      </c>
    </row>
    <row r="106" spans="1:10" x14ac:dyDescent="0.25">
      <c r="A106" s="94" t="str">
        <f>'Resultater - Vestdanmark'!A106</f>
        <v>Grisestald</v>
      </c>
      <c r="B106" s="94" t="str">
        <f>'Resultater - Vestdanmark'!B106</f>
        <v>Økologisk</v>
      </c>
      <c r="C106" s="94" t="str">
        <f>'Resultater - Vestdanmark'!C106</f>
        <v/>
      </c>
      <c r="D106" s="94" t="str">
        <f>'Resultater - Vestdanmark'!D106</f>
        <v>Svin</v>
      </c>
      <c r="E106" s="94" t="str">
        <f>'Resultater - Vestdanmark'!E106</f>
        <v>Antal</v>
      </c>
      <c r="F106" s="94" t="str">
        <f>'Resultater - Vestdanmark'!F106</f>
        <v>Foder</v>
      </c>
      <c r="G106" s="94" t="str">
        <f>'Resultater - Vestdanmark'!G106</f>
        <v>FE</v>
      </c>
      <c r="H106" s="254">
        <f>'Resultater - Vestdanmark'!H106+'Resultater - Østdanmark'!H106</f>
        <v>-419970754.27999997</v>
      </c>
      <c r="I106" s="255">
        <f>'Resultater - Vestdanmark'!I106+'Resultater - Østdanmark'!I106</f>
        <v>-2678726040.6809497</v>
      </c>
      <c r="J106" s="256">
        <f>'Resultater - Vestdanmark'!J106+'Resultater - Østdanmark'!J106</f>
        <v>-705457485.57359624</v>
      </c>
    </row>
    <row r="107" spans="1:10" x14ac:dyDescent="0.25">
      <c r="A107" s="94" t="str">
        <f>'Resultater - Vestdanmark'!A107</f>
        <v>Grisestald</v>
      </c>
      <c r="B107" s="94" t="str">
        <f>'Resultater - Vestdanmark'!B107</f>
        <v>Økologisk</v>
      </c>
      <c r="C107" s="94" t="str">
        <f>'Resultater - Vestdanmark'!C107</f>
        <v/>
      </c>
      <c r="D107" s="94" t="str">
        <f>'Resultater - Vestdanmark'!D107</f>
        <v>Svin</v>
      </c>
      <c r="E107" s="94" t="str">
        <f>'Resultater - Vestdanmark'!E107</f>
        <v>Antal</v>
      </c>
      <c r="F107" s="94" t="str">
        <f>'Resultater - Vestdanmark'!F107</f>
        <v>Halm</v>
      </c>
      <c r="G107" s="94" t="str">
        <f>'Resultater - Vestdanmark'!G107</f>
        <v>Ton</v>
      </c>
      <c r="H107" s="254">
        <f>'Resultater - Vestdanmark'!H107+'Resultater - Østdanmark'!H107</f>
        <v>-28350.861000000001</v>
      </c>
      <c r="I107" s="255">
        <f>'Resultater - Vestdanmark'!I107+'Resultater - Østdanmark'!I107</f>
        <v>-180832.09095505963</v>
      </c>
      <c r="J107" s="256">
        <f>'Resultater - Vestdanmark'!J107+'Resultater - Østdanmark'!J107</f>
        <v>-47623.142590476804</v>
      </c>
    </row>
    <row r="108" spans="1:10" x14ac:dyDescent="0.25">
      <c r="A108" s="94" t="str">
        <f>'Resultater - Vestdanmark'!A108</f>
        <v>Grisestald</v>
      </c>
      <c r="B108" s="94" t="str">
        <f>'Resultater - Vestdanmark'!B108</f>
        <v>Økologisk</v>
      </c>
      <c r="C108" s="94" t="str">
        <f>'Resultater - Vestdanmark'!C108</f>
        <v/>
      </c>
      <c r="D108" s="94" t="str">
        <f>'Resultater - Vestdanmark'!D108</f>
        <v>Svin</v>
      </c>
      <c r="E108" s="94" t="str">
        <f>'Resultater - Vestdanmark'!E108</f>
        <v>Antal</v>
      </c>
      <c r="F108" s="94" t="str">
        <f>'Resultater - Vestdanmark'!F108</f>
        <v>CO2 - atmosfære</v>
      </c>
      <c r="G108" s="94" t="str">
        <f>'Resultater - Vestdanmark'!G108</f>
        <v>t CO2-ækvivalenter</v>
      </c>
      <c r="H108" s="254">
        <f>'Resultater - Vestdanmark'!H108+'Resultater - Østdanmark'!H108</f>
        <v>60495.062518513841</v>
      </c>
      <c r="I108" s="255">
        <f>'Resultater - Vestdanmark'!I108+'Resultater - Østdanmark'!I108</f>
        <v>385859.48580820567</v>
      </c>
      <c r="J108" s="256">
        <f>'Resultater - Vestdanmark'!J108+'Resultater - Østdanmark'!J108</f>
        <v>101618.25379267999</v>
      </c>
    </row>
    <row r="109" spans="1:10" x14ac:dyDescent="0.25">
      <c r="A109" s="94" t="str">
        <f>'Resultater - Vestdanmark'!A109</f>
        <v>Kostald</v>
      </c>
      <c r="B109" s="94" t="str">
        <f>'Resultater - Vestdanmark'!B109</f>
        <v>Konventionel</v>
      </c>
      <c r="C109" s="94" t="str">
        <f>'Resultater - Vestdanmark'!C109</f>
        <v/>
      </c>
      <c r="D109" s="94" t="str">
        <f>'Resultater - Vestdanmark'!D109</f>
        <v>Køer</v>
      </c>
      <c r="E109" s="94" t="str">
        <f>'Resultater - Vestdanmark'!E109</f>
        <v>Antal</v>
      </c>
      <c r="F109" s="94" t="str">
        <f>'Resultater - Vestdanmark'!F109</f>
        <v>Slagtekøer</v>
      </c>
      <c r="G109" s="94" t="str">
        <f>'Resultater - Vestdanmark'!G109</f>
        <v>Antal</v>
      </c>
      <c r="H109" s="254">
        <f>'Resultater - Vestdanmark'!H109+'Resultater - Østdanmark'!H109</f>
        <v>440600</v>
      </c>
      <c r="I109" s="255">
        <f>'Resultater - Vestdanmark'!I109+'Resultater - Østdanmark'!I109</f>
        <v>193478.87617065557</v>
      </c>
      <c r="J109" s="256">
        <f>'Resultater - Vestdanmark'!J109+'Resultater - Østdanmark'!J109</f>
        <v>0</v>
      </c>
    </row>
    <row r="110" spans="1:10" x14ac:dyDescent="0.25">
      <c r="A110" s="94" t="str">
        <f>'Resultater - Vestdanmark'!A110</f>
        <v>Kostald</v>
      </c>
      <c r="B110" s="94" t="str">
        <f>'Resultater - Vestdanmark'!B110</f>
        <v>Konventionel</v>
      </c>
      <c r="C110" s="94" t="str">
        <f>'Resultater - Vestdanmark'!C110</f>
        <v/>
      </c>
      <c r="D110" s="94" t="str">
        <f>'Resultater - Vestdanmark'!D110</f>
        <v>Køer</v>
      </c>
      <c r="E110" s="94" t="str">
        <f>'Resultater - Vestdanmark'!E110</f>
        <v>Antal</v>
      </c>
      <c r="F110" s="94" t="str">
        <f>'Resultater - Vestdanmark'!F110</f>
        <v>Kvæggylle</v>
      </c>
      <c r="G110" s="94" t="str">
        <f>'Resultater - Vestdanmark'!G110</f>
        <v>Ton</v>
      </c>
      <c r="H110" s="254">
        <f>'Resultater - Vestdanmark'!H110+'Resultater - Østdanmark'!H110</f>
        <v>12785500</v>
      </c>
      <c r="I110" s="255">
        <f>'Resultater - Vestdanmark'!I110+'Resultater - Østdanmark'!I110</f>
        <v>5614444.328824142</v>
      </c>
      <c r="J110" s="256">
        <f>'Resultater - Vestdanmark'!J110+'Resultater - Østdanmark'!J110</f>
        <v>0</v>
      </c>
    </row>
    <row r="111" spans="1:10" x14ac:dyDescent="0.25">
      <c r="A111" s="94" t="str">
        <f>'Resultater - Vestdanmark'!A111</f>
        <v>Kostald</v>
      </c>
      <c r="B111" s="94" t="str">
        <f>'Resultater - Vestdanmark'!B111</f>
        <v>Konventionel</v>
      </c>
      <c r="C111" s="94" t="str">
        <f>'Resultater - Vestdanmark'!C111</f>
        <v/>
      </c>
      <c r="D111" s="94" t="str">
        <f>'Resultater - Vestdanmark'!D111</f>
        <v>Køer</v>
      </c>
      <c r="E111" s="94" t="str">
        <f>'Resultater - Vestdanmark'!E111</f>
        <v>Antal</v>
      </c>
      <c r="F111" s="94" t="str">
        <f>'Resultater - Vestdanmark'!F111</f>
        <v>Dybstrøelse</v>
      </c>
      <c r="G111" s="94" t="str">
        <f>'Resultater - Vestdanmark'!G111</f>
        <v>Ton</v>
      </c>
      <c r="H111" s="254">
        <f>'Resultater - Vestdanmark'!H111+'Resultater - Østdanmark'!H111</f>
        <v>250560.00000000003</v>
      </c>
      <c r="I111" s="255">
        <f>'Resultater - Vestdanmark'!I111+'Resultater - Østdanmark'!I111</f>
        <v>110027.38813735692</v>
      </c>
      <c r="J111" s="256">
        <f>'Resultater - Vestdanmark'!J111+'Resultater - Østdanmark'!J111</f>
        <v>0</v>
      </c>
    </row>
    <row r="112" spans="1:10" x14ac:dyDescent="0.25">
      <c r="A112" s="94" t="str">
        <f>'Resultater - Vestdanmark'!A112</f>
        <v>Kostald</v>
      </c>
      <c r="B112" s="94" t="str">
        <f>'Resultater - Vestdanmark'!B112</f>
        <v>Konventionel</v>
      </c>
      <c r="C112" s="94" t="str">
        <f>'Resultater - Vestdanmark'!C112</f>
        <v/>
      </c>
      <c r="D112" s="94" t="str">
        <f>'Resultater - Vestdanmark'!D112</f>
        <v>Køer</v>
      </c>
      <c r="E112" s="94" t="str">
        <f>'Resultater - Vestdanmark'!E112</f>
        <v>Antal</v>
      </c>
      <c r="F112" s="94" t="str">
        <f>'Resultater - Vestdanmark'!F112</f>
        <v>Råmælk</v>
      </c>
      <c r="G112" s="94" t="str">
        <f>'Resultater - Vestdanmark'!G112</f>
        <v>Ton</v>
      </c>
      <c r="H112" s="254">
        <f>'Resultater - Vestdanmark'!H112+'Resultater - Østdanmark'!H112</f>
        <v>4786000</v>
      </c>
      <c r="I112" s="255">
        <f>'Resultater - Vestdanmark'!I112+'Resultater - Østdanmark'!I112</f>
        <v>2101656.6077003125</v>
      </c>
      <c r="J112" s="256">
        <f>'Resultater - Vestdanmark'!J112+'Resultater - Østdanmark'!J112</f>
        <v>0</v>
      </c>
    </row>
    <row r="113" spans="1:10" x14ac:dyDescent="0.25">
      <c r="A113" s="94" t="str">
        <f>'Resultater - Vestdanmark'!A113</f>
        <v>Kostald</v>
      </c>
      <c r="B113" s="94" t="str">
        <f>'Resultater - Vestdanmark'!B113</f>
        <v>Konventionel</v>
      </c>
      <c r="C113" s="94" t="str">
        <f>'Resultater - Vestdanmark'!C113</f>
        <v/>
      </c>
      <c r="D113" s="94" t="str">
        <f>'Resultater - Vestdanmark'!D113</f>
        <v>Køer</v>
      </c>
      <c r="E113" s="94" t="str">
        <f>'Resultater - Vestdanmark'!E113</f>
        <v>Antal</v>
      </c>
      <c r="F113" s="94" t="str">
        <f>'Resultater - Vestdanmark'!F113</f>
        <v>Industriaffald</v>
      </c>
      <c r="G113" s="94" t="str">
        <f>'Resultater - Vestdanmark'!G113</f>
        <v>Ton</v>
      </c>
      <c r="H113" s="254">
        <f>'Resultater - Vestdanmark'!H113+'Resultater - Østdanmark'!H113</f>
        <v>54522.149641311174</v>
      </c>
      <c r="I113" s="255">
        <f>'Resultater - Vestdanmark'!I113+'Resultater - Østdanmark'!I113</f>
        <v>23942.088604197001</v>
      </c>
      <c r="J113" s="256">
        <f>'Resultater - Vestdanmark'!J113+'Resultater - Østdanmark'!J113</f>
        <v>0</v>
      </c>
    </row>
    <row r="114" spans="1:10" x14ac:dyDescent="0.25">
      <c r="A114" s="94" t="str">
        <f>'Resultater - Vestdanmark'!A114</f>
        <v>Kostald</v>
      </c>
      <c r="B114" s="94" t="str">
        <f>'Resultater - Vestdanmark'!B114</f>
        <v>Konventionel</v>
      </c>
      <c r="C114" s="94" t="str">
        <f>'Resultater - Vestdanmark'!C114</f>
        <v/>
      </c>
      <c r="D114" s="94" t="str">
        <f>'Resultater - Vestdanmark'!D114</f>
        <v>Køer</v>
      </c>
      <c r="E114" s="94" t="str">
        <f>'Resultater - Vestdanmark'!E114</f>
        <v>Antal</v>
      </c>
      <c r="F114" s="94" t="str">
        <f>'Resultater - Vestdanmark'!F114</f>
        <v>Foder</v>
      </c>
      <c r="G114" s="94" t="str">
        <f>'Resultater - Vestdanmark'!G114</f>
        <v>FE</v>
      </c>
      <c r="H114" s="254">
        <f>'Resultater - Vestdanmark'!H114+'Resultater - Østdanmark'!H114</f>
        <v>-3317225912</v>
      </c>
      <c r="I114" s="255">
        <f>'Resultater - Vestdanmark'!I114+'Resultater - Østdanmark'!I114</f>
        <v>-1456679848.9739854</v>
      </c>
      <c r="J114" s="256">
        <f>'Resultater - Vestdanmark'!J114+'Resultater - Østdanmark'!J114</f>
        <v>0</v>
      </c>
    </row>
    <row r="115" spans="1:10" x14ac:dyDescent="0.25">
      <c r="A115" s="94" t="str">
        <f>'Resultater - Vestdanmark'!A115</f>
        <v>Kostald</v>
      </c>
      <c r="B115" s="94" t="str">
        <f>'Resultater - Vestdanmark'!B115</f>
        <v>Konventionel</v>
      </c>
      <c r="C115" s="94" t="str">
        <f>'Resultater - Vestdanmark'!C115</f>
        <v/>
      </c>
      <c r="D115" s="94" t="str">
        <f>'Resultater - Vestdanmark'!D115</f>
        <v>Køer</v>
      </c>
      <c r="E115" s="94" t="str">
        <f>'Resultater - Vestdanmark'!E115</f>
        <v>Antal</v>
      </c>
      <c r="F115" s="94" t="str">
        <f>'Resultater - Vestdanmark'!F115</f>
        <v>Halm</v>
      </c>
      <c r="G115" s="94" t="str">
        <f>'Resultater - Vestdanmark'!G115</f>
        <v>Ton</v>
      </c>
      <c r="H115" s="254">
        <f>'Resultater - Vestdanmark'!H115+'Resultater - Østdanmark'!H115</f>
        <v>-13874.569799999999</v>
      </c>
      <c r="I115" s="255">
        <f>'Resultater - Vestdanmark'!I115+'Resultater - Østdanmark'!I115</f>
        <v>-6092.6830963579605</v>
      </c>
      <c r="J115" s="256">
        <f>'Resultater - Vestdanmark'!J115+'Resultater - Østdanmark'!J115</f>
        <v>0</v>
      </c>
    </row>
    <row r="116" spans="1:10" x14ac:dyDescent="0.25">
      <c r="A116" s="94" t="str">
        <f>'Resultater - Vestdanmark'!A116</f>
        <v>Kostald</v>
      </c>
      <c r="B116" s="94" t="str">
        <f>'Resultater - Vestdanmark'!B116</f>
        <v>Konventionel</v>
      </c>
      <c r="C116" s="94" t="str">
        <f>'Resultater - Vestdanmark'!C116</f>
        <v/>
      </c>
      <c r="D116" s="94" t="str">
        <f>'Resultater - Vestdanmark'!D116</f>
        <v>Køer</v>
      </c>
      <c r="E116" s="94" t="str">
        <f>'Resultater - Vestdanmark'!E116</f>
        <v>Antal</v>
      </c>
      <c r="F116" s="94" t="str">
        <f>'Resultater - Vestdanmark'!F116</f>
        <v>CO2 - atmosfære</v>
      </c>
      <c r="G116" s="94" t="str">
        <f>'Resultater - Vestdanmark'!G116</f>
        <v>t CO2-ækvivalenter</v>
      </c>
      <c r="H116" s="254">
        <f>'Resultater - Vestdanmark'!H116+'Resultater - Østdanmark'!H116</f>
        <v>3588024.4873487833</v>
      </c>
      <c r="I116" s="255">
        <f>'Resultater - Vestdanmark'!I116+'Resultater - Østdanmark'!I116</f>
        <v>1575594.5199387996</v>
      </c>
      <c r="J116" s="256">
        <f>'Resultater - Vestdanmark'!J116+'Resultater - Østdanmark'!J116</f>
        <v>0</v>
      </c>
    </row>
    <row r="117" spans="1:10" x14ac:dyDescent="0.25">
      <c r="A117" s="94" t="str">
        <f>'Resultater - Vestdanmark'!A117</f>
        <v>Kostald</v>
      </c>
      <c r="B117" s="94" t="str">
        <f>'Resultater - Vestdanmark'!B117</f>
        <v>Økologisk</v>
      </c>
      <c r="C117" s="94" t="str">
        <f>'Resultater - Vestdanmark'!C117</f>
        <v/>
      </c>
      <c r="D117" s="94" t="str">
        <f>'Resultater - Vestdanmark'!D117</f>
        <v>Køer</v>
      </c>
      <c r="E117" s="94" t="str">
        <f>'Resultater - Vestdanmark'!E117</f>
        <v>Antal</v>
      </c>
      <c r="F117" s="94" t="str">
        <f>'Resultater - Vestdanmark'!F117</f>
        <v>Slagtekøer</v>
      </c>
      <c r="G117" s="94" t="str">
        <f>'Resultater - Vestdanmark'!G117</f>
        <v>Antal</v>
      </c>
      <c r="H117" s="254">
        <f>'Resultater - Vestdanmark'!H117+'Resultater - Østdanmark'!H117</f>
        <v>23400.000000000004</v>
      </c>
      <c r="I117" s="255">
        <f>'Resultater - Vestdanmark'!I117+'Resultater - Østdanmark'!I117</f>
        <v>47846.209819674572</v>
      </c>
      <c r="J117" s="256">
        <f>'Resultater - Vestdanmark'!J117+'Resultater - Østdanmark'!J117</f>
        <v>15555.970545759268</v>
      </c>
    </row>
    <row r="118" spans="1:10" x14ac:dyDescent="0.25">
      <c r="A118" s="94" t="str">
        <f>'Resultater - Vestdanmark'!A118</f>
        <v>Kostald</v>
      </c>
      <c r="B118" s="94" t="str">
        <f>'Resultater - Vestdanmark'!B118</f>
        <v>Økologisk</v>
      </c>
      <c r="C118" s="94" t="str">
        <f>'Resultater - Vestdanmark'!C118</f>
        <v/>
      </c>
      <c r="D118" s="94" t="str">
        <f>'Resultater - Vestdanmark'!D118</f>
        <v>Køer</v>
      </c>
      <c r="E118" s="94" t="str">
        <f>'Resultater - Vestdanmark'!E118</f>
        <v>Antal</v>
      </c>
      <c r="F118" s="94" t="str">
        <f>'Resultater - Vestdanmark'!F118</f>
        <v>Kvæggylle</v>
      </c>
      <c r="G118" s="94" t="str">
        <f>'Resultater - Vestdanmark'!G118</f>
        <v>Ton</v>
      </c>
      <c r="H118" s="254">
        <f>'Resultater - Vestdanmark'!H118+'Resultater - Østdanmark'!H118</f>
        <v>1264500</v>
      </c>
      <c r="I118" s="255">
        <f>'Resultater - Vestdanmark'!I118+'Resultater - Østdanmark'!I118</f>
        <v>2585535.5691016451</v>
      </c>
      <c r="J118" s="256">
        <f>'Resultater - Vestdanmark'!J118+'Resultater - Østdanmark'!J118</f>
        <v>840620.71603045263</v>
      </c>
    </row>
    <row r="119" spans="1:10" x14ac:dyDescent="0.25">
      <c r="A119" s="94" t="str">
        <f>'Resultater - Vestdanmark'!A119</f>
        <v>Kostald</v>
      </c>
      <c r="B119" s="94" t="str">
        <f>'Resultater - Vestdanmark'!B119</f>
        <v>Økologisk</v>
      </c>
      <c r="C119" s="94" t="str">
        <f>'Resultater - Vestdanmark'!C119</f>
        <v/>
      </c>
      <c r="D119" s="94" t="str">
        <f>'Resultater - Vestdanmark'!D119</f>
        <v>Køer</v>
      </c>
      <c r="E119" s="94" t="str">
        <f>'Resultater - Vestdanmark'!E119</f>
        <v>Antal</v>
      </c>
      <c r="F119" s="94" t="str">
        <f>'Resultater - Vestdanmark'!F119</f>
        <v>Dybstrøelse</v>
      </c>
      <c r="G119" s="94" t="str">
        <f>'Resultater - Vestdanmark'!G119</f>
        <v>Ton</v>
      </c>
      <c r="H119" s="254">
        <f>'Resultater - Vestdanmark'!H119+'Resultater - Østdanmark'!H119</f>
        <v>10440.000000000002</v>
      </c>
      <c r="I119" s="255">
        <f>'Resultater - Vestdanmark'!I119+'Resultater - Østdanmark'!I119</f>
        <v>21346.770534931733</v>
      </c>
      <c r="J119" s="256">
        <f>'Resultater - Vestdanmark'!J119+'Resultater - Østdanmark'!J119</f>
        <v>6940.3560896464423</v>
      </c>
    </row>
    <row r="120" spans="1:10" x14ac:dyDescent="0.25">
      <c r="A120" s="94" t="str">
        <f>'Resultater - Vestdanmark'!A120</f>
        <v>Kostald</v>
      </c>
      <c r="B120" s="94" t="str">
        <f>'Resultater - Vestdanmark'!B120</f>
        <v>Økologisk</v>
      </c>
      <c r="C120" s="94" t="str">
        <f>'Resultater - Vestdanmark'!C120</f>
        <v/>
      </c>
      <c r="D120" s="94" t="str">
        <f>'Resultater - Vestdanmark'!D120</f>
        <v>Køer</v>
      </c>
      <c r="E120" s="94" t="str">
        <f>'Resultater - Vestdanmark'!E120</f>
        <v>Antal</v>
      </c>
      <c r="F120" s="94" t="str">
        <f>'Resultater - Vestdanmark'!F120</f>
        <v>Råmælk</v>
      </c>
      <c r="G120" s="94" t="str">
        <f>'Resultater - Vestdanmark'!G120</f>
        <v>Ton</v>
      </c>
      <c r="H120" s="254">
        <f>'Resultater - Vestdanmark'!H120+'Resultater - Østdanmark'!H120</f>
        <v>482999.99999999994</v>
      </c>
      <c r="I120" s="255">
        <f>'Resultater - Vestdanmark'!I120+'Resultater - Østdanmark'!I120</f>
        <v>987594.84371379553</v>
      </c>
      <c r="J120" s="256">
        <f>'Resultater - Vestdanmark'!J120+'Resultater - Østdanmark'!J120</f>
        <v>321091.18690605665</v>
      </c>
    </row>
    <row r="121" spans="1:10" x14ac:dyDescent="0.25">
      <c r="A121" s="94" t="str">
        <f>'Resultater - Vestdanmark'!A121</f>
        <v>Kostald</v>
      </c>
      <c r="B121" s="94" t="str">
        <f>'Resultater - Vestdanmark'!B121</f>
        <v>Økologisk</v>
      </c>
      <c r="C121" s="94" t="str">
        <f>'Resultater - Vestdanmark'!C121</f>
        <v/>
      </c>
      <c r="D121" s="94" t="str">
        <f>'Resultater - Vestdanmark'!D121</f>
        <v>Køer</v>
      </c>
      <c r="E121" s="94" t="str">
        <f>'Resultater - Vestdanmark'!E121</f>
        <v>Antal</v>
      </c>
      <c r="F121" s="94" t="str">
        <f>'Resultater - Vestdanmark'!F121</f>
        <v>Industriaffald</v>
      </c>
      <c r="G121" s="94" t="str">
        <f>'Resultater - Vestdanmark'!G121</f>
        <v>Ton</v>
      </c>
      <c r="H121" s="254">
        <f>'Resultater - Vestdanmark'!H121+'Resultater - Østdanmark'!H121</f>
        <v>9653.6103586888312</v>
      </c>
      <c r="I121" s="255">
        <f>'Resultater - Vestdanmark'!I121+'Resultater - Østdanmark'!I121</f>
        <v>19738.83191193204</v>
      </c>
      <c r="J121" s="256">
        <f>'Resultater - Vestdanmark'!J121+'Resultater - Østdanmark'!J121</f>
        <v>6417.576</v>
      </c>
    </row>
    <row r="122" spans="1:10" x14ac:dyDescent="0.25">
      <c r="A122" s="94" t="str">
        <f>'Resultater - Vestdanmark'!A122</f>
        <v>Kostald</v>
      </c>
      <c r="B122" s="94" t="str">
        <f>'Resultater - Vestdanmark'!B122</f>
        <v>Økologisk</v>
      </c>
      <c r="C122" s="94" t="str">
        <f>'Resultater - Vestdanmark'!C122</f>
        <v/>
      </c>
      <c r="D122" s="94" t="str">
        <f>'Resultater - Vestdanmark'!D122</f>
        <v>Køer</v>
      </c>
      <c r="E122" s="94" t="str">
        <f>'Resultater - Vestdanmark'!E122</f>
        <v>Antal</v>
      </c>
      <c r="F122" s="94" t="str">
        <f>'Resultater - Vestdanmark'!F122</f>
        <v>Foder</v>
      </c>
      <c r="G122" s="94" t="str">
        <f>'Resultater - Vestdanmark'!G122</f>
        <v>FE</v>
      </c>
      <c r="H122" s="254">
        <f>'Resultater - Vestdanmark'!H122+'Resultater - Østdanmark'!H122</f>
        <v>-587343064</v>
      </c>
      <c r="I122" s="255">
        <f>'Resultater - Vestdanmark'!I122+'Resultater - Østdanmark'!I122</f>
        <v>-1200946131.4647243</v>
      </c>
      <c r="J122" s="256">
        <f>'Resultater - Vestdanmark'!J122+'Resultater - Østdanmark'!J122</f>
        <v>-390456897.59999996</v>
      </c>
    </row>
    <row r="123" spans="1:10" x14ac:dyDescent="0.25">
      <c r="A123" s="94" t="str">
        <f>'Resultater - Vestdanmark'!A123</f>
        <v>Kostald</v>
      </c>
      <c r="B123" s="94" t="str">
        <f>'Resultater - Vestdanmark'!B123</f>
        <v>Økologisk</v>
      </c>
      <c r="C123" s="94" t="str">
        <f>'Resultater - Vestdanmark'!C123</f>
        <v/>
      </c>
      <c r="D123" s="94" t="str">
        <f>'Resultater - Vestdanmark'!D123</f>
        <v>Køer</v>
      </c>
      <c r="E123" s="94" t="str">
        <f>'Resultater - Vestdanmark'!E123</f>
        <v>Antal</v>
      </c>
      <c r="F123" s="94" t="str">
        <f>'Resultater - Vestdanmark'!F123</f>
        <v>Halm</v>
      </c>
      <c r="G123" s="94" t="str">
        <f>'Resultater - Vestdanmark'!G123</f>
        <v>Ton</v>
      </c>
      <c r="H123" s="254">
        <f>'Resultater - Vestdanmark'!H123+'Resultater - Østdanmark'!H123</f>
        <v>-2961.3935999999999</v>
      </c>
      <c r="I123" s="255">
        <f>'Resultater - Vestdanmark'!I123+'Resultater - Østdanmark'!I123</f>
        <v>-6055.1905788137356</v>
      </c>
      <c r="J123" s="256">
        <f>'Resultater - Vestdanmark'!J123+'Resultater - Østdanmark'!J123</f>
        <v>-1968.6902399999999</v>
      </c>
    </row>
    <row r="124" spans="1:10" x14ac:dyDescent="0.25">
      <c r="A124" s="94" t="str">
        <f>'Resultater - Vestdanmark'!A124</f>
        <v>Kostald</v>
      </c>
      <c r="B124" s="94" t="str">
        <f>'Resultater - Vestdanmark'!B124</f>
        <v>Økologisk</v>
      </c>
      <c r="C124" s="94" t="str">
        <f>'Resultater - Vestdanmark'!C124</f>
        <v/>
      </c>
      <c r="D124" s="94" t="str">
        <f>'Resultater - Vestdanmark'!D124</f>
        <v>Køer</v>
      </c>
      <c r="E124" s="94" t="str">
        <f>'Resultater - Vestdanmark'!E124</f>
        <v>Antal</v>
      </c>
      <c r="F124" s="94" t="str">
        <f>'Resultater - Vestdanmark'!F124</f>
        <v>CO2 - atmosfære</v>
      </c>
      <c r="G124" s="94" t="str">
        <f>'Resultater - Vestdanmark'!G124</f>
        <v>t CO2-ækvivalenter</v>
      </c>
      <c r="H124" s="254">
        <f>'Resultater - Vestdanmark'!H124+'Resultater - Østdanmark'!H124</f>
        <v>531260.59557996574</v>
      </c>
      <c r="I124" s="255">
        <f>'Resultater - Vestdanmark'!I124+'Resultater - Østdanmark'!I124</f>
        <v>1086273.7574805266</v>
      </c>
      <c r="J124" s="256">
        <f>'Resultater - Vestdanmark'!J124+'Resultater - Østdanmark'!J124</f>
        <v>353174.11012668692</v>
      </c>
    </row>
    <row r="125" spans="1:10" x14ac:dyDescent="0.25">
      <c r="A125" s="94" t="str">
        <f>'Resultater - Vestdanmark'!A125</f>
        <v>Fjerkræbrug</v>
      </c>
      <c r="B125" s="94" t="str">
        <f>'Resultater - Vestdanmark'!B125</f>
        <v>Konventionel</v>
      </c>
      <c r="C125" s="94" t="str">
        <f>'Resultater - Vestdanmark'!C125</f>
        <v/>
      </c>
      <c r="D125" s="94" t="str">
        <f>'Resultater - Vestdanmark'!D125</f>
        <v>Fjerkræ</v>
      </c>
      <c r="E125" s="94" t="str">
        <f>'Resultater - Vestdanmark'!E125</f>
        <v>Antal</v>
      </c>
      <c r="F125" s="94" t="str">
        <f>'Resultater - Vestdanmark'!F125</f>
        <v>Slagtefjerkræ</v>
      </c>
      <c r="G125" s="94" t="str">
        <f>'Resultater - Vestdanmark'!G125</f>
        <v>Antal</v>
      </c>
      <c r="H125" s="254">
        <f>'Resultater - Vestdanmark'!H125+'Resultater - Østdanmark'!H125</f>
        <v>105566999.99999999</v>
      </c>
      <c r="I125" s="255">
        <f>'Resultater - Vestdanmark'!I125+'Resultater - Østdanmark'!I125</f>
        <v>53607383.975026004</v>
      </c>
      <c r="J125" s="256">
        <f>'Resultater - Vestdanmark'!J125+'Resultater - Østdanmark'!J125</f>
        <v>0</v>
      </c>
    </row>
    <row r="126" spans="1:10" x14ac:dyDescent="0.25">
      <c r="A126" s="94" t="str">
        <f>'Resultater - Vestdanmark'!A126</f>
        <v>Fjerkræbrug</v>
      </c>
      <c r="B126" s="94" t="str">
        <f>'Resultater - Vestdanmark'!B126</f>
        <v>Konventionel</v>
      </c>
      <c r="C126" s="94" t="str">
        <f>'Resultater - Vestdanmark'!C126</f>
        <v/>
      </c>
      <c r="D126" s="94" t="str">
        <f>'Resultater - Vestdanmark'!D126</f>
        <v>Fjerkræ</v>
      </c>
      <c r="E126" s="94" t="str">
        <f>'Resultater - Vestdanmark'!E126</f>
        <v>Antal</v>
      </c>
      <c r="F126" s="94" t="str">
        <f>'Resultater - Vestdanmark'!F126</f>
        <v>Fjerkrægylle</v>
      </c>
      <c r="G126" s="94" t="str">
        <f>'Resultater - Vestdanmark'!G126</f>
        <v>Ton</v>
      </c>
      <c r="H126" s="254">
        <f>'Resultater - Vestdanmark'!H126+'Resultater - Østdanmark'!H126</f>
        <v>6719.2238038686164</v>
      </c>
      <c r="I126" s="255">
        <f>'Resultater - Vestdanmark'!I126+'Resultater - Østdanmark'!I126</f>
        <v>3412.0512136190264</v>
      </c>
      <c r="J126" s="256">
        <f>'Resultater - Vestdanmark'!J126+'Resultater - Østdanmark'!J126</f>
        <v>0</v>
      </c>
    </row>
    <row r="127" spans="1:10" x14ac:dyDescent="0.25">
      <c r="A127" s="94" t="str">
        <f>'Resultater - Vestdanmark'!A127</f>
        <v>Fjerkræbrug</v>
      </c>
      <c r="B127" s="94" t="str">
        <f>'Resultater - Vestdanmark'!B127</f>
        <v>Konventionel</v>
      </c>
      <c r="C127" s="94" t="str">
        <f>'Resultater - Vestdanmark'!C127</f>
        <v/>
      </c>
      <c r="D127" s="94" t="str">
        <f>'Resultater - Vestdanmark'!D127</f>
        <v>Fjerkræ</v>
      </c>
      <c r="E127" s="94" t="str">
        <f>'Resultater - Vestdanmark'!E127</f>
        <v>Antal</v>
      </c>
      <c r="F127" s="94" t="str">
        <f>'Resultater - Vestdanmark'!F127</f>
        <v>Dybstrøelse</v>
      </c>
      <c r="G127" s="94" t="str">
        <f>'Resultater - Vestdanmark'!G127</f>
        <v>Ton</v>
      </c>
      <c r="H127" s="254">
        <f>'Resultater - Vestdanmark'!H127+'Resultater - Østdanmark'!H127</f>
        <v>148922.51453359297</v>
      </c>
      <c r="I127" s="255">
        <f>'Resultater - Vestdanmark'!I127+'Resultater - Østdanmark'!I127</f>
        <v>75623.50373818248</v>
      </c>
      <c r="J127" s="256">
        <f>'Resultater - Vestdanmark'!J127+'Resultater - Østdanmark'!J127</f>
        <v>0</v>
      </c>
    </row>
    <row r="128" spans="1:10" x14ac:dyDescent="0.25">
      <c r="A128" s="94" t="str">
        <f>'Resultater - Vestdanmark'!A128</f>
        <v>Fjerkræbrug</v>
      </c>
      <c r="B128" s="94" t="str">
        <f>'Resultater - Vestdanmark'!B128</f>
        <v>Konventionel</v>
      </c>
      <c r="C128" s="94" t="str">
        <f>'Resultater - Vestdanmark'!C128</f>
        <v/>
      </c>
      <c r="D128" s="94" t="str">
        <f>'Resultater - Vestdanmark'!D128</f>
        <v>Fjerkræ</v>
      </c>
      <c r="E128" s="94" t="str">
        <f>'Resultater - Vestdanmark'!E128</f>
        <v>Antal</v>
      </c>
      <c r="F128" s="94" t="str">
        <f>'Resultater - Vestdanmark'!F128</f>
        <v>Æg</v>
      </c>
      <c r="G128" s="94" t="str">
        <f>'Resultater - Vestdanmark'!G128</f>
        <v>Ton</v>
      </c>
      <c r="H128" s="254">
        <f>'Resultater - Vestdanmark'!H128+'Resultater - Østdanmark'!H128</f>
        <v>220000</v>
      </c>
      <c r="I128" s="255">
        <f>'Resultater - Vestdanmark'!I128+'Resultater - Østdanmark'!I128</f>
        <v>111716.96149843912</v>
      </c>
      <c r="J128" s="256">
        <f>'Resultater - Vestdanmark'!J128+'Resultater - Østdanmark'!J128</f>
        <v>0</v>
      </c>
    </row>
    <row r="129" spans="1:10" x14ac:dyDescent="0.25">
      <c r="A129" s="94" t="str">
        <f>'Resultater - Vestdanmark'!A129</f>
        <v>Fjerkræbrug</v>
      </c>
      <c r="B129" s="94" t="str">
        <f>'Resultater - Vestdanmark'!B129</f>
        <v>Konventionel</v>
      </c>
      <c r="C129" s="94" t="str">
        <f>'Resultater - Vestdanmark'!C129</f>
        <v/>
      </c>
      <c r="D129" s="94" t="str">
        <f>'Resultater - Vestdanmark'!D129</f>
        <v>Fjerkræ</v>
      </c>
      <c r="E129" s="94" t="str">
        <f>'Resultater - Vestdanmark'!E129</f>
        <v>Antal</v>
      </c>
      <c r="F129" s="94" t="str">
        <f>'Resultater - Vestdanmark'!F129</f>
        <v>Industriaffald</v>
      </c>
      <c r="G129" s="94" t="str">
        <f>'Resultater - Vestdanmark'!G129</f>
        <v>Ton</v>
      </c>
      <c r="H129" s="254">
        <f>'Resultater - Vestdanmark'!H129+'Resultater - Østdanmark'!H129</f>
        <v>9291.4831667730468</v>
      </c>
      <c r="I129" s="255">
        <f>'Resultater - Vestdanmark'!I129+'Resultater - Østdanmark'!I129</f>
        <v>4718.2557600262708</v>
      </c>
      <c r="J129" s="256">
        <f>'Resultater - Vestdanmark'!J129+'Resultater - Østdanmark'!J129</f>
        <v>0</v>
      </c>
    </row>
    <row r="130" spans="1:10" x14ac:dyDescent="0.25">
      <c r="A130" s="94" t="str">
        <f>'Resultater - Vestdanmark'!A130</f>
        <v>Fjerkræbrug</v>
      </c>
      <c r="B130" s="94" t="str">
        <f>'Resultater - Vestdanmark'!B130</f>
        <v>Konventionel</v>
      </c>
      <c r="C130" s="94" t="str">
        <f>'Resultater - Vestdanmark'!C130</f>
        <v/>
      </c>
      <c r="D130" s="94" t="str">
        <f>'Resultater - Vestdanmark'!D130</f>
        <v>Fjerkræ</v>
      </c>
      <c r="E130" s="94" t="str">
        <f>'Resultater - Vestdanmark'!E130</f>
        <v>Antal</v>
      </c>
      <c r="F130" s="94" t="str">
        <f>'Resultater - Vestdanmark'!F130</f>
        <v>Foder</v>
      </c>
      <c r="G130" s="94" t="str">
        <f>'Resultater - Vestdanmark'!G130</f>
        <v>FE</v>
      </c>
      <c r="H130" s="254">
        <f>'Resultater - Vestdanmark'!H130+'Resultater - Østdanmark'!H130</f>
        <v>-365582337.12</v>
      </c>
      <c r="I130" s="255">
        <f>'Resultater - Vestdanmark'!I130+'Resultater - Østdanmark'!I130</f>
        <v>-185644308.54792923</v>
      </c>
      <c r="J130" s="256">
        <f>'Resultater - Vestdanmark'!J130+'Resultater - Østdanmark'!J130</f>
        <v>0</v>
      </c>
    </row>
    <row r="131" spans="1:10" x14ac:dyDescent="0.25">
      <c r="A131" s="94" t="str">
        <f>'Resultater - Vestdanmark'!A131</f>
        <v>Fjerkræbrug</v>
      </c>
      <c r="B131" s="94" t="str">
        <f>'Resultater - Vestdanmark'!B131</f>
        <v>Konventionel</v>
      </c>
      <c r="C131" s="94" t="str">
        <f>'Resultater - Vestdanmark'!C131</f>
        <v/>
      </c>
      <c r="D131" s="94" t="str">
        <f>'Resultater - Vestdanmark'!D131</f>
        <v>Fjerkræ</v>
      </c>
      <c r="E131" s="94" t="str">
        <f>'Resultater - Vestdanmark'!E131</f>
        <v>Antal</v>
      </c>
      <c r="F131" s="94" t="str">
        <f>'Resultater - Vestdanmark'!F131</f>
        <v>Halm</v>
      </c>
      <c r="G131" s="94" t="str">
        <f>'Resultater - Vestdanmark'!G131</f>
        <v>Ton</v>
      </c>
      <c r="H131" s="254">
        <f>'Resultater - Vestdanmark'!H131+'Resultater - Østdanmark'!H131</f>
        <v>-8664.776171999998</v>
      </c>
      <c r="I131" s="255">
        <f>'Resultater - Vestdanmark'!I131+'Resultater - Østdanmark'!I131</f>
        <v>-4400.0112090905295</v>
      </c>
      <c r="J131" s="256">
        <f>'Resultater - Vestdanmark'!J131+'Resultater - Østdanmark'!J131</f>
        <v>0</v>
      </c>
    </row>
    <row r="132" spans="1:10" x14ac:dyDescent="0.25">
      <c r="A132" s="94" t="str">
        <f>'Resultater - Vestdanmark'!A132</f>
        <v>Fjerkræbrug</v>
      </c>
      <c r="B132" s="94" t="str">
        <f>'Resultater - Vestdanmark'!B132</f>
        <v>Konventionel</v>
      </c>
      <c r="C132" s="94" t="str">
        <f>'Resultater - Vestdanmark'!C132</f>
        <v/>
      </c>
      <c r="D132" s="94" t="str">
        <f>'Resultater - Vestdanmark'!D132</f>
        <v>Fjerkræ</v>
      </c>
      <c r="E132" s="94" t="str">
        <f>'Resultater - Vestdanmark'!E132</f>
        <v>Antal</v>
      </c>
      <c r="F132" s="94" t="str">
        <f>'Resultater - Vestdanmark'!F132</f>
        <v>CO2 - atmosfære</v>
      </c>
      <c r="G132" s="94" t="str">
        <f>'Resultater - Vestdanmark'!G132</f>
        <v>t CO2-ækvivalenter</v>
      </c>
      <c r="H132" s="254">
        <f>'Resultater - Vestdanmark'!H132+'Resultater - Østdanmark'!H132</f>
        <v>14116.474844810102</v>
      </c>
      <c r="I132" s="255">
        <f>'Resultater - Vestdanmark'!I132+'Resultater - Østdanmark'!I132</f>
        <v>7168.407621506065</v>
      </c>
      <c r="J132" s="256">
        <f>'Resultater - Vestdanmark'!J132+'Resultater - Østdanmark'!J132</f>
        <v>0</v>
      </c>
    </row>
    <row r="133" spans="1:10" x14ac:dyDescent="0.25">
      <c r="A133" s="94" t="str">
        <f>'Resultater - Vestdanmark'!A133</f>
        <v>Fjerkræbrug</v>
      </c>
      <c r="B133" s="94" t="str">
        <f>'Resultater - Vestdanmark'!B133</f>
        <v>Økologisk</v>
      </c>
      <c r="C133" s="94" t="str">
        <f>'Resultater - Vestdanmark'!C133</f>
        <v/>
      </c>
      <c r="D133" s="94" t="str">
        <f>'Resultater - Vestdanmark'!D133</f>
        <v>Fjerkræ</v>
      </c>
      <c r="E133" s="94" t="str">
        <f>'Resultater - Vestdanmark'!E133</f>
        <v>Antal</v>
      </c>
      <c r="F133" s="94" t="str">
        <f>'Resultater - Vestdanmark'!F133</f>
        <v>Slagtefjerkræ</v>
      </c>
      <c r="G133" s="94" t="str">
        <f>'Resultater - Vestdanmark'!G133</f>
        <v>Antal</v>
      </c>
      <c r="H133" s="254">
        <f>'Resultater - Vestdanmark'!H133+'Resultater - Østdanmark'!H133</f>
        <v>1224707</v>
      </c>
      <c r="I133" s="255">
        <f>'Resultater - Vestdanmark'!I133+'Resultater - Østdanmark'!I133</f>
        <v>3028677.8044475098</v>
      </c>
      <c r="J133" s="256">
        <f>'Resultater - Vestdanmark'!J133+'Resultater - Østdanmark'!J133</f>
        <v>3446948.3667273573</v>
      </c>
    </row>
    <row r="134" spans="1:10" x14ac:dyDescent="0.25">
      <c r="A134" s="94" t="str">
        <f>'Resultater - Vestdanmark'!A134</f>
        <v>Fjerkræbrug</v>
      </c>
      <c r="B134" s="94" t="str">
        <f>'Resultater - Vestdanmark'!B134</f>
        <v>Økologisk</v>
      </c>
      <c r="C134" s="94" t="str">
        <f>'Resultater - Vestdanmark'!C134</f>
        <v/>
      </c>
      <c r="D134" s="94" t="str">
        <f>'Resultater - Vestdanmark'!D134</f>
        <v>Fjerkræ</v>
      </c>
      <c r="E134" s="94" t="str">
        <f>'Resultater - Vestdanmark'!E134</f>
        <v>Antal</v>
      </c>
      <c r="F134" s="94" t="str">
        <f>'Resultater - Vestdanmark'!F134</f>
        <v>Fjerkrægylle</v>
      </c>
      <c r="G134" s="94" t="str">
        <f>'Resultater - Vestdanmark'!G134</f>
        <v>Ton</v>
      </c>
      <c r="H134" s="254">
        <f>'Resultater - Vestdanmark'!H134+'Resultater - Østdanmark'!H134</f>
        <v>2163.7761961313831</v>
      </c>
      <c r="I134" s="255">
        <f>'Resultater - Vestdanmark'!I134+'Resultater - Østdanmark'!I134</f>
        <v>5350.9785924429116</v>
      </c>
      <c r="J134" s="256">
        <f>'Resultater - Vestdanmark'!J134+'Resultater - Østdanmark'!J134</f>
        <v>6089.9666820052507</v>
      </c>
    </row>
    <row r="135" spans="1:10" x14ac:dyDescent="0.25">
      <c r="A135" s="94" t="str">
        <f>'Resultater - Vestdanmark'!A135</f>
        <v>Fjerkræbrug</v>
      </c>
      <c r="B135" s="94" t="str">
        <f>'Resultater - Vestdanmark'!B135</f>
        <v>Økologisk</v>
      </c>
      <c r="C135" s="94" t="str">
        <f>'Resultater - Vestdanmark'!C135</f>
        <v/>
      </c>
      <c r="D135" s="94" t="str">
        <f>'Resultater - Vestdanmark'!D135</f>
        <v>Fjerkræ</v>
      </c>
      <c r="E135" s="94" t="str">
        <f>'Resultater - Vestdanmark'!E135</f>
        <v>Antal</v>
      </c>
      <c r="F135" s="94" t="str">
        <f>'Resultater - Vestdanmark'!F135</f>
        <v>Dybstrøelse</v>
      </c>
      <c r="G135" s="94" t="str">
        <f>'Resultater - Vestdanmark'!G135</f>
        <v>Ton</v>
      </c>
      <c r="H135" s="254">
        <f>'Resultater - Vestdanmark'!H135+'Resultater - Østdanmark'!H135</f>
        <v>8147.4854664070526</v>
      </c>
      <c r="I135" s="255">
        <f>'Resultater - Vestdanmark'!I135+'Resultater - Østdanmark'!I135</f>
        <v>20148.581166079479</v>
      </c>
      <c r="J135" s="256">
        <f>'Resultater - Vestdanmark'!J135+'Resultater - Østdanmark'!J135</f>
        <v>22931.167798801402</v>
      </c>
    </row>
    <row r="136" spans="1:10" x14ac:dyDescent="0.25">
      <c r="A136" s="94" t="str">
        <f>'Resultater - Vestdanmark'!A136</f>
        <v>Fjerkræbrug</v>
      </c>
      <c r="B136" s="94" t="str">
        <f>'Resultater - Vestdanmark'!B136</f>
        <v>Økologisk</v>
      </c>
      <c r="C136" s="94" t="str">
        <f>'Resultater - Vestdanmark'!C136</f>
        <v/>
      </c>
      <c r="D136" s="94" t="str">
        <f>'Resultater - Vestdanmark'!D136</f>
        <v>Fjerkræ</v>
      </c>
      <c r="E136" s="94" t="str">
        <f>'Resultater - Vestdanmark'!E136</f>
        <v>Antal</v>
      </c>
      <c r="F136" s="94" t="str">
        <f>'Resultater - Vestdanmark'!F136</f>
        <v>Æg</v>
      </c>
      <c r="G136" s="94" t="str">
        <f>'Resultater - Vestdanmark'!G136</f>
        <v>Ton</v>
      </c>
      <c r="H136" s="254">
        <f>'Resultater - Vestdanmark'!H136+'Resultater - Østdanmark'!H136</f>
        <v>15000</v>
      </c>
      <c r="I136" s="255">
        <f>'Resultater - Vestdanmark'!I136+'Resultater - Østdanmark'!I136</f>
        <v>37094.723118846094</v>
      </c>
      <c r="J136" s="256">
        <f>'Resultater - Vestdanmark'!J136+'Resultater - Østdanmark'!J136</f>
        <v>42217.628788690155</v>
      </c>
    </row>
    <row r="137" spans="1:10" x14ac:dyDescent="0.25">
      <c r="A137" s="94" t="str">
        <f>'Resultater - Vestdanmark'!A137</f>
        <v>Fjerkræbrug</v>
      </c>
      <c r="B137" s="94" t="str">
        <f>'Resultater - Vestdanmark'!B137</f>
        <v>Økologisk</v>
      </c>
      <c r="C137" s="94" t="str">
        <f>'Resultater - Vestdanmark'!C137</f>
        <v/>
      </c>
      <c r="D137" s="94" t="str">
        <f>'Resultater - Vestdanmark'!D137</f>
        <v>Fjerkræ</v>
      </c>
      <c r="E137" s="94" t="str">
        <f>'Resultater - Vestdanmark'!E137</f>
        <v>Antal</v>
      </c>
      <c r="F137" s="94" t="str">
        <f>'Resultater - Vestdanmark'!F137</f>
        <v>Industriaffald</v>
      </c>
      <c r="G137" s="94" t="str">
        <f>'Resultater - Vestdanmark'!G137</f>
        <v>Ton</v>
      </c>
      <c r="H137" s="254">
        <f>'Resultater - Vestdanmark'!H137+'Resultater - Østdanmark'!H137</f>
        <v>1539.2752332269538</v>
      </c>
      <c r="I137" s="255">
        <f>'Resultater - Vestdanmark'!I137+'Resultater - Østdanmark'!I137</f>
        <v>3806.5992386834064</v>
      </c>
      <c r="J137" s="256">
        <f>'Resultater - Vestdanmark'!J137+'Resultater - Østdanmark'!J137</f>
        <v>4332.3033599999999</v>
      </c>
    </row>
    <row r="138" spans="1:10" x14ac:dyDescent="0.25">
      <c r="A138" s="94" t="str">
        <f>'Resultater - Vestdanmark'!A138</f>
        <v>Fjerkræbrug</v>
      </c>
      <c r="B138" s="94" t="str">
        <f>'Resultater - Vestdanmark'!B138</f>
        <v>Økologisk</v>
      </c>
      <c r="C138" s="94" t="str">
        <f>'Resultater - Vestdanmark'!C138</f>
        <v/>
      </c>
      <c r="D138" s="94" t="str">
        <f>'Resultater - Vestdanmark'!D138</f>
        <v>Fjerkræ</v>
      </c>
      <c r="E138" s="94" t="str">
        <f>'Resultater - Vestdanmark'!E138</f>
        <v>Antal</v>
      </c>
      <c r="F138" s="94" t="str">
        <f>'Resultater - Vestdanmark'!F138</f>
        <v>Foder</v>
      </c>
      <c r="G138" s="94" t="str">
        <f>'Resultater - Vestdanmark'!G138</f>
        <v>FE</v>
      </c>
      <c r="H138" s="254">
        <f>'Resultater - Vestdanmark'!H138+'Resultater - Østdanmark'!H138</f>
        <v>-60564263.759999998</v>
      </c>
      <c r="I138" s="255">
        <f>'Resultater - Vestdanmark'!I138+'Resultater - Østdanmark'!I138</f>
        <v>-149774306.33826429</v>
      </c>
      <c r="J138" s="256">
        <f>'Resultater - Vestdanmark'!J138+'Resultater - Østdanmark'!J138</f>
        <v>-170458640.352</v>
      </c>
    </row>
    <row r="139" spans="1:10" x14ac:dyDescent="0.25">
      <c r="A139" s="94" t="str">
        <f>'Resultater - Vestdanmark'!A139</f>
        <v>Fjerkræbrug</v>
      </c>
      <c r="B139" s="94" t="str">
        <f>'Resultater - Vestdanmark'!B139</f>
        <v>Økologisk</v>
      </c>
      <c r="C139" s="94" t="str">
        <f>'Resultater - Vestdanmark'!C139</f>
        <v/>
      </c>
      <c r="D139" s="94" t="str">
        <f>'Resultater - Vestdanmark'!D139</f>
        <v>Fjerkræ</v>
      </c>
      <c r="E139" s="94" t="str">
        <f>'Resultater - Vestdanmark'!E139</f>
        <v>Antal</v>
      </c>
      <c r="F139" s="94" t="str">
        <f>'Resultater - Vestdanmark'!F139</f>
        <v>Halm</v>
      </c>
      <c r="G139" s="94" t="str">
        <f>'Resultater - Vestdanmark'!G139</f>
        <v>Ton</v>
      </c>
      <c r="H139" s="254">
        <f>'Resultater - Vestdanmark'!H139+'Resultater - Østdanmark'!H139</f>
        <v>-2703.7617749999999</v>
      </c>
      <c r="I139" s="255">
        <f>'Resultater - Vestdanmark'!I139+'Resultater - Østdanmark'!I139</f>
        <v>-6686.3529615296566</v>
      </c>
      <c r="J139" s="256">
        <f>'Resultater - Vestdanmark'!J139+'Resultater - Østdanmark'!J139</f>
        <v>-7609.76073</v>
      </c>
    </row>
    <row r="140" spans="1:10" x14ac:dyDescent="0.25">
      <c r="A140" s="94" t="str">
        <f>'Resultater - Vestdanmark'!A140</f>
        <v>Fjerkræbrug</v>
      </c>
      <c r="B140" s="94" t="str">
        <f>'Resultater - Vestdanmark'!B140</f>
        <v>Økologisk</v>
      </c>
      <c r="C140" s="94" t="str">
        <f>'Resultater - Vestdanmark'!C140</f>
        <v/>
      </c>
      <c r="D140" s="94" t="str">
        <f>'Resultater - Vestdanmark'!D140</f>
        <v>Fjerkræ</v>
      </c>
      <c r="E140" s="94" t="str">
        <f>'Resultater - Vestdanmark'!E140</f>
        <v>Antal</v>
      </c>
      <c r="F140" s="94" t="str">
        <f>'Resultater - Vestdanmark'!F140</f>
        <v>CO2 - atmosfære</v>
      </c>
      <c r="G140" s="94" t="str">
        <f>'Resultater - Vestdanmark'!G140</f>
        <v>t CO2-ækvivalenter</v>
      </c>
      <c r="H140" s="254">
        <f>'Resultater - Vestdanmark'!H140+'Resultater - Østdanmark'!H140</f>
        <v>2572.4691839803959</v>
      </c>
      <c r="I140" s="255">
        <f>'Resultater - Vestdanmark'!I140+'Resultater - Østdanmark'!I140</f>
        <v>6361.6688074344493</v>
      </c>
      <c r="J140" s="256">
        <f>'Resultater - Vestdanmark'!J140+'Resultater - Østdanmark'!J140</f>
        <v>7240.2366053086025</v>
      </c>
    </row>
    <row r="141" spans="1:10" x14ac:dyDescent="0.25">
      <c r="A141" s="94" t="str">
        <f>'Resultater - Vestdanmark'!A141</f>
        <v>Kornmark</v>
      </c>
      <c r="B141" s="94" t="str">
        <f>'Resultater - Vestdanmark'!B141</f>
        <v>Konventionel</v>
      </c>
      <c r="C141" s="94" t="str">
        <f>'Resultater - Vestdanmark'!C141</f>
        <v>JB1-10</v>
      </c>
      <c r="D141" s="94" t="str">
        <f>'Resultater - Vestdanmark'!D141</f>
        <v>Areal-korn</v>
      </c>
      <c r="E141" s="94" t="str">
        <f>'Resultater - Vestdanmark'!E141</f>
        <v>Hektar</v>
      </c>
      <c r="F141" s="94" t="str">
        <f>'Resultater - Vestdanmark'!F141</f>
        <v>Korn</v>
      </c>
      <c r="G141" s="94" t="str">
        <f>'Resultater - Vestdanmark'!G141</f>
        <v>Ton</v>
      </c>
      <c r="H141" s="254">
        <f>'Resultater - Vestdanmark'!H141+'Resultater - Østdanmark'!H141</f>
        <v>8028892.7421747725</v>
      </c>
      <c r="I141" s="255">
        <f>'Resultater - Vestdanmark'!I141+'Resultater - Østdanmark'!I141</f>
        <v>5803750.4512991719</v>
      </c>
      <c r="J141" s="256">
        <f>'Resultater - Vestdanmark'!J141+'Resultater - Østdanmark'!J141</f>
        <v>0</v>
      </c>
    </row>
    <row r="142" spans="1:10" x14ac:dyDescent="0.25">
      <c r="A142" s="94" t="str">
        <f>'Resultater - Vestdanmark'!A142</f>
        <v>Kornmark</v>
      </c>
      <c r="B142" s="94" t="str">
        <f>'Resultater - Vestdanmark'!B142</f>
        <v>Konventionel</v>
      </c>
      <c r="C142" s="94" t="str">
        <f>'Resultater - Vestdanmark'!C142</f>
        <v>JB1-10</v>
      </c>
      <c r="D142" s="94" t="str">
        <f>'Resultater - Vestdanmark'!D142</f>
        <v>Areal-korn</v>
      </c>
      <c r="E142" s="94" t="str">
        <f>'Resultater - Vestdanmark'!E142</f>
        <v>Hektar</v>
      </c>
      <c r="F142" s="94" t="str">
        <f>'Resultater - Vestdanmark'!F142</f>
        <v>Halm</v>
      </c>
      <c r="G142" s="94" t="str">
        <f>'Resultater - Vestdanmark'!G142</f>
        <v>Ton</v>
      </c>
      <c r="H142" s="254">
        <f>'Resultater - Vestdanmark'!H142+'Resultater - Østdanmark'!H142</f>
        <v>2620610.5188139905</v>
      </c>
      <c r="I142" s="255">
        <f>'Resultater - Vestdanmark'!I142+'Resultater - Østdanmark'!I142</f>
        <v>1991041.167345965</v>
      </c>
      <c r="J142" s="256">
        <f>'Resultater - Vestdanmark'!J142+'Resultater - Østdanmark'!J142</f>
        <v>0</v>
      </c>
    </row>
    <row r="143" spans="1:10" x14ac:dyDescent="0.25">
      <c r="A143" s="94" t="str">
        <f>'Resultater - Vestdanmark'!A143</f>
        <v>Kornmark</v>
      </c>
      <c r="B143" s="94" t="str">
        <f>'Resultater - Vestdanmark'!B143</f>
        <v>Konventionel</v>
      </c>
      <c r="C143" s="94" t="str">
        <f>'Resultater - Vestdanmark'!C143</f>
        <v>JB1-10</v>
      </c>
      <c r="D143" s="94" t="str">
        <f>'Resultater - Vestdanmark'!D143</f>
        <v>Areal-korn</v>
      </c>
      <c r="E143" s="94" t="str">
        <f>'Resultater - Vestdanmark'!E143</f>
        <v>Hektar</v>
      </c>
      <c r="F143" s="94" t="str">
        <f>'Resultater - Vestdanmark'!F143</f>
        <v>Gødning</v>
      </c>
      <c r="G143" s="94" t="str">
        <f>'Resultater - Vestdanmark'!G143</f>
        <v>kg N</v>
      </c>
      <c r="H143" s="254">
        <f>'Resultater - Vestdanmark'!H143+'Resultater - Østdanmark'!H143</f>
        <v>-183255754.45762676</v>
      </c>
      <c r="I143" s="255">
        <f>'Resultater - Vestdanmark'!I143+'Resultater - Østdanmark'!I143</f>
        <v>-132467913.29641476</v>
      </c>
      <c r="J143" s="256">
        <f>'Resultater - Vestdanmark'!J143+'Resultater - Østdanmark'!J143</f>
        <v>0</v>
      </c>
    </row>
    <row r="144" spans="1:10" x14ac:dyDescent="0.25">
      <c r="A144" s="94" t="str">
        <f>'Resultater - Vestdanmark'!A144</f>
        <v>Kornmark</v>
      </c>
      <c r="B144" s="94" t="str">
        <f>'Resultater - Vestdanmark'!B144</f>
        <v>Konventionel</v>
      </c>
      <c r="C144" s="94" t="str">
        <f>'Resultater - Vestdanmark'!C144</f>
        <v>JB1-10</v>
      </c>
      <c r="D144" s="94" t="str">
        <f>'Resultater - Vestdanmark'!D144</f>
        <v>Areal-korn</v>
      </c>
      <c r="E144" s="94" t="str">
        <f>'Resultater - Vestdanmark'!E144</f>
        <v>Hektar</v>
      </c>
      <c r="F144" s="94" t="str">
        <f>'Resultater - Vestdanmark'!F144</f>
        <v>CO2 - atmosfære</v>
      </c>
      <c r="G144" s="94" t="str">
        <f>'Resultater - Vestdanmark'!G144</f>
        <v>t CO2-ækvivalenter</v>
      </c>
      <c r="H144" s="254">
        <f>'Resultater - Vestdanmark'!H144+'Resultater - Østdanmark'!H144</f>
        <v>2604172.3544975286</v>
      </c>
      <c r="I144" s="255">
        <f>'Resultater - Vestdanmark'!I144+'Resultater - Østdanmark'!I144</f>
        <v>1882447.1770913163</v>
      </c>
      <c r="J144" s="256">
        <f>'Resultater - Vestdanmark'!J144+'Resultater - Østdanmark'!J144</f>
        <v>0</v>
      </c>
    </row>
    <row r="145" spans="1:10" x14ac:dyDescent="0.25">
      <c r="A145" s="94" t="str">
        <f>'Resultater - Vestdanmark'!A145</f>
        <v>Kornmark</v>
      </c>
      <c r="B145" s="94" t="str">
        <f>'Resultater - Vestdanmark'!B145</f>
        <v>Konventionel</v>
      </c>
      <c r="C145" s="94" t="str">
        <f>'Resultater - Vestdanmark'!C145</f>
        <v>OC6</v>
      </c>
      <c r="D145" s="94" t="str">
        <f>'Resultater - Vestdanmark'!D145</f>
        <v>Areal-korn</v>
      </c>
      <c r="E145" s="94" t="str">
        <f>'Resultater - Vestdanmark'!E145</f>
        <v>Hektar</v>
      </c>
      <c r="F145" s="94" t="str">
        <f>'Resultater - Vestdanmark'!F145</f>
        <v>Korn</v>
      </c>
      <c r="G145" s="94" t="str">
        <f>'Resultater - Vestdanmark'!G145</f>
        <v>Ton</v>
      </c>
      <c r="H145" s="254">
        <f>'Resultater - Vestdanmark'!H145+'Resultater - Østdanmark'!H145</f>
        <v>228280.18071014562</v>
      </c>
      <c r="I145" s="255">
        <f>'Resultater - Vestdanmark'!I145+'Resultater - Østdanmark'!I145</f>
        <v>169995.91485721772</v>
      </c>
      <c r="J145" s="256">
        <f>'Resultater - Vestdanmark'!J145+'Resultater - Østdanmark'!J145</f>
        <v>18465.221820790757</v>
      </c>
    </row>
    <row r="146" spans="1:10" x14ac:dyDescent="0.25">
      <c r="A146" s="94" t="str">
        <f>'Resultater - Vestdanmark'!A146</f>
        <v>Kornmark</v>
      </c>
      <c r="B146" s="94" t="str">
        <f>'Resultater - Vestdanmark'!B146</f>
        <v>Konventionel</v>
      </c>
      <c r="C146" s="94" t="str">
        <f>'Resultater - Vestdanmark'!C146</f>
        <v>OC6</v>
      </c>
      <c r="D146" s="94" t="str">
        <f>'Resultater - Vestdanmark'!D146</f>
        <v>Areal-korn</v>
      </c>
      <c r="E146" s="94" t="str">
        <f>'Resultater - Vestdanmark'!E146</f>
        <v>Hektar</v>
      </c>
      <c r="F146" s="94" t="str">
        <f>'Resultater - Vestdanmark'!F146</f>
        <v>Halm</v>
      </c>
      <c r="G146" s="94" t="str">
        <f>'Resultater - Vestdanmark'!G146</f>
        <v>Ton</v>
      </c>
      <c r="H146" s="254">
        <f>'Resultater - Vestdanmark'!H146+'Resultater - Østdanmark'!H146</f>
        <v>74510.080283339761</v>
      </c>
      <c r="I146" s="255">
        <f>'Resultater - Vestdanmark'!I146+'Resultater - Østdanmark'!I146</f>
        <v>58318.990039551696</v>
      </c>
      <c r="J146" s="256">
        <f>'Resultater - Vestdanmark'!J146+'Resultater - Østdanmark'!J146</f>
        <v>6890.759152973591</v>
      </c>
    </row>
    <row r="147" spans="1:10" x14ac:dyDescent="0.25">
      <c r="A147" s="94" t="str">
        <f>'Resultater - Vestdanmark'!A147</f>
        <v>Kornmark</v>
      </c>
      <c r="B147" s="94" t="str">
        <f>'Resultater - Vestdanmark'!B147</f>
        <v>Konventionel</v>
      </c>
      <c r="C147" s="94" t="str">
        <f>'Resultater - Vestdanmark'!C147</f>
        <v>OC6</v>
      </c>
      <c r="D147" s="94" t="str">
        <f>'Resultater - Vestdanmark'!D147</f>
        <v>Areal-korn</v>
      </c>
      <c r="E147" s="94" t="str">
        <f>'Resultater - Vestdanmark'!E147</f>
        <v>Hektar</v>
      </c>
      <c r="F147" s="94" t="str">
        <f>'Resultater - Vestdanmark'!F147</f>
        <v>Gødning</v>
      </c>
      <c r="G147" s="94" t="str">
        <f>'Resultater - Vestdanmark'!G147</f>
        <v>kg N</v>
      </c>
      <c r="H147" s="254">
        <f>'Resultater - Vestdanmark'!H147+'Resultater - Østdanmark'!H147</f>
        <v>-3527867.7475414807</v>
      </c>
      <c r="I147" s="255">
        <f>'Resultater - Vestdanmark'!I147+'Resultater - Østdanmark'!I147</f>
        <v>-2627136.1069232412</v>
      </c>
      <c r="J147" s="256">
        <f>'Resultater - Vestdanmark'!J147+'Resultater - Østdanmark'!J147</f>
        <v>-285363.62775829755</v>
      </c>
    </row>
    <row r="148" spans="1:10" x14ac:dyDescent="0.25">
      <c r="A148" s="94" t="str">
        <f>'Resultater - Vestdanmark'!A148</f>
        <v>Kornmark</v>
      </c>
      <c r="B148" s="94" t="str">
        <f>'Resultater - Vestdanmark'!B148</f>
        <v>Konventionel</v>
      </c>
      <c r="C148" s="94" t="str">
        <f>'Resultater - Vestdanmark'!C148</f>
        <v>OC6</v>
      </c>
      <c r="D148" s="94" t="str">
        <f>'Resultater - Vestdanmark'!D148</f>
        <v>Areal-korn</v>
      </c>
      <c r="E148" s="94" t="str">
        <f>'Resultater - Vestdanmark'!E148</f>
        <v>Hektar</v>
      </c>
      <c r="F148" s="94" t="str">
        <f>'Resultater - Vestdanmark'!F148</f>
        <v>CO2 - atmosfære</v>
      </c>
      <c r="G148" s="94" t="str">
        <f>'Resultater - Vestdanmark'!G148</f>
        <v>t CO2-ækvivalenter</v>
      </c>
      <c r="H148" s="254">
        <f>'Resultater - Vestdanmark'!H148+'Resultater - Østdanmark'!H148</f>
        <v>433973.71375071316</v>
      </c>
      <c r="I148" s="255">
        <f>'Resultater - Vestdanmark'!I148+'Resultater - Østdanmark'!I148</f>
        <v>323171.9821823237</v>
      </c>
      <c r="J148" s="256">
        <f>'Resultater - Vestdanmark'!J148+'Resultater - Østdanmark'!J148</f>
        <v>35103.445528519878</v>
      </c>
    </row>
    <row r="149" spans="1:10" x14ac:dyDescent="0.25">
      <c r="A149" s="94" t="str">
        <f>'Resultater - Vestdanmark'!A149</f>
        <v>Kornmark</v>
      </c>
      <c r="B149" s="94" t="str">
        <f>'Resultater - Vestdanmark'!B149</f>
        <v>Konventionel</v>
      </c>
      <c r="C149" s="94" t="str">
        <f>'Resultater - Vestdanmark'!C149</f>
        <v>OC12</v>
      </c>
      <c r="D149" s="94" t="str">
        <f>'Resultater - Vestdanmark'!D149</f>
        <v>Areal-korn</v>
      </c>
      <c r="E149" s="94" t="str">
        <f>'Resultater - Vestdanmark'!E149</f>
        <v>Hektar</v>
      </c>
      <c r="F149" s="94" t="str">
        <f>'Resultater - Vestdanmark'!F149</f>
        <v>Korn</v>
      </c>
      <c r="G149" s="94" t="str">
        <f>'Resultater - Vestdanmark'!G149</f>
        <v>Ton</v>
      </c>
      <c r="H149" s="254">
        <f>'Resultater - Vestdanmark'!H149+'Resultater - Østdanmark'!H149</f>
        <v>135901.60941201358</v>
      </c>
      <c r="I149" s="255">
        <f>'Resultater - Vestdanmark'!I149+'Resultater - Østdanmark'!I149</f>
        <v>98757.415971261042</v>
      </c>
      <c r="J149" s="256">
        <f>'Resultater - Vestdanmark'!J149+'Resultater - Østdanmark'!J149</f>
        <v>0</v>
      </c>
    </row>
    <row r="150" spans="1:10" x14ac:dyDescent="0.25">
      <c r="A150" s="94" t="str">
        <f>'Resultater - Vestdanmark'!A150</f>
        <v>Kornmark</v>
      </c>
      <c r="B150" s="94" t="str">
        <f>'Resultater - Vestdanmark'!B150</f>
        <v>Konventionel</v>
      </c>
      <c r="C150" s="94" t="str">
        <f>'Resultater - Vestdanmark'!C150</f>
        <v>OC12</v>
      </c>
      <c r="D150" s="94" t="str">
        <f>'Resultater - Vestdanmark'!D150</f>
        <v>Areal-korn</v>
      </c>
      <c r="E150" s="94" t="str">
        <f>'Resultater - Vestdanmark'!E150</f>
        <v>Hektar</v>
      </c>
      <c r="F150" s="94" t="str">
        <f>'Resultater - Vestdanmark'!F150</f>
        <v>Halm</v>
      </c>
      <c r="G150" s="94" t="str">
        <f>'Resultater - Vestdanmark'!G150</f>
        <v>Ton</v>
      </c>
      <c r="H150" s="254">
        <f>'Resultater - Vestdanmark'!H150+'Resultater - Østdanmark'!H150</f>
        <v>44357.945558057712</v>
      </c>
      <c r="I150" s="255">
        <f>'Resultater - Vestdanmark'!I150+'Resultater - Østdanmark'!I150</f>
        <v>33879.830366496019</v>
      </c>
      <c r="J150" s="256">
        <f>'Resultater - Vestdanmark'!J150+'Resultater - Østdanmark'!J150</f>
        <v>0</v>
      </c>
    </row>
    <row r="151" spans="1:10" x14ac:dyDescent="0.25">
      <c r="A151" s="94" t="str">
        <f>'Resultater - Vestdanmark'!A151</f>
        <v>Kornmark</v>
      </c>
      <c r="B151" s="94" t="str">
        <f>'Resultater - Vestdanmark'!B151</f>
        <v>Konventionel</v>
      </c>
      <c r="C151" s="94" t="str">
        <f>'Resultater - Vestdanmark'!C151</f>
        <v>OC12</v>
      </c>
      <c r="D151" s="94" t="str">
        <f>'Resultater - Vestdanmark'!D151</f>
        <v>Areal-korn</v>
      </c>
      <c r="E151" s="94" t="str">
        <f>'Resultater - Vestdanmark'!E151</f>
        <v>Hektar</v>
      </c>
      <c r="F151" s="94" t="str">
        <f>'Resultater - Vestdanmark'!F151</f>
        <v>Gødning</v>
      </c>
      <c r="G151" s="94" t="str">
        <f>'Resultater - Vestdanmark'!G151</f>
        <v>kg N</v>
      </c>
      <c r="H151" s="254">
        <f>'Resultater - Vestdanmark'!H151+'Resultater - Østdanmark'!H151</f>
        <v>-1384772.8694927006</v>
      </c>
      <c r="I151" s="255">
        <f>'Resultater - Vestdanmark'!I151+'Resultater - Østdanmark'!I151</f>
        <v>-1006291.1755783681</v>
      </c>
      <c r="J151" s="256">
        <f>'Resultater - Vestdanmark'!J151+'Resultater - Østdanmark'!J151</f>
        <v>0</v>
      </c>
    </row>
    <row r="152" spans="1:10" x14ac:dyDescent="0.25">
      <c r="A152" s="94" t="str">
        <f>'Resultater - Vestdanmark'!A152</f>
        <v>Kornmark</v>
      </c>
      <c r="B152" s="94" t="str">
        <f>'Resultater - Vestdanmark'!B152</f>
        <v>Konventionel</v>
      </c>
      <c r="C152" s="94" t="str">
        <f>'Resultater - Vestdanmark'!C152</f>
        <v>OC12</v>
      </c>
      <c r="D152" s="94" t="str">
        <f>'Resultater - Vestdanmark'!D152</f>
        <v>Areal-korn</v>
      </c>
      <c r="E152" s="94" t="str">
        <f>'Resultater - Vestdanmark'!E152</f>
        <v>Hektar</v>
      </c>
      <c r="F152" s="94" t="str">
        <f>'Resultater - Vestdanmark'!F152</f>
        <v>CO2 - atmosfære</v>
      </c>
      <c r="G152" s="94" t="str">
        <f>'Resultater - Vestdanmark'!G152</f>
        <v>t CO2-ækvivalenter</v>
      </c>
      <c r="H152" s="254">
        <f>'Resultater - Vestdanmark'!H152+'Resultater - Østdanmark'!H152</f>
        <v>567087.95319850883</v>
      </c>
      <c r="I152" s="255">
        <f>'Resultater - Vestdanmark'!I152+'Resultater - Østdanmark'!I152</f>
        <v>412093.28666982974</v>
      </c>
      <c r="J152" s="256">
        <f>'Resultater - Vestdanmark'!J152+'Resultater - Østdanmark'!J152</f>
        <v>0</v>
      </c>
    </row>
    <row r="153" spans="1:10" x14ac:dyDescent="0.25">
      <c r="A153" s="94" t="str">
        <f>'Resultater - Vestdanmark'!A153</f>
        <v>Kornmark</v>
      </c>
      <c r="B153" s="94" t="str">
        <f>'Resultater - Vestdanmark'!B153</f>
        <v>Økologisk</v>
      </c>
      <c r="C153" s="94" t="str">
        <f>'Resultater - Vestdanmark'!C153</f>
        <v>JB1-10</v>
      </c>
      <c r="D153" s="94" t="str">
        <f>'Resultater - Vestdanmark'!D153</f>
        <v>Areal-korn</v>
      </c>
      <c r="E153" s="94" t="str">
        <f>'Resultater - Vestdanmark'!E153</f>
        <v>Hektar</v>
      </c>
      <c r="F153" s="94" t="str">
        <f>'Resultater - Vestdanmark'!F153</f>
        <v>Korn</v>
      </c>
      <c r="G153" s="94" t="str">
        <f>'Resultater - Vestdanmark'!G153</f>
        <v>Ton</v>
      </c>
      <c r="H153" s="254">
        <f>'Resultater - Vestdanmark'!H153+'Resultater - Østdanmark'!H153</f>
        <v>687812.87730450777</v>
      </c>
      <c r="I153" s="255">
        <f>'Resultater - Vestdanmark'!I153+'Resultater - Østdanmark'!I153</f>
        <v>608106.30251785053</v>
      </c>
      <c r="J153" s="256">
        <f>'Resultater - Vestdanmark'!J153+'Resultater - Østdanmark'!J153</f>
        <v>0</v>
      </c>
    </row>
    <row r="154" spans="1:10" x14ac:dyDescent="0.25">
      <c r="A154" s="94" t="str">
        <f>'Resultater - Vestdanmark'!A154</f>
        <v>Kornmark</v>
      </c>
      <c r="B154" s="94" t="str">
        <f>'Resultater - Vestdanmark'!B154</f>
        <v>Økologisk</v>
      </c>
      <c r="C154" s="94" t="str">
        <f>'Resultater - Vestdanmark'!C154</f>
        <v>JB1-10</v>
      </c>
      <c r="D154" s="94" t="str">
        <f>'Resultater - Vestdanmark'!D154</f>
        <v>Areal-korn</v>
      </c>
      <c r="E154" s="94" t="str">
        <f>'Resultater - Vestdanmark'!E154</f>
        <v>Hektar</v>
      </c>
      <c r="F154" s="94" t="str">
        <f>'Resultater - Vestdanmark'!F154</f>
        <v>Halm</v>
      </c>
      <c r="G154" s="94" t="str">
        <f>'Resultater - Vestdanmark'!G154</f>
        <v>Ton</v>
      </c>
      <c r="H154" s="254">
        <f>'Resultater - Vestdanmark'!H154+'Resultater - Østdanmark'!H154</f>
        <v>224500.40361999813</v>
      </c>
      <c r="I154" s="255">
        <f>'Resultater - Vestdanmark'!I154+'Resultater - Østdanmark'!I154</f>
        <v>208617.63313144344</v>
      </c>
      <c r="J154" s="256">
        <f>'Resultater - Vestdanmark'!J154+'Resultater - Østdanmark'!J154</f>
        <v>0</v>
      </c>
    </row>
    <row r="155" spans="1:10" x14ac:dyDescent="0.25">
      <c r="A155" s="94" t="str">
        <f>'Resultater - Vestdanmark'!A155</f>
        <v>Kornmark</v>
      </c>
      <c r="B155" s="94" t="str">
        <f>'Resultater - Vestdanmark'!B155</f>
        <v>Økologisk</v>
      </c>
      <c r="C155" s="94" t="str">
        <f>'Resultater - Vestdanmark'!C155</f>
        <v>JB1-10</v>
      </c>
      <c r="D155" s="94" t="str">
        <f>'Resultater - Vestdanmark'!D155</f>
        <v>Areal-korn</v>
      </c>
      <c r="E155" s="94" t="str">
        <f>'Resultater - Vestdanmark'!E155</f>
        <v>Hektar</v>
      </c>
      <c r="F155" s="94" t="str">
        <f>'Resultater - Vestdanmark'!F155</f>
        <v>Gødning</v>
      </c>
      <c r="G155" s="94" t="str">
        <f>'Resultater - Vestdanmark'!G155</f>
        <v>kg N</v>
      </c>
      <c r="H155" s="254">
        <f>'Resultater - Vestdanmark'!H155+'Resultater - Østdanmark'!H155</f>
        <v>-15699010.038333988</v>
      </c>
      <c r="I155" s="255">
        <f>'Resultater - Vestdanmark'!I155+'Resultater - Østdanmark'!I155</f>
        <v>-13879744.422661353</v>
      </c>
      <c r="J155" s="256">
        <f>'Resultater - Vestdanmark'!J155+'Resultater - Østdanmark'!J155</f>
        <v>0</v>
      </c>
    </row>
    <row r="156" spans="1:10" x14ac:dyDescent="0.25">
      <c r="A156" s="94" t="str">
        <f>'Resultater - Vestdanmark'!A156</f>
        <v>Kornmark</v>
      </c>
      <c r="B156" s="94" t="str">
        <f>'Resultater - Vestdanmark'!B156</f>
        <v>Økologisk</v>
      </c>
      <c r="C156" s="94" t="str">
        <f>'Resultater - Vestdanmark'!C156</f>
        <v>JB1-10</v>
      </c>
      <c r="D156" s="94" t="str">
        <f>'Resultater - Vestdanmark'!D156</f>
        <v>Areal-korn</v>
      </c>
      <c r="E156" s="94" t="str">
        <f>'Resultater - Vestdanmark'!E156</f>
        <v>Hektar</v>
      </c>
      <c r="F156" s="94" t="str">
        <f>'Resultater - Vestdanmark'!F156</f>
        <v>CO2 - atmosfære</v>
      </c>
      <c r="G156" s="94" t="str">
        <f>'Resultater - Vestdanmark'!G156</f>
        <v>t CO2-ækvivalenter</v>
      </c>
      <c r="H156" s="254">
        <f>'Resultater - Vestdanmark'!H156+'Resultater - Østdanmark'!H156</f>
        <v>332973.42070203071</v>
      </c>
      <c r="I156" s="255">
        <f>'Resultater - Vestdanmark'!I156+'Resultater - Østdanmark'!I156</f>
        <v>294387.09623081022</v>
      </c>
      <c r="J156" s="256">
        <f>'Resultater - Vestdanmark'!J156+'Resultater - Østdanmark'!J156</f>
        <v>0</v>
      </c>
    </row>
    <row r="157" spans="1:10" x14ac:dyDescent="0.25">
      <c r="A157" s="94" t="str">
        <f>'Resultater - Vestdanmark'!A157</f>
        <v>Kornmark</v>
      </c>
      <c r="B157" s="94" t="str">
        <f>'Resultater - Vestdanmark'!B157</f>
        <v>Økologisk</v>
      </c>
      <c r="C157" s="94" t="str">
        <f>'Resultater - Vestdanmark'!C157</f>
        <v>OC6</v>
      </c>
      <c r="D157" s="94" t="str">
        <f>'Resultater - Vestdanmark'!D157</f>
        <v>Areal-korn</v>
      </c>
      <c r="E157" s="94" t="str">
        <f>'Resultater - Vestdanmark'!E157</f>
        <v>Hektar</v>
      </c>
      <c r="F157" s="94" t="str">
        <f>'Resultater - Vestdanmark'!F157</f>
        <v>Korn</v>
      </c>
      <c r="G157" s="94" t="str">
        <f>'Resultater - Vestdanmark'!G157</f>
        <v>Ton</v>
      </c>
      <c r="H157" s="254">
        <f>'Resultater - Vestdanmark'!H157+'Resultater - Østdanmark'!H157</f>
        <v>19556.127223005868</v>
      </c>
      <c r="I157" s="255">
        <f>'Resultater - Vestdanmark'!I157+'Resultater - Østdanmark'!I157</f>
        <v>17811.859433725534</v>
      </c>
      <c r="J157" s="256">
        <f>'Resultater - Vestdanmark'!J157+'Resultater - Østdanmark'!J157</f>
        <v>2624.2997072578378</v>
      </c>
    </row>
    <row r="158" spans="1:10" x14ac:dyDescent="0.25">
      <c r="A158" s="94" t="str">
        <f>'Resultater - Vestdanmark'!A158</f>
        <v>Kornmark</v>
      </c>
      <c r="B158" s="94" t="str">
        <f>'Resultater - Vestdanmark'!B158</f>
        <v>Økologisk</v>
      </c>
      <c r="C158" s="94" t="str">
        <f>'Resultater - Vestdanmark'!C158</f>
        <v>OC6</v>
      </c>
      <c r="D158" s="94" t="str">
        <f>'Resultater - Vestdanmark'!D158</f>
        <v>Areal-korn</v>
      </c>
      <c r="E158" s="94" t="str">
        <f>'Resultater - Vestdanmark'!E158</f>
        <v>Hektar</v>
      </c>
      <c r="F158" s="94" t="str">
        <f>'Resultater - Vestdanmark'!F158</f>
        <v>Halm</v>
      </c>
      <c r="G158" s="94" t="str">
        <f>'Resultater - Vestdanmark'!G158</f>
        <v>Ton</v>
      </c>
      <c r="H158" s="254">
        <f>'Resultater - Vestdanmark'!H158+'Resultater - Østdanmark'!H158</f>
        <v>6383.0710352710576</v>
      </c>
      <c r="I158" s="255">
        <f>'Resultater - Vestdanmark'!I158+'Resultater - Østdanmark'!I158</f>
        <v>6110.5565611609763</v>
      </c>
      <c r="J158" s="256">
        <f>'Resultater - Vestdanmark'!J158+'Resultater - Østdanmark'!J158</f>
        <v>979.32304325594362</v>
      </c>
    </row>
    <row r="159" spans="1:10" x14ac:dyDescent="0.25">
      <c r="A159" s="94" t="str">
        <f>'Resultater - Vestdanmark'!A159</f>
        <v>Kornmark</v>
      </c>
      <c r="B159" s="94" t="str">
        <f>'Resultater - Vestdanmark'!B159</f>
        <v>Økologisk</v>
      </c>
      <c r="C159" s="94" t="str">
        <f>'Resultater - Vestdanmark'!C159</f>
        <v>OC6</v>
      </c>
      <c r="D159" s="94" t="str">
        <f>'Resultater - Vestdanmark'!D159</f>
        <v>Areal-korn</v>
      </c>
      <c r="E159" s="94" t="str">
        <f>'Resultater - Vestdanmark'!E159</f>
        <v>Hektar</v>
      </c>
      <c r="F159" s="94" t="str">
        <f>'Resultater - Vestdanmark'!F159</f>
        <v>Gødning</v>
      </c>
      <c r="G159" s="94" t="str">
        <f>'Resultater - Vestdanmark'!G159</f>
        <v>kg N</v>
      </c>
      <c r="H159" s="254">
        <f>'Resultater - Vestdanmark'!H159+'Resultater - Østdanmark'!H159</f>
        <v>-302222.60330370459</v>
      </c>
      <c r="I159" s="255">
        <f>'Resultater - Vestdanmark'!I159+'Resultater - Østdanmark'!I159</f>
        <v>-275266.49148648599</v>
      </c>
      <c r="J159" s="256">
        <f>'Resultater - Vestdanmark'!J159+'Resultater - Østdanmark'!J159</f>
        <v>-40556.22467231562</v>
      </c>
    </row>
    <row r="160" spans="1:10" x14ac:dyDescent="0.25">
      <c r="A160" s="94" t="str">
        <f>'Resultater - Vestdanmark'!A160</f>
        <v>Kornmark</v>
      </c>
      <c r="B160" s="94" t="str">
        <f>'Resultater - Vestdanmark'!B160</f>
        <v>Økologisk</v>
      </c>
      <c r="C160" s="94" t="str">
        <f>'Resultater - Vestdanmark'!C160</f>
        <v>OC6</v>
      </c>
      <c r="D160" s="94" t="str">
        <f>'Resultater - Vestdanmark'!D160</f>
        <v>Areal-korn</v>
      </c>
      <c r="E160" s="94" t="str">
        <f>'Resultater - Vestdanmark'!E160</f>
        <v>Hektar</v>
      </c>
      <c r="F160" s="94" t="str">
        <f>'Resultater - Vestdanmark'!F160</f>
        <v>CO2 - atmosfære</v>
      </c>
      <c r="G160" s="94" t="str">
        <f>'Resultater - Vestdanmark'!G160</f>
        <v>t CO2-ækvivalenter</v>
      </c>
      <c r="H160" s="254">
        <f>'Resultater - Vestdanmark'!H160+'Resultater - Østdanmark'!H160</f>
        <v>55488.536199525202</v>
      </c>
      <c r="I160" s="255">
        <f>'Resultater - Vestdanmark'!I160+'Resultater - Østdanmark'!I160</f>
        <v>50539.352485211501</v>
      </c>
      <c r="J160" s="256">
        <f>'Resultater - Vestdanmark'!J160+'Resultater - Østdanmark'!J160</f>
        <v>7446.1854151405796</v>
      </c>
    </row>
    <row r="161" spans="1:10" x14ac:dyDescent="0.25">
      <c r="A161" s="94" t="str">
        <f>'Resultater - Vestdanmark'!A161</f>
        <v>Kornmark</v>
      </c>
      <c r="B161" s="94" t="str">
        <f>'Resultater - Vestdanmark'!B161</f>
        <v>Økologisk</v>
      </c>
      <c r="C161" s="94" t="str">
        <f>'Resultater - Vestdanmark'!C161</f>
        <v>OC12</v>
      </c>
      <c r="D161" s="94" t="str">
        <f>'Resultater - Vestdanmark'!D161</f>
        <v>Areal-korn</v>
      </c>
      <c r="E161" s="94" t="str">
        <f>'Resultater - Vestdanmark'!E161</f>
        <v>Hektar</v>
      </c>
      <c r="F161" s="94" t="str">
        <f>'Resultater - Vestdanmark'!F161</f>
        <v>Korn</v>
      </c>
      <c r="G161" s="94" t="str">
        <f>'Resultater - Vestdanmark'!G161</f>
        <v>Ton</v>
      </c>
      <c r="H161" s="254">
        <f>'Resultater - Vestdanmark'!H161+'Resultater - Østdanmark'!H161</f>
        <v>11642.312333926018</v>
      </c>
      <c r="I161" s="255">
        <f>'Resultater - Vestdanmark'!I161+'Resultater - Østdanmark'!I161</f>
        <v>10347.620487207119</v>
      </c>
      <c r="J161" s="256">
        <f>'Resultater - Vestdanmark'!J161+'Resultater - Østdanmark'!J161</f>
        <v>0</v>
      </c>
    </row>
    <row r="162" spans="1:10" x14ac:dyDescent="0.25">
      <c r="A162" s="94" t="str">
        <f>'Resultater - Vestdanmark'!A162</f>
        <v>Kornmark</v>
      </c>
      <c r="B162" s="94" t="str">
        <f>'Resultater - Vestdanmark'!B162</f>
        <v>Økologisk</v>
      </c>
      <c r="C162" s="94" t="str">
        <f>'Resultater - Vestdanmark'!C162</f>
        <v>OC12</v>
      </c>
      <c r="D162" s="94" t="str">
        <f>'Resultater - Vestdanmark'!D162</f>
        <v>Areal-korn</v>
      </c>
      <c r="E162" s="94" t="str">
        <f>'Resultater - Vestdanmark'!E162</f>
        <v>Hektar</v>
      </c>
      <c r="F162" s="94" t="str">
        <f>'Resultater - Vestdanmark'!F162</f>
        <v>Halm</v>
      </c>
      <c r="G162" s="94" t="str">
        <f>'Resultater - Vestdanmark'!G162</f>
        <v>Ton</v>
      </c>
      <c r="H162" s="254">
        <f>'Resultater - Vestdanmark'!H162+'Resultater - Østdanmark'!H162</f>
        <v>3800.0216400126183</v>
      </c>
      <c r="I162" s="255">
        <f>'Resultater - Vestdanmark'!I162+'Resultater - Østdanmark'!I162</f>
        <v>3549.8663402197117</v>
      </c>
      <c r="J162" s="256">
        <f>'Resultater - Vestdanmark'!J162+'Resultater - Østdanmark'!J162</f>
        <v>0</v>
      </c>
    </row>
    <row r="163" spans="1:10" x14ac:dyDescent="0.25">
      <c r="A163" s="94" t="str">
        <f>'Resultater - Vestdanmark'!A163</f>
        <v>Kornmark</v>
      </c>
      <c r="B163" s="94" t="str">
        <f>'Resultater - Vestdanmark'!B163</f>
        <v>Økologisk</v>
      </c>
      <c r="C163" s="94" t="str">
        <f>'Resultater - Vestdanmark'!C163</f>
        <v>OC12</v>
      </c>
      <c r="D163" s="94" t="str">
        <f>'Resultater - Vestdanmark'!D163</f>
        <v>Areal-korn</v>
      </c>
      <c r="E163" s="94" t="str">
        <f>'Resultater - Vestdanmark'!E163</f>
        <v>Hektar</v>
      </c>
      <c r="F163" s="94" t="str">
        <f>'Resultater - Vestdanmark'!F163</f>
        <v>Gødning</v>
      </c>
      <c r="G163" s="94" t="str">
        <f>'Resultater - Vestdanmark'!G163</f>
        <v>kg N</v>
      </c>
      <c r="H163" s="254">
        <f>'Resultater - Vestdanmark'!H163+'Resultater - Østdanmark'!H163</f>
        <v>-118629.63454173651</v>
      </c>
      <c r="I163" s="255">
        <f>'Resultater - Vestdanmark'!I163+'Resultater - Østdanmark'!I163</f>
        <v>-105437.33938462524</v>
      </c>
      <c r="J163" s="256">
        <f>'Resultater - Vestdanmark'!J163+'Resultater - Østdanmark'!J163</f>
        <v>0</v>
      </c>
    </row>
    <row r="164" spans="1:10" x14ac:dyDescent="0.25">
      <c r="A164" s="94" t="str">
        <f>'Resultater - Vestdanmark'!A164</f>
        <v>Kornmark</v>
      </c>
      <c r="B164" s="94" t="str">
        <f>'Resultater - Vestdanmark'!B164</f>
        <v>Økologisk</v>
      </c>
      <c r="C164" s="94" t="str">
        <f>'Resultater - Vestdanmark'!C164</f>
        <v>OC12</v>
      </c>
      <c r="D164" s="94" t="str">
        <f>'Resultater - Vestdanmark'!D164</f>
        <v>Areal-korn</v>
      </c>
      <c r="E164" s="94" t="str">
        <f>'Resultater - Vestdanmark'!E164</f>
        <v>Hektar</v>
      </c>
      <c r="F164" s="94" t="str">
        <f>'Resultater - Vestdanmark'!F164</f>
        <v>CO2 - atmosfære</v>
      </c>
      <c r="G164" s="94" t="str">
        <f>'Resultater - Vestdanmark'!G164</f>
        <v>t CO2-ækvivalenter</v>
      </c>
      <c r="H164" s="254">
        <f>'Resultater - Vestdanmark'!H164+'Resultater - Østdanmark'!H164</f>
        <v>72508.724428055051</v>
      </c>
      <c r="I164" s="255">
        <f>'Resultater - Vestdanmark'!I164+'Resultater - Østdanmark'!I164</f>
        <v>64445.338767164321</v>
      </c>
      <c r="J164" s="256">
        <f>'Resultater - Vestdanmark'!J164+'Resultater - Østdanmark'!J164</f>
        <v>0</v>
      </c>
    </row>
    <row r="165" spans="1:10" x14ac:dyDescent="0.25">
      <c r="A165" s="94" t="str">
        <f>'Resultater - Vestdanmark'!A165</f>
        <v>Grøntsager på land</v>
      </c>
      <c r="B165" s="94" t="str">
        <f>'Resultater - Vestdanmark'!B165</f>
        <v>Konventionel</v>
      </c>
      <c r="C165" s="94" t="str">
        <f>'Resultater - Vestdanmark'!C165</f>
        <v>JB1-10</v>
      </c>
      <c r="D165" s="94" t="str">
        <f>'Resultater - Vestdanmark'!D165</f>
        <v>Areal-grøntsager</v>
      </c>
      <c r="E165" s="94" t="str">
        <f>'Resultater - Vestdanmark'!E165</f>
        <v>Hektar</v>
      </c>
      <c r="F165" s="94" t="str">
        <f>'Resultater - Vestdanmark'!F165</f>
        <v>Grøntsager</v>
      </c>
      <c r="G165" s="94" t="str">
        <f>'Resultater - Vestdanmark'!G165</f>
        <v>Ton</v>
      </c>
      <c r="H165" s="254">
        <f>'Resultater - Vestdanmark'!H165+'Resultater - Østdanmark'!H165</f>
        <v>229792.23730502045</v>
      </c>
      <c r="I165" s="255">
        <f>'Resultater - Vestdanmark'!I165+'Resultater - Østdanmark'!I165</f>
        <v>1248232.4252260528</v>
      </c>
      <c r="J165" s="256">
        <f>'Resultater - Vestdanmark'!J165+'Resultater - Østdanmark'!J165</f>
        <v>3650978.31648</v>
      </c>
    </row>
    <row r="166" spans="1:10" x14ac:dyDescent="0.25">
      <c r="A166" s="94" t="str">
        <f>'Resultater - Vestdanmark'!A166</f>
        <v>Grøntsager på land</v>
      </c>
      <c r="B166" s="94" t="str">
        <f>'Resultater - Vestdanmark'!B166</f>
        <v>Konventionel</v>
      </c>
      <c r="C166" s="94" t="str">
        <f>'Resultater - Vestdanmark'!C166</f>
        <v>JB1-10</v>
      </c>
      <c r="D166" s="94" t="str">
        <f>'Resultater - Vestdanmark'!D166</f>
        <v>Areal-grøntsager</v>
      </c>
      <c r="E166" s="94" t="str">
        <f>'Resultater - Vestdanmark'!E166</f>
        <v>Hektar</v>
      </c>
      <c r="F166" s="94" t="str">
        <f>'Resultater - Vestdanmark'!F166</f>
        <v>Gødning</v>
      </c>
      <c r="G166" s="94" t="str">
        <f>'Resultater - Vestdanmark'!G166</f>
        <v>kg N</v>
      </c>
      <c r="H166" s="254">
        <f>'Resultater - Vestdanmark'!H166+'Resultater - Østdanmark'!H166</f>
        <v>-2229300.7257745154</v>
      </c>
      <c r="I166" s="255">
        <f>'Resultater - Vestdanmark'!I166+'Resultater - Østdanmark'!I166</f>
        <v>-12115967.67955013</v>
      </c>
      <c r="J166" s="256">
        <f>'Resultater - Vestdanmark'!J166+'Resultater - Østdanmark'!J166</f>
        <v>-35473944</v>
      </c>
    </row>
    <row r="167" spans="1:10" x14ac:dyDescent="0.25">
      <c r="A167" s="94" t="str">
        <f>'Resultater - Vestdanmark'!A167</f>
        <v>Grøntsager på land</v>
      </c>
      <c r="B167" s="94" t="str">
        <f>'Resultater - Vestdanmark'!B167</f>
        <v>Konventionel</v>
      </c>
      <c r="C167" s="94" t="str">
        <f>'Resultater - Vestdanmark'!C167</f>
        <v>JB1-10</v>
      </c>
      <c r="D167" s="94" t="str">
        <f>'Resultater - Vestdanmark'!D167</f>
        <v>Areal-grøntsager</v>
      </c>
      <c r="E167" s="94" t="str">
        <f>'Resultater - Vestdanmark'!E167</f>
        <v>Hektar</v>
      </c>
      <c r="F167" s="94" t="str">
        <f>'Resultater - Vestdanmark'!F167</f>
        <v>CO2 - atmosfære</v>
      </c>
      <c r="G167" s="94" t="str">
        <f>'Resultater - Vestdanmark'!G167</f>
        <v>t CO2-ækvivalenter</v>
      </c>
      <c r="H167" s="254">
        <f>'Resultater - Vestdanmark'!H167+'Resultater - Østdanmark'!H167</f>
        <v>25343.742518123829</v>
      </c>
      <c r="I167" s="255">
        <f>'Resultater - Vestdanmark'!I167+'Resultater - Østdanmark'!I167</f>
        <v>137740.0373481451</v>
      </c>
      <c r="J167" s="256">
        <f>'Resultater - Vestdanmark'!J167+'Resultater - Østdanmark'!J167</f>
        <v>403284.5333264732</v>
      </c>
    </row>
    <row r="168" spans="1:10" x14ac:dyDescent="0.25">
      <c r="A168" s="94" t="str">
        <f>'Resultater - Vestdanmark'!A168</f>
        <v>Grøntsager på land</v>
      </c>
      <c r="B168" s="94" t="str">
        <f>'Resultater - Vestdanmark'!B168</f>
        <v>Konventionel</v>
      </c>
      <c r="C168" s="94" t="str">
        <f>'Resultater - Vestdanmark'!C168</f>
        <v>OC6</v>
      </c>
      <c r="D168" s="94" t="str">
        <f>'Resultater - Vestdanmark'!D168</f>
        <v>Areal-grøntsager</v>
      </c>
      <c r="E168" s="94" t="str">
        <f>'Resultater - Vestdanmark'!E168</f>
        <v>Hektar</v>
      </c>
      <c r="F168" s="94" t="str">
        <f>'Resultater - Vestdanmark'!F168</f>
        <v>Grøntsager</v>
      </c>
      <c r="G168" s="94" t="str">
        <f>'Resultater - Vestdanmark'!G168</f>
        <v>Ton</v>
      </c>
      <c r="H168" s="254">
        <f>'Resultater - Vestdanmark'!H168+'Resultater - Østdanmark'!H168</f>
        <v>2895.9534319120221</v>
      </c>
      <c r="I168" s="255">
        <f>'Resultater - Vestdanmark'!I168+'Resultater - Østdanmark'!I168</f>
        <v>2155.7040264948455</v>
      </c>
      <c r="J168" s="256">
        <f>'Resultater - Vestdanmark'!J168+'Resultater - Østdanmark'!J168</f>
        <v>233.92013217774507</v>
      </c>
    </row>
    <row r="169" spans="1:10" x14ac:dyDescent="0.25">
      <c r="A169" s="94" t="str">
        <f>'Resultater - Vestdanmark'!A169</f>
        <v>Grøntsager på land</v>
      </c>
      <c r="B169" s="94" t="str">
        <f>'Resultater - Vestdanmark'!B169</f>
        <v>Konventionel</v>
      </c>
      <c r="C169" s="94" t="str">
        <f>'Resultater - Vestdanmark'!C169</f>
        <v>OC6</v>
      </c>
      <c r="D169" s="94" t="str">
        <f>'Resultater - Vestdanmark'!D169</f>
        <v>Areal-grøntsager</v>
      </c>
      <c r="E169" s="94" t="str">
        <f>'Resultater - Vestdanmark'!E169</f>
        <v>Hektar</v>
      </c>
      <c r="F169" s="94" t="str">
        <f>'Resultater - Vestdanmark'!F169</f>
        <v>Gødning</v>
      </c>
      <c r="G169" s="94" t="str">
        <f>'Resultater - Vestdanmark'!G169</f>
        <v>kg N</v>
      </c>
      <c r="H169" s="254">
        <f>'Resultater - Vestdanmark'!H169+'Resultater - Østdanmark'!H169</f>
        <v>-22826.968918399438</v>
      </c>
      <c r="I169" s="255">
        <f>'Resultater - Vestdanmark'!I169+'Resultater - Østdanmark'!I169</f>
        <v>-17001.026671297266</v>
      </c>
      <c r="J169" s="256">
        <f>'Resultater - Vestdanmark'!J169+'Resultater - Østdanmark'!J169</f>
        <v>-1846.6780741781761</v>
      </c>
    </row>
    <row r="170" spans="1:10" x14ac:dyDescent="0.25">
      <c r="A170" s="94" t="str">
        <f>'Resultater - Vestdanmark'!A170</f>
        <v>Grøntsager på land</v>
      </c>
      <c r="B170" s="94" t="str">
        <f>'Resultater - Vestdanmark'!B170</f>
        <v>Konventionel</v>
      </c>
      <c r="C170" s="94" t="str">
        <f>'Resultater - Vestdanmark'!C170</f>
        <v>OC6</v>
      </c>
      <c r="D170" s="94" t="str">
        <f>'Resultater - Vestdanmark'!D170</f>
        <v>Areal-grøntsager</v>
      </c>
      <c r="E170" s="94" t="str">
        <f>'Resultater - Vestdanmark'!E170</f>
        <v>Hektar</v>
      </c>
      <c r="F170" s="94" t="str">
        <f>'Resultater - Vestdanmark'!F170</f>
        <v>CO2 - atmosfære</v>
      </c>
      <c r="G170" s="94" t="str">
        <f>'Resultater - Vestdanmark'!G170</f>
        <v>t CO2-ækvivalenter</v>
      </c>
      <c r="H170" s="254">
        <f>'Resultater - Vestdanmark'!H170+'Resultater - Østdanmark'!H170</f>
        <v>1872.0097963032511</v>
      </c>
      <c r="I170" s="255">
        <f>'Resultater - Vestdanmark'!I170+'Resultater - Østdanmark'!I170</f>
        <v>1394.2319100556647</v>
      </c>
      <c r="J170" s="256">
        <f>'Resultater - Vestdanmark'!J170+'Resultater - Østdanmark'!J170</f>
        <v>151.44364798663605</v>
      </c>
    </row>
    <row r="171" spans="1:10" x14ac:dyDescent="0.25">
      <c r="A171" s="94" t="str">
        <f>'Resultater - Vestdanmark'!A171</f>
        <v>Grøntsager på land</v>
      </c>
      <c r="B171" s="94" t="str">
        <f>'Resultater - Vestdanmark'!B171</f>
        <v>Konventionel</v>
      </c>
      <c r="C171" s="94" t="str">
        <f>'Resultater - Vestdanmark'!C171</f>
        <v>OC12</v>
      </c>
      <c r="D171" s="94" t="str">
        <f>'Resultater - Vestdanmark'!D171</f>
        <v>Areal-grøntsager</v>
      </c>
      <c r="E171" s="94" t="str">
        <f>'Resultater - Vestdanmark'!E171</f>
        <v>Hektar</v>
      </c>
      <c r="F171" s="94" t="str">
        <f>'Resultater - Vestdanmark'!F171</f>
        <v>Grøntsager</v>
      </c>
      <c r="G171" s="94" t="str">
        <f>'Resultater - Vestdanmark'!G171</f>
        <v>Ton</v>
      </c>
      <c r="H171" s="254">
        <f>'Resultater - Vestdanmark'!H171+'Resultater - Østdanmark'!H171</f>
        <v>873.12609941568871</v>
      </c>
      <c r="I171" s="255">
        <f>'Resultater - Vestdanmark'!I171+'Resultater - Østdanmark'!I171</f>
        <v>635.63918682951714</v>
      </c>
      <c r="J171" s="256">
        <f>'Resultater - Vestdanmark'!J171+'Resultater - Østdanmark'!J171</f>
        <v>0</v>
      </c>
    </row>
    <row r="172" spans="1:10" x14ac:dyDescent="0.25">
      <c r="A172" s="94" t="str">
        <f>'Resultater - Vestdanmark'!A172</f>
        <v>Grøntsager på land</v>
      </c>
      <c r="B172" s="94" t="str">
        <f>'Resultater - Vestdanmark'!B172</f>
        <v>Konventionel</v>
      </c>
      <c r="C172" s="94" t="str">
        <f>'Resultater - Vestdanmark'!C172</f>
        <v>OC12</v>
      </c>
      <c r="D172" s="94" t="str">
        <f>'Resultater - Vestdanmark'!D172</f>
        <v>Areal-grøntsager</v>
      </c>
      <c r="E172" s="94" t="str">
        <f>'Resultater - Vestdanmark'!E172</f>
        <v>Hektar</v>
      </c>
      <c r="F172" s="94" t="str">
        <f>'Resultater - Vestdanmark'!F172</f>
        <v>Gødning</v>
      </c>
      <c r="G172" s="94" t="str">
        <f>'Resultater - Vestdanmark'!G172</f>
        <v>kg N</v>
      </c>
      <c r="H172" s="254">
        <f>'Resultater - Vestdanmark'!H172+'Resultater - Østdanmark'!H172</f>
        <v>-5747.8555301287988</v>
      </c>
      <c r="I172" s="255">
        <f>'Resultater - Vestdanmark'!I172+'Resultater - Østdanmark'!I172</f>
        <v>-4186.6714331684361</v>
      </c>
      <c r="J172" s="256">
        <f>'Resultater - Vestdanmark'!J172+'Resultater - Østdanmark'!J172</f>
        <v>0</v>
      </c>
    </row>
    <row r="173" spans="1:10" x14ac:dyDescent="0.25">
      <c r="A173" s="94" t="str">
        <f>'Resultater - Vestdanmark'!A173</f>
        <v>Grøntsager på land</v>
      </c>
      <c r="B173" s="94" t="str">
        <f>'Resultater - Vestdanmark'!B173</f>
        <v>Konventionel</v>
      </c>
      <c r="C173" s="94" t="str">
        <f>'Resultater - Vestdanmark'!C173</f>
        <v>OC12</v>
      </c>
      <c r="D173" s="94" t="str">
        <f>'Resultater - Vestdanmark'!D173</f>
        <v>Areal-grøntsager</v>
      </c>
      <c r="E173" s="94" t="str">
        <f>'Resultater - Vestdanmark'!E173</f>
        <v>Hektar</v>
      </c>
      <c r="F173" s="94" t="str">
        <f>'Resultater - Vestdanmark'!F173</f>
        <v>CO2 - atmosfære</v>
      </c>
      <c r="G173" s="94" t="str">
        <f>'Resultater - Vestdanmark'!G173</f>
        <v>t CO2-ækvivalenter</v>
      </c>
      <c r="H173" s="254">
        <f>'Resultater - Vestdanmark'!H173+'Resultater - Østdanmark'!H173</f>
        <v>1238.8653838857663</v>
      </c>
      <c r="I173" s="255">
        <f>'Resultater - Vestdanmark'!I173+'Resultater - Østdanmark'!I173</f>
        <v>902.37520499050572</v>
      </c>
      <c r="J173" s="256">
        <f>'Resultater - Vestdanmark'!J173+'Resultater - Østdanmark'!J173</f>
        <v>0</v>
      </c>
    </row>
    <row r="174" spans="1:10" x14ac:dyDescent="0.25">
      <c r="A174" s="94" t="str">
        <f>'Resultater - Vestdanmark'!A174</f>
        <v>Grøntsager på land</v>
      </c>
      <c r="B174" s="94" t="str">
        <f>'Resultater - Vestdanmark'!B174</f>
        <v>Økologisk</v>
      </c>
      <c r="C174" s="94" t="str">
        <f>'Resultater - Vestdanmark'!C174</f>
        <v>JB1-10</v>
      </c>
      <c r="D174" s="94" t="str">
        <f>'Resultater - Vestdanmark'!D174</f>
        <v>Areal-grøntsager</v>
      </c>
      <c r="E174" s="94" t="str">
        <f>'Resultater - Vestdanmark'!E174</f>
        <v>Hektar</v>
      </c>
      <c r="F174" s="94" t="str">
        <f>'Resultater - Vestdanmark'!F174</f>
        <v>Grøntsager</v>
      </c>
      <c r="G174" s="94" t="str">
        <f>'Resultater - Vestdanmark'!G174</f>
        <v>Ton</v>
      </c>
      <c r="H174" s="254">
        <f>'Resultater - Vestdanmark'!H174+'Resultater - Østdanmark'!H174</f>
        <v>16747.502556513253</v>
      </c>
      <c r="I174" s="255">
        <f>'Resultater - Vestdanmark'!I174+'Resultater - Østdanmark'!I174</f>
        <v>111266.97653274979</v>
      </c>
      <c r="J174" s="256">
        <f>'Resultater - Vestdanmark'!J174+'Resultater - Østdanmark'!J174</f>
        <v>441436.46917439986</v>
      </c>
    </row>
    <row r="175" spans="1:10" x14ac:dyDescent="0.25">
      <c r="A175" s="94" t="str">
        <f>'Resultater - Vestdanmark'!A175</f>
        <v>Grøntsager på land</v>
      </c>
      <c r="B175" s="94" t="str">
        <f>'Resultater - Vestdanmark'!B175</f>
        <v>Økologisk</v>
      </c>
      <c r="C175" s="94" t="str">
        <f>'Resultater - Vestdanmark'!C175</f>
        <v>JB1-10</v>
      </c>
      <c r="D175" s="94" t="str">
        <f>'Resultater - Vestdanmark'!D175</f>
        <v>Areal-grøntsager</v>
      </c>
      <c r="E175" s="94" t="str">
        <f>'Resultater - Vestdanmark'!E175</f>
        <v>Hektar</v>
      </c>
      <c r="F175" s="94" t="str">
        <f>'Resultater - Vestdanmark'!F175</f>
        <v>Gødning</v>
      </c>
      <c r="G175" s="94" t="str">
        <f>'Resultater - Vestdanmark'!G175</f>
        <v>kg N</v>
      </c>
      <c r="H175" s="254">
        <f>'Resultater - Vestdanmark'!H175+'Resultater - Østdanmark'!H175</f>
        <v>-162473.80695714155</v>
      </c>
      <c r="I175" s="255">
        <f>'Resultater - Vestdanmark'!I175+'Resultater - Østdanmark'!I175</f>
        <v>-1080012.8759897575</v>
      </c>
      <c r="J175" s="256">
        <f>'Resultater - Vestdanmark'!J175+'Resultater - Østdanmark'!J175</f>
        <v>-4289122.3199999984</v>
      </c>
    </row>
    <row r="176" spans="1:10" x14ac:dyDescent="0.25">
      <c r="A176" s="94" t="str">
        <f>'Resultater - Vestdanmark'!A176</f>
        <v>Grøntsager på land</v>
      </c>
      <c r="B176" s="94" t="str">
        <f>'Resultater - Vestdanmark'!B176</f>
        <v>Økologisk</v>
      </c>
      <c r="C176" s="94" t="str">
        <f>'Resultater - Vestdanmark'!C176</f>
        <v>JB1-10</v>
      </c>
      <c r="D176" s="94" t="str">
        <f>'Resultater - Vestdanmark'!D176</f>
        <v>Areal-grøntsager</v>
      </c>
      <c r="E176" s="94" t="str">
        <f>'Resultater - Vestdanmark'!E176</f>
        <v>Hektar</v>
      </c>
      <c r="F176" s="94" t="str">
        <f>'Resultater - Vestdanmark'!F176</f>
        <v>CO2 - atmosfære</v>
      </c>
      <c r="G176" s="94" t="str">
        <f>'Resultater - Vestdanmark'!G176</f>
        <v>t CO2-ækvivalenter</v>
      </c>
      <c r="H176" s="254">
        <f>'Resultater - Vestdanmark'!H176+'Resultater - Østdanmark'!H176</f>
        <v>3240.4892959857261</v>
      </c>
      <c r="I176" s="255">
        <f>'Resultater - Vestdanmark'!I176+'Resultater - Østdanmark'!I176</f>
        <v>21540.519236400749</v>
      </c>
      <c r="J176" s="256">
        <f>'Resultater - Vestdanmark'!J176+'Resultater - Østdanmark'!J176</f>
        <v>85545.204038948854</v>
      </c>
    </row>
    <row r="177" spans="1:10" x14ac:dyDescent="0.25">
      <c r="A177" s="94" t="str">
        <f>'Resultater - Vestdanmark'!A177</f>
        <v>Grøntsager på land</v>
      </c>
      <c r="B177" s="94" t="str">
        <f>'Resultater - Vestdanmark'!B177</f>
        <v>Økologisk</v>
      </c>
      <c r="C177" s="94" t="str">
        <f>'Resultater - Vestdanmark'!C177</f>
        <v>OC6</v>
      </c>
      <c r="D177" s="94" t="str">
        <f>'Resultater - Vestdanmark'!D177</f>
        <v>Areal-grøntsager</v>
      </c>
      <c r="E177" s="94" t="str">
        <f>'Resultater - Vestdanmark'!E177</f>
        <v>Hektar</v>
      </c>
      <c r="F177" s="94" t="str">
        <f>'Resultater - Vestdanmark'!F177</f>
        <v>Grøntsager</v>
      </c>
      <c r="G177" s="94" t="str">
        <f>'Resultater - Vestdanmark'!G177</f>
        <v>Ton</v>
      </c>
      <c r="H177" s="254">
        <f>'Resultater - Vestdanmark'!H177+'Resultater - Østdanmark'!H177</f>
        <v>211.06016492677367</v>
      </c>
      <c r="I177" s="255">
        <f>'Resultater - Vestdanmark'!I177+'Resultater - Østdanmark'!I177</f>
        <v>192.15865930106577</v>
      </c>
      <c r="J177" s="256">
        <f>'Resultater - Vestdanmark'!J177+'Resultater - Østdanmark'!J177</f>
        <v>28.283070526945536</v>
      </c>
    </row>
    <row r="178" spans="1:10" x14ac:dyDescent="0.25">
      <c r="A178" s="94" t="str">
        <f>'Resultater - Vestdanmark'!A178</f>
        <v>Grøntsager på land</v>
      </c>
      <c r="B178" s="94" t="str">
        <f>'Resultater - Vestdanmark'!B178</f>
        <v>Økologisk</v>
      </c>
      <c r="C178" s="94" t="str">
        <f>'Resultater - Vestdanmark'!C178</f>
        <v>OC6</v>
      </c>
      <c r="D178" s="94" t="str">
        <f>'Resultater - Vestdanmark'!D178</f>
        <v>Areal-grøntsager</v>
      </c>
      <c r="E178" s="94" t="str">
        <f>'Resultater - Vestdanmark'!E178</f>
        <v>Hektar</v>
      </c>
      <c r="F178" s="94" t="str">
        <f>'Resultater - Vestdanmark'!F178</f>
        <v>Gødning</v>
      </c>
      <c r="G178" s="94" t="str">
        <f>'Resultater - Vestdanmark'!G178</f>
        <v>kg N</v>
      </c>
      <c r="H178" s="254">
        <f>'Resultater - Vestdanmark'!H178+'Resultater - Østdanmark'!H178</f>
        <v>-1663.6537630768387</v>
      </c>
      <c r="I178" s="255">
        <f>'Resultater - Vestdanmark'!I178+'Resultater - Østdanmark'!I178</f>
        <v>-1515.4652270191677</v>
      </c>
      <c r="J178" s="256">
        <f>'Resultater - Vestdanmark'!J178+'Resultater - Østdanmark'!J178</f>
        <v>-223.28016715063399</v>
      </c>
    </row>
    <row r="179" spans="1:10" x14ac:dyDescent="0.25">
      <c r="A179" s="94" t="str">
        <f>'Resultater - Vestdanmark'!A179</f>
        <v>Grøntsager på land</v>
      </c>
      <c r="B179" s="94" t="str">
        <f>'Resultater - Vestdanmark'!B179</f>
        <v>Økologisk</v>
      </c>
      <c r="C179" s="94" t="str">
        <f>'Resultater - Vestdanmark'!C179</f>
        <v>OC6</v>
      </c>
      <c r="D179" s="94" t="str">
        <f>'Resultater - Vestdanmark'!D179</f>
        <v>Areal-grøntsager</v>
      </c>
      <c r="E179" s="94" t="str">
        <f>'Resultater - Vestdanmark'!E179</f>
        <v>Hektar</v>
      </c>
      <c r="F179" s="94" t="str">
        <f>'Resultater - Vestdanmark'!F179</f>
        <v>CO2 - atmosfære</v>
      </c>
      <c r="G179" s="94" t="str">
        <f>'Resultater - Vestdanmark'!G179</f>
        <v>t CO2-ækvivalenter</v>
      </c>
      <c r="H179" s="254">
        <f>'Resultater - Vestdanmark'!H179+'Resultater - Østdanmark'!H179</f>
        <v>239.35800730941858</v>
      </c>
      <c r="I179" s="255">
        <f>'Resultater - Vestdanmark'!I179+'Resultater - Østdanmark'!I179</f>
        <v>218.0373975262483</v>
      </c>
      <c r="J179" s="256">
        <f>'Resultater - Vestdanmark'!J179+'Resultater - Østdanmark'!J179</f>
        <v>32.124410178983403</v>
      </c>
    </row>
    <row r="180" spans="1:10" x14ac:dyDescent="0.25">
      <c r="A180" s="94" t="str">
        <f>'Resultater - Vestdanmark'!A180</f>
        <v>Grøntsager på land</v>
      </c>
      <c r="B180" s="94" t="str">
        <f>'Resultater - Vestdanmark'!B180</f>
        <v>Økologisk</v>
      </c>
      <c r="C180" s="94" t="str">
        <f>'Resultater - Vestdanmark'!C180</f>
        <v>OC12</v>
      </c>
      <c r="D180" s="94" t="str">
        <f>'Resultater - Vestdanmark'!D180</f>
        <v>Areal-grøntsager</v>
      </c>
      <c r="E180" s="94" t="str">
        <f>'Resultater - Vestdanmark'!E180</f>
        <v>Hektar</v>
      </c>
      <c r="F180" s="94" t="str">
        <f>'Resultater - Vestdanmark'!F180</f>
        <v>Grøntsager</v>
      </c>
      <c r="G180" s="94" t="str">
        <f>'Resultater - Vestdanmark'!G180</f>
        <v>Ton</v>
      </c>
      <c r="H180" s="254">
        <f>'Resultater - Vestdanmark'!H180+'Resultater - Østdanmark'!H180</f>
        <v>63.63435838223252</v>
      </c>
      <c r="I180" s="255">
        <f>'Resultater - Vestdanmark'!I180+'Resultater - Østdanmark'!I180</f>
        <v>56.660641924477929</v>
      </c>
      <c r="J180" s="256">
        <f>'Resultater - Vestdanmark'!J180+'Resultater - Østdanmark'!J180</f>
        <v>0</v>
      </c>
    </row>
    <row r="181" spans="1:10" x14ac:dyDescent="0.25">
      <c r="A181" s="94" t="str">
        <f>'Resultater - Vestdanmark'!A181</f>
        <v>Grøntsager på land</v>
      </c>
      <c r="B181" s="94" t="str">
        <f>'Resultater - Vestdanmark'!B181</f>
        <v>Økologisk</v>
      </c>
      <c r="C181" s="94" t="str">
        <f>'Resultater - Vestdanmark'!C181</f>
        <v>OC12</v>
      </c>
      <c r="D181" s="94" t="str">
        <f>'Resultater - Vestdanmark'!D181</f>
        <v>Areal-grøntsager</v>
      </c>
      <c r="E181" s="94" t="str">
        <f>'Resultater - Vestdanmark'!E181</f>
        <v>Hektar</v>
      </c>
      <c r="F181" s="94" t="str">
        <f>'Resultater - Vestdanmark'!F181</f>
        <v>Gødning</v>
      </c>
      <c r="G181" s="94" t="str">
        <f>'Resultater - Vestdanmark'!G181</f>
        <v>kg N</v>
      </c>
      <c r="H181" s="254">
        <f>'Resultater - Vestdanmark'!H181+'Resultater - Østdanmark'!H181</f>
        <v>-418.90982182102539</v>
      </c>
      <c r="I181" s="255">
        <f>'Resultater - Vestdanmark'!I181+'Resultater - Østdanmark'!I181</f>
        <v>-373.19834246440422</v>
      </c>
      <c r="J181" s="256">
        <f>'Resultater - Vestdanmark'!J181+'Resultater - Østdanmark'!J181</f>
        <v>0</v>
      </c>
    </row>
    <row r="182" spans="1:10" x14ac:dyDescent="0.25">
      <c r="A182" s="94" t="str">
        <f>'Resultater - Vestdanmark'!A182</f>
        <v>Grøntsager på land</v>
      </c>
      <c r="B182" s="94" t="str">
        <f>'Resultater - Vestdanmark'!B182</f>
        <v>Økologisk</v>
      </c>
      <c r="C182" s="94" t="str">
        <f>'Resultater - Vestdanmark'!C182</f>
        <v>OC12</v>
      </c>
      <c r="D182" s="94" t="str">
        <f>'Resultater - Vestdanmark'!D182</f>
        <v>Areal-grøntsager</v>
      </c>
      <c r="E182" s="94" t="str">
        <f>'Resultater - Vestdanmark'!E182</f>
        <v>Hektar</v>
      </c>
      <c r="F182" s="94" t="str">
        <f>'Resultater - Vestdanmark'!F182</f>
        <v>CO2 - atmosfære</v>
      </c>
      <c r="G182" s="94" t="str">
        <f>'Resultater - Vestdanmark'!G182</f>
        <v>t CO2-ækvivalenter</v>
      </c>
      <c r="H182" s="254">
        <f>'Resultater - Vestdanmark'!H182+'Resultater - Østdanmark'!H182</f>
        <v>158.40320397740001</v>
      </c>
      <c r="I182" s="255">
        <f>'Resultater - Vestdanmark'!I182+'Resultater - Østdanmark'!I182</f>
        <v>141.11823138554433</v>
      </c>
      <c r="J182" s="256">
        <f>'Resultater - Vestdanmark'!J182+'Resultater - Østdanmark'!J182</f>
        <v>0</v>
      </c>
    </row>
    <row r="183" spans="1:10" x14ac:dyDescent="0.25">
      <c r="A183" s="94" t="str">
        <f>'Resultater - Vestdanmark'!A183</f>
        <v>Grøntsager i drivhus</v>
      </c>
      <c r="B183" s="94" t="str">
        <f>'Resultater - Vestdanmark'!B183</f>
        <v>Konventionel</v>
      </c>
      <c r="C183" s="94" t="str">
        <f>'Resultater - Vestdanmark'!C183</f>
        <v/>
      </c>
      <c r="D183" s="94" t="str">
        <f>'Resultater - Vestdanmark'!D183</f>
        <v>Areal-grøntsager</v>
      </c>
      <c r="E183" s="94" t="str">
        <f>'Resultater - Vestdanmark'!E183</f>
        <v>Hektar</v>
      </c>
      <c r="F183" s="94" t="str">
        <f>'Resultater - Vestdanmark'!F183</f>
        <v>Grøntsager</v>
      </c>
      <c r="G183" s="94" t="str">
        <f>'Resultater - Vestdanmark'!G183</f>
        <v>Ton</v>
      </c>
      <c r="H183" s="254">
        <f>'Resultater - Vestdanmark'!H183+'Resultater - Østdanmark'!H183</f>
        <v>27718.750814801697</v>
      </c>
      <c r="I183" s="255">
        <f>'Resultater - Vestdanmark'!I183+'Resultater - Østdanmark'!I183</f>
        <v>161016.17888793265</v>
      </c>
      <c r="J183" s="256">
        <f>'Resultater - Vestdanmark'!J183+'Resultater - Østdanmark'!J183</f>
        <v>537840.78530890634</v>
      </c>
    </row>
    <row r="184" spans="1:10" x14ac:dyDescent="0.25">
      <c r="A184" s="94" t="str">
        <f>'Resultater - Vestdanmark'!A184</f>
        <v>Grøntsager i drivhus</v>
      </c>
      <c r="B184" s="94" t="str">
        <f>'Resultater - Vestdanmark'!B184</f>
        <v>Konventionel</v>
      </c>
      <c r="C184" s="94" t="str">
        <f>'Resultater - Vestdanmark'!C184</f>
        <v/>
      </c>
      <c r="D184" s="94" t="str">
        <f>'Resultater - Vestdanmark'!D184</f>
        <v>Areal-grøntsager</v>
      </c>
      <c r="E184" s="94" t="str">
        <f>'Resultater - Vestdanmark'!E184</f>
        <v>Hektar</v>
      </c>
      <c r="F184" s="94" t="str">
        <f>'Resultater - Vestdanmark'!F184</f>
        <v>Gødning</v>
      </c>
      <c r="G184" s="94" t="str">
        <f>'Resultater - Vestdanmark'!G184</f>
        <v>kg N</v>
      </c>
      <c r="H184" s="254">
        <f>'Resultater - Vestdanmark'!H184+'Resultater - Østdanmark'!H184</f>
        <v>-23717015.446220245</v>
      </c>
      <c r="I184" s="255">
        <f>'Resultater - Vestdanmark'!I184+'Resultater - Østdanmark'!I184</f>
        <v>-127447022.35170633</v>
      </c>
      <c r="J184" s="256">
        <f>'Resultater - Vestdanmark'!J184+'Resultater - Østdanmark'!J184</f>
        <v>-372496299.30233729</v>
      </c>
    </row>
    <row r="185" spans="1:10" x14ac:dyDescent="0.25">
      <c r="A185" s="94" t="str">
        <f>'Resultater - Vestdanmark'!A185</f>
        <v>Grøntsager i drivhus</v>
      </c>
      <c r="B185" s="94" t="str">
        <f>'Resultater - Vestdanmark'!B185</f>
        <v>Konventionel</v>
      </c>
      <c r="C185" s="94" t="str">
        <f>'Resultater - Vestdanmark'!C185</f>
        <v/>
      </c>
      <c r="D185" s="94" t="str">
        <f>'Resultater - Vestdanmark'!D185</f>
        <v>Areal-grøntsager</v>
      </c>
      <c r="E185" s="94" t="str">
        <f>'Resultater - Vestdanmark'!E185</f>
        <v>Hektar</v>
      </c>
      <c r="F185" s="94" t="str">
        <f>'Resultater - Vestdanmark'!F185</f>
        <v>CO2 - atmosfære</v>
      </c>
      <c r="G185" s="94" t="str">
        <f>'Resultater - Vestdanmark'!G185</f>
        <v>t CO2-ækvivalenter</v>
      </c>
      <c r="H185" s="254">
        <f>'Resultater - Vestdanmark'!H185+'Resultater - Østdanmark'!H185</f>
        <v>5135.7375651082511</v>
      </c>
      <c r="I185" s="255">
        <f>'Resultater - Vestdanmark'!I185+'Resultater - Østdanmark'!I185</f>
        <v>27597.673987987459</v>
      </c>
      <c r="J185" s="256">
        <f>'Resultater - Vestdanmark'!J185+'Resultater - Østdanmark'!J185</f>
        <v>80661.213107895484</v>
      </c>
    </row>
    <row r="186" spans="1:10" x14ac:dyDescent="0.25">
      <c r="A186" s="94" t="str">
        <f>'Resultater - Vestdanmark'!A186</f>
        <v>Grøntsager i drivhus</v>
      </c>
      <c r="B186" s="94" t="str">
        <f>'Resultater - Vestdanmark'!B186</f>
        <v>Økologisk</v>
      </c>
      <c r="C186" s="94" t="str">
        <f>'Resultater - Vestdanmark'!C186</f>
        <v/>
      </c>
      <c r="D186" s="94" t="str">
        <f>'Resultater - Vestdanmark'!D186</f>
        <v>Areal-grøntsager</v>
      </c>
      <c r="E186" s="94" t="str">
        <f>'Resultater - Vestdanmark'!E186</f>
        <v>Hektar</v>
      </c>
      <c r="F186" s="94" t="str">
        <f>'Resultater - Vestdanmark'!F186</f>
        <v>Grøntsager</v>
      </c>
      <c r="G186" s="94" t="str">
        <f>'Resultater - Vestdanmark'!G186</f>
        <v>Ton</v>
      </c>
      <c r="H186" s="254">
        <f>'Resultater - Vestdanmark'!H186+'Resultater - Østdanmark'!H186</f>
        <v>2020.1720283442451</v>
      </c>
      <c r="I186" s="255">
        <f>'Resultater - Vestdanmark'!I186+'Resultater - Østdanmark'!I186</f>
        <v>14352.922609322639</v>
      </c>
      <c r="J186" s="256">
        <f>'Resultater - Vestdanmark'!J186+'Resultater - Østdanmark'!J186</f>
        <v>65029.840405531388</v>
      </c>
    </row>
    <row r="187" spans="1:10" x14ac:dyDescent="0.25">
      <c r="A187" s="94" t="str">
        <f>'Resultater - Vestdanmark'!A187</f>
        <v>Grøntsager i drivhus</v>
      </c>
      <c r="B187" s="94" t="str">
        <f>'Resultater - Vestdanmark'!B187</f>
        <v>Økologisk</v>
      </c>
      <c r="C187" s="94" t="str">
        <f>'Resultater - Vestdanmark'!C187</f>
        <v/>
      </c>
      <c r="D187" s="94" t="str">
        <f>'Resultater - Vestdanmark'!D187</f>
        <v>Areal-grøntsager</v>
      </c>
      <c r="E187" s="94" t="str">
        <f>'Resultater - Vestdanmark'!E187</f>
        <v>Hektar</v>
      </c>
      <c r="F187" s="94" t="str">
        <f>'Resultater - Vestdanmark'!F187</f>
        <v>Gødning</v>
      </c>
      <c r="G187" s="94" t="str">
        <f>'Resultater - Vestdanmark'!G187</f>
        <v>kg N</v>
      </c>
      <c r="H187" s="254">
        <f>'Resultater - Vestdanmark'!H187+'Resultater - Østdanmark'!H187</f>
        <v>-1728521.3002700505</v>
      </c>
      <c r="I187" s="255">
        <f>'Resultater - Vestdanmark'!I187+'Resultater - Østdanmark'!I187</f>
        <v>-11360580.416430101</v>
      </c>
      <c r="J187" s="256">
        <f>'Resultater - Vestdanmark'!J187+'Resultater - Østdanmark'!J187</f>
        <v>-45038188.915646225</v>
      </c>
    </row>
    <row r="188" spans="1:10" x14ac:dyDescent="0.25">
      <c r="A188" s="94" t="str">
        <f>'Resultater - Vestdanmark'!A188</f>
        <v>Grøntsager i drivhus</v>
      </c>
      <c r="B188" s="94" t="str">
        <f>'Resultater - Vestdanmark'!B188</f>
        <v>Økologisk</v>
      </c>
      <c r="C188" s="94" t="str">
        <f>'Resultater - Vestdanmark'!C188</f>
        <v/>
      </c>
      <c r="D188" s="94" t="str">
        <f>'Resultater - Vestdanmark'!D188</f>
        <v>Areal-grøntsager</v>
      </c>
      <c r="E188" s="94" t="str">
        <f>'Resultater - Vestdanmark'!E188</f>
        <v>Hektar</v>
      </c>
      <c r="F188" s="94" t="str">
        <f>'Resultater - Vestdanmark'!F188</f>
        <v>CO2 - atmosfære</v>
      </c>
      <c r="G188" s="94" t="str">
        <f>'Resultater - Vestdanmark'!G188</f>
        <v>t CO2-ækvivalenter</v>
      </c>
      <c r="H188" s="254">
        <f>'Resultater - Vestdanmark'!H188+'Resultater - Østdanmark'!H188</f>
        <v>656.66318203887363</v>
      </c>
      <c r="I188" s="255">
        <f>'Resultater - Vestdanmark'!I188+'Resultater - Østdanmark'!I188</f>
        <v>4315.8709614373856</v>
      </c>
      <c r="J188" s="256">
        <f>'Resultater - Vestdanmark'!J188+'Resultater - Østdanmark'!J188</f>
        <v>17109.954295614192</v>
      </c>
    </row>
    <row r="189" spans="1:10" x14ac:dyDescent="0.25">
      <c r="A189" s="94" t="str">
        <f>'Resultater - Vestdanmark'!A189</f>
        <v>Kartoffelmark</v>
      </c>
      <c r="B189" s="94" t="str">
        <f>'Resultater - Vestdanmark'!B189</f>
        <v>Konventionel</v>
      </c>
      <c r="C189" s="94" t="str">
        <f>'Resultater - Vestdanmark'!C189</f>
        <v>JB1-10</v>
      </c>
      <c r="D189" s="94" t="str">
        <f>'Resultater - Vestdanmark'!D189</f>
        <v>Areal-kartofler</v>
      </c>
      <c r="E189" s="94" t="str">
        <f>'Resultater - Vestdanmark'!E189</f>
        <v>Hektar</v>
      </c>
      <c r="F189" s="94" t="str">
        <f>'Resultater - Vestdanmark'!F189</f>
        <v>Kartofler</v>
      </c>
      <c r="G189" s="94" t="str">
        <f>'Resultater - Vestdanmark'!G189</f>
        <v>Ton</v>
      </c>
      <c r="H189" s="254">
        <f>'Resultater - Vestdanmark'!H189+'Resultater - Østdanmark'!H189</f>
        <v>1960428.2349329358</v>
      </c>
      <c r="I189" s="255">
        <f>'Resultater - Vestdanmark'!I189+'Resultater - Østdanmark'!I189</f>
        <v>1877969.6127058507</v>
      </c>
      <c r="J189" s="256">
        <f>'Resultater - Vestdanmark'!J189+'Resultater - Østdanmark'!J189</f>
        <v>0</v>
      </c>
    </row>
    <row r="190" spans="1:10" x14ac:dyDescent="0.25">
      <c r="A190" s="94" t="str">
        <f>'Resultater - Vestdanmark'!A190</f>
        <v>Kartoffelmark</v>
      </c>
      <c r="B190" s="94" t="str">
        <f>'Resultater - Vestdanmark'!B190</f>
        <v>Konventionel</v>
      </c>
      <c r="C190" s="94" t="str">
        <f>'Resultater - Vestdanmark'!C190</f>
        <v>JB1-10</v>
      </c>
      <c r="D190" s="94" t="str">
        <f>'Resultater - Vestdanmark'!D190</f>
        <v>Areal-kartofler</v>
      </c>
      <c r="E190" s="94" t="str">
        <f>'Resultater - Vestdanmark'!E190</f>
        <v>Hektar</v>
      </c>
      <c r="F190" s="94" t="str">
        <f>'Resultater - Vestdanmark'!F190</f>
        <v>Gødning</v>
      </c>
      <c r="G190" s="94" t="str">
        <f>'Resultater - Vestdanmark'!G190</f>
        <v>kg N</v>
      </c>
      <c r="H190" s="254">
        <f>'Resultater - Vestdanmark'!H190+'Resultater - Østdanmark'!H190</f>
        <v>-6923899.3970784517</v>
      </c>
      <c r="I190" s="255">
        <f>'Resultater - Vestdanmark'!I190+'Resultater - Østdanmark'!I190</f>
        <v>-6632669.5552772991</v>
      </c>
      <c r="J190" s="256">
        <f>'Resultater - Vestdanmark'!J190+'Resultater - Østdanmark'!J190</f>
        <v>0</v>
      </c>
    </row>
    <row r="191" spans="1:10" x14ac:dyDescent="0.25">
      <c r="A191" s="94" t="str">
        <f>'Resultater - Vestdanmark'!A191</f>
        <v>Kartoffelmark</v>
      </c>
      <c r="B191" s="94" t="str">
        <f>'Resultater - Vestdanmark'!B191</f>
        <v>Konventionel</v>
      </c>
      <c r="C191" s="94" t="str">
        <f>'Resultater - Vestdanmark'!C191</f>
        <v>JB1-10</v>
      </c>
      <c r="D191" s="94" t="str">
        <f>'Resultater - Vestdanmark'!D191</f>
        <v>Areal-kartofler</v>
      </c>
      <c r="E191" s="94" t="str">
        <f>'Resultater - Vestdanmark'!E191</f>
        <v>Hektar</v>
      </c>
      <c r="F191" s="94" t="str">
        <f>'Resultater - Vestdanmark'!F191</f>
        <v>CO2 - atmosfære</v>
      </c>
      <c r="G191" s="94" t="str">
        <f>'Resultater - Vestdanmark'!G191</f>
        <v>t CO2-ækvivalenter</v>
      </c>
      <c r="H191" s="254">
        <f>'Resultater - Vestdanmark'!H191+'Resultater - Østdanmark'!H191</f>
        <v>104952.20706782168</v>
      </c>
      <c r="I191" s="255">
        <f>'Resultater - Vestdanmark'!I191+'Resultater - Østdanmark'!I191</f>
        <v>100537.75606150858</v>
      </c>
      <c r="J191" s="256">
        <f>'Resultater - Vestdanmark'!J191+'Resultater - Østdanmark'!J191</f>
        <v>0</v>
      </c>
    </row>
    <row r="192" spans="1:10" x14ac:dyDescent="0.25">
      <c r="A192" s="94" t="str">
        <f>'Resultater - Vestdanmark'!A192</f>
        <v>Kartoffelmark</v>
      </c>
      <c r="B192" s="94" t="str">
        <f>'Resultater - Vestdanmark'!B192</f>
        <v>Konventionel</v>
      </c>
      <c r="C192" s="94" t="str">
        <f>'Resultater - Vestdanmark'!C192</f>
        <v>OC6</v>
      </c>
      <c r="D192" s="94" t="str">
        <f>'Resultater - Vestdanmark'!D192</f>
        <v>Areal-kartofler</v>
      </c>
      <c r="E192" s="94" t="str">
        <f>'Resultater - Vestdanmark'!E192</f>
        <v>Hektar</v>
      </c>
      <c r="F192" s="94" t="str">
        <f>'Resultater - Vestdanmark'!F192</f>
        <v>Kartofler</v>
      </c>
      <c r="G192" s="94" t="str">
        <f>'Resultater - Vestdanmark'!G192</f>
        <v>Ton</v>
      </c>
      <c r="H192" s="254">
        <f>'Resultater - Vestdanmark'!H192+'Resultater - Østdanmark'!H192</f>
        <v>74529.950322797784</v>
      </c>
      <c r="I192" s="255">
        <f>'Resultater - Vestdanmark'!I192+'Resultater - Østdanmark'!I192</f>
        <v>55486.777603221817</v>
      </c>
      <c r="J192" s="256">
        <f>'Resultater - Vestdanmark'!J192+'Resultater - Østdanmark'!J192</f>
        <v>6027.0604586288609</v>
      </c>
    </row>
    <row r="193" spans="1:10" x14ac:dyDescent="0.25">
      <c r="A193" s="94" t="str">
        <f>'Resultater - Vestdanmark'!A193</f>
        <v>Kartoffelmark</v>
      </c>
      <c r="B193" s="94" t="str">
        <f>'Resultater - Vestdanmark'!B193</f>
        <v>Konventionel</v>
      </c>
      <c r="C193" s="94" t="str">
        <f>'Resultater - Vestdanmark'!C193</f>
        <v>OC6</v>
      </c>
      <c r="D193" s="94" t="str">
        <f>'Resultater - Vestdanmark'!D193</f>
        <v>Areal-kartofler</v>
      </c>
      <c r="E193" s="94" t="str">
        <f>'Resultater - Vestdanmark'!E193</f>
        <v>Hektar</v>
      </c>
      <c r="F193" s="94" t="str">
        <f>'Resultater - Vestdanmark'!F193</f>
        <v>Gødning</v>
      </c>
      <c r="G193" s="94" t="str">
        <f>'Resultater - Vestdanmark'!G193</f>
        <v>kg N</v>
      </c>
      <c r="H193" s="254">
        <f>'Resultater - Vestdanmark'!H193+'Resultater - Østdanmark'!H193</f>
        <v>-175484.74661777477</v>
      </c>
      <c r="I193" s="255">
        <f>'Resultater - Vestdanmark'!I193+'Resultater - Østdanmark'!I193</f>
        <v>-130646.57988051481</v>
      </c>
      <c r="J193" s="256">
        <f>'Resultater - Vestdanmark'!J193+'Resultater - Østdanmark'!J193</f>
        <v>-14191.035588399836</v>
      </c>
    </row>
    <row r="194" spans="1:10" x14ac:dyDescent="0.25">
      <c r="A194" s="94" t="str">
        <f>'Resultater - Vestdanmark'!A194</f>
        <v>Kartoffelmark</v>
      </c>
      <c r="B194" s="94" t="str">
        <f>'Resultater - Vestdanmark'!B194</f>
        <v>Konventionel</v>
      </c>
      <c r="C194" s="94" t="str">
        <f>'Resultater - Vestdanmark'!C194</f>
        <v>OC6</v>
      </c>
      <c r="D194" s="94" t="str">
        <f>'Resultater - Vestdanmark'!D194</f>
        <v>Areal-kartofler</v>
      </c>
      <c r="E194" s="94" t="str">
        <f>'Resultater - Vestdanmark'!E194</f>
        <v>Hektar</v>
      </c>
      <c r="F194" s="94" t="str">
        <f>'Resultater - Vestdanmark'!F194</f>
        <v>CO2 - atmosfære</v>
      </c>
      <c r="G194" s="94" t="str">
        <f>'Resultater - Vestdanmark'!G194</f>
        <v>t CO2-ækvivalenter</v>
      </c>
      <c r="H194" s="254">
        <f>'Resultater - Vestdanmark'!H194+'Resultater - Østdanmark'!H194</f>
        <v>23385.82028389235</v>
      </c>
      <c r="I194" s="255">
        <f>'Resultater - Vestdanmark'!I194+'Resultater - Østdanmark'!I194</f>
        <v>17410.501463387231</v>
      </c>
      <c r="J194" s="256">
        <f>'Resultater - Vestdanmark'!J194+'Resultater - Østdanmark'!J194</f>
        <v>1891.1558657316614</v>
      </c>
    </row>
    <row r="195" spans="1:10" x14ac:dyDescent="0.25">
      <c r="A195" s="94" t="str">
        <f>'Resultater - Vestdanmark'!A195</f>
        <v>Kartoffelmark</v>
      </c>
      <c r="B195" s="94" t="str">
        <f>'Resultater - Vestdanmark'!B195</f>
        <v>Konventionel</v>
      </c>
      <c r="C195" s="94" t="str">
        <f>'Resultater - Vestdanmark'!C195</f>
        <v>OC12</v>
      </c>
      <c r="D195" s="94" t="str">
        <f>'Resultater - Vestdanmark'!D195</f>
        <v>Areal-kartofler</v>
      </c>
      <c r="E195" s="94" t="str">
        <f>'Resultater - Vestdanmark'!E195</f>
        <v>Hektar</v>
      </c>
      <c r="F195" s="94" t="str">
        <f>'Resultater - Vestdanmark'!F195</f>
        <v>Kartofler</v>
      </c>
      <c r="G195" s="94" t="str">
        <f>'Resultater - Vestdanmark'!G195</f>
        <v>Ton</v>
      </c>
      <c r="H195" s="254">
        <f>'Resultater - Vestdanmark'!H195+'Resultater - Østdanmark'!H195</f>
        <v>74479.88306993802</v>
      </c>
      <c r="I195" s="255">
        <f>'Resultater - Vestdanmark'!I195+'Resultater - Østdanmark'!I195</f>
        <v>53870.120548999948</v>
      </c>
      <c r="J195" s="256">
        <f>'Resultater - Vestdanmark'!J195+'Resultater - Østdanmark'!J195</f>
        <v>0</v>
      </c>
    </row>
    <row r="196" spans="1:10" x14ac:dyDescent="0.25">
      <c r="A196" s="94" t="str">
        <f>'Resultater - Vestdanmark'!A196</f>
        <v>Kartoffelmark</v>
      </c>
      <c r="B196" s="94" t="str">
        <f>'Resultater - Vestdanmark'!B196</f>
        <v>Konventionel</v>
      </c>
      <c r="C196" s="94" t="str">
        <f>'Resultater - Vestdanmark'!C196</f>
        <v>OC12</v>
      </c>
      <c r="D196" s="94" t="str">
        <f>'Resultater - Vestdanmark'!D196</f>
        <v>Areal-kartofler</v>
      </c>
      <c r="E196" s="94" t="str">
        <f>'Resultater - Vestdanmark'!E196</f>
        <v>Hektar</v>
      </c>
      <c r="F196" s="94" t="str">
        <f>'Resultater - Vestdanmark'!F196</f>
        <v>Gødning</v>
      </c>
      <c r="G196" s="94" t="str">
        <f>'Resultater - Vestdanmark'!G196</f>
        <v>kg N</v>
      </c>
      <c r="H196" s="254">
        <f>'Resultater - Vestdanmark'!H196+'Resultater - Østdanmark'!H196</f>
        <v>-112735.83895599192</v>
      </c>
      <c r="I196" s="255">
        <f>'Resultater - Vestdanmark'!I196+'Resultater - Østdanmark'!I196</f>
        <v>-81540.04792205675</v>
      </c>
      <c r="J196" s="256">
        <f>'Resultater - Vestdanmark'!J196+'Resultater - Østdanmark'!J196</f>
        <v>0</v>
      </c>
    </row>
    <row r="197" spans="1:10" x14ac:dyDescent="0.25">
      <c r="A197" s="94" t="str">
        <f>'Resultater - Vestdanmark'!A197</f>
        <v>Kartoffelmark</v>
      </c>
      <c r="B197" s="94" t="str">
        <f>'Resultater - Vestdanmark'!B197</f>
        <v>Konventionel</v>
      </c>
      <c r="C197" s="94" t="str">
        <f>'Resultater - Vestdanmark'!C197</f>
        <v>OC12</v>
      </c>
      <c r="D197" s="94" t="str">
        <f>'Resultater - Vestdanmark'!D197</f>
        <v>Areal-kartofler</v>
      </c>
      <c r="E197" s="94" t="str">
        <f>'Resultater - Vestdanmark'!E197</f>
        <v>Hektar</v>
      </c>
      <c r="F197" s="94" t="str">
        <f>'Resultater - Vestdanmark'!F197</f>
        <v>CO2 - atmosfære</v>
      </c>
      <c r="G197" s="94" t="str">
        <f>'Resultater - Vestdanmark'!G197</f>
        <v>t CO2-ækvivalenter</v>
      </c>
      <c r="H197" s="254">
        <f>'Resultater - Vestdanmark'!H197+'Resultater - Østdanmark'!H197</f>
        <v>51296.929124309347</v>
      </c>
      <c r="I197" s="255">
        <f>'Resultater - Vestdanmark'!I197+'Resultater - Østdanmark'!I197</f>
        <v>37102.256902379835</v>
      </c>
      <c r="J197" s="256">
        <f>'Resultater - Vestdanmark'!J197+'Resultater - Østdanmark'!J197</f>
        <v>0</v>
      </c>
    </row>
    <row r="198" spans="1:10" x14ac:dyDescent="0.25">
      <c r="A198" s="94" t="str">
        <f>'Resultater - Vestdanmark'!A198</f>
        <v>Kartoffelmark</v>
      </c>
      <c r="B198" s="94" t="str">
        <f>'Resultater - Vestdanmark'!B198</f>
        <v>Økologisk</v>
      </c>
      <c r="C198" s="94" t="str">
        <f>'Resultater - Vestdanmark'!C198</f>
        <v>JB1-10</v>
      </c>
      <c r="D198" s="94" t="str">
        <f>'Resultater - Vestdanmark'!D198</f>
        <v>Areal-kartofler</v>
      </c>
      <c r="E198" s="94" t="str">
        <f>'Resultater - Vestdanmark'!E198</f>
        <v>Hektar</v>
      </c>
      <c r="F198" s="94" t="str">
        <f>'Resultater - Vestdanmark'!F198</f>
        <v>Kartofler</v>
      </c>
      <c r="G198" s="94" t="str">
        <f>'Resultater - Vestdanmark'!G198</f>
        <v>Ton</v>
      </c>
      <c r="H198" s="254">
        <f>'Resultater - Vestdanmark'!H198+'Resultater - Østdanmark'!H198</f>
        <v>142878.09397503437</v>
      </c>
      <c r="I198" s="255">
        <f>'Resultater - Vestdanmark'!I198+'Resultater - Østdanmark'!I198</f>
        <v>167401.51641896143</v>
      </c>
      <c r="J198" s="256">
        <f>'Resultater - Vestdanmark'!J198+'Resultater - Østdanmark'!J198</f>
        <v>0</v>
      </c>
    </row>
    <row r="199" spans="1:10" x14ac:dyDescent="0.25">
      <c r="A199" s="94" t="str">
        <f>'Resultater - Vestdanmark'!A199</f>
        <v>Kartoffelmark</v>
      </c>
      <c r="B199" s="94" t="str">
        <f>'Resultater - Vestdanmark'!B199</f>
        <v>Økologisk</v>
      </c>
      <c r="C199" s="94" t="str">
        <f>'Resultater - Vestdanmark'!C199</f>
        <v>JB1-10</v>
      </c>
      <c r="D199" s="94" t="str">
        <f>'Resultater - Vestdanmark'!D199</f>
        <v>Areal-kartofler</v>
      </c>
      <c r="E199" s="94" t="str">
        <f>'Resultater - Vestdanmark'!E199</f>
        <v>Hektar</v>
      </c>
      <c r="F199" s="94" t="str">
        <f>'Resultater - Vestdanmark'!F199</f>
        <v>Gødning</v>
      </c>
      <c r="G199" s="94" t="str">
        <f>'Resultater - Vestdanmark'!G199</f>
        <v>kg N</v>
      </c>
      <c r="H199" s="254">
        <f>'Resultater - Vestdanmark'!H199+'Resultater - Østdanmark'!H199</f>
        <v>-504621.14914566139</v>
      </c>
      <c r="I199" s="255">
        <f>'Resultater - Vestdanmark'!I199+'Resultater - Østdanmark'!I199</f>
        <v>-591233.71003831527</v>
      </c>
      <c r="J199" s="256">
        <f>'Resultater - Vestdanmark'!J199+'Resultater - Østdanmark'!J199</f>
        <v>0</v>
      </c>
    </row>
    <row r="200" spans="1:10" x14ac:dyDescent="0.25">
      <c r="A200" s="94" t="str">
        <f>'Resultater - Vestdanmark'!A200</f>
        <v>Kartoffelmark</v>
      </c>
      <c r="B200" s="94" t="str">
        <f>'Resultater - Vestdanmark'!B200</f>
        <v>Økologisk</v>
      </c>
      <c r="C200" s="94" t="str">
        <f>'Resultater - Vestdanmark'!C200</f>
        <v>JB1-10</v>
      </c>
      <c r="D200" s="94" t="str">
        <f>'Resultater - Vestdanmark'!D200</f>
        <v>Areal-kartofler</v>
      </c>
      <c r="E200" s="94" t="str">
        <f>'Resultater - Vestdanmark'!E200</f>
        <v>Hektar</v>
      </c>
      <c r="F200" s="94" t="str">
        <f>'Resultater - Vestdanmark'!F200</f>
        <v>CO2 - atmosfære</v>
      </c>
      <c r="G200" s="94" t="str">
        <f>'Resultater - Vestdanmark'!G200</f>
        <v>t CO2-ækvivalenter</v>
      </c>
      <c r="H200" s="254">
        <f>'Resultater - Vestdanmark'!H200+'Resultater - Østdanmark'!H200</f>
        <v>13419.348123117323</v>
      </c>
      <c r="I200" s="255">
        <f>'Resultater - Vestdanmark'!I200+'Resultater - Østdanmark'!I200</f>
        <v>15722.628729609936</v>
      </c>
      <c r="J200" s="256">
        <f>'Resultater - Vestdanmark'!J200+'Resultater - Østdanmark'!J200</f>
        <v>0</v>
      </c>
    </row>
    <row r="201" spans="1:10" x14ac:dyDescent="0.25">
      <c r="A201" s="94" t="str">
        <f>'Resultater - Vestdanmark'!A201</f>
        <v>Kartoffelmark</v>
      </c>
      <c r="B201" s="94" t="str">
        <f>'Resultater - Vestdanmark'!B201</f>
        <v>Økologisk</v>
      </c>
      <c r="C201" s="94" t="str">
        <f>'Resultater - Vestdanmark'!C201</f>
        <v>OC6</v>
      </c>
      <c r="D201" s="94" t="str">
        <f>'Resultater - Vestdanmark'!D201</f>
        <v>Areal-kartofler</v>
      </c>
      <c r="E201" s="94" t="str">
        <f>'Resultater - Vestdanmark'!E201</f>
        <v>Hektar</v>
      </c>
      <c r="F201" s="94" t="str">
        <f>'Resultater - Vestdanmark'!F201</f>
        <v>Kartofler</v>
      </c>
      <c r="G201" s="94" t="str">
        <f>'Resultater - Vestdanmark'!G201</f>
        <v>Ton</v>
      </c>
      <c r="H201" s="254">
        <f>'Resultater - Vestdanmark'!H201+'Resultater - Østdanmark'!H201</f>
        <v>5431.8220154279852</v>
      </c>
      <c r="I201" s="255">
        <f>'Resultater - Vestdanmark'!I201+'Resultater - Østdanmark'!I201</f>
        <v>4946.0708251810674</v>
      </c>
      <c r="J201" s="256">
        <f>'Resultater - Vestdanmark'!J201+'Resultater - Østdanmark'!J201</f>
        <v>728.72640090694415</v>
      </c>
    </row>
    <row r="202" spans="1:10" x14ac:dyDescent="0.25">
      <c r="A202" s="94" t="str">
        <f>'Resultater - Vestdanmark'!A202</f>
        <v>Kartoffelmark</v>
      </c>
      <c r="B202" s="94" t="str">
        <f>'Resultater - Vestdanmark'!B202</f>
        <v>Økologisk</v>
      </c>
      <c r="C202" s="94" t="str">
        <f>'Resultater - Vestdanmark'!C202</f>
        <v>OC6</v>
      </c>
      <c r="D202" s="94" t="str">
        <f>'Resultater - Vestdanmark'!D202</f>
        <v>Areal-kartofler</v>
      </c>
      <c r="E202" s="94" t="str">
        <f>'Resultater - Vestdanmark'!E202</f>
        <v>Hektar</v>
      </c>
      <c r="F202" s="94" t="str">
        <f>'Resultater - Vestdanmark'!F202</f>
        <v>Gødning</v>
      </c>
      <c r="G202" s="94" t="str">
        <f>'Resultater - Vestdanmark'!G202</f>
        <v>kg N</v>
      </c>
      <c r="H202" s="254">
        <f>'Resultater - Vestdanmark'!H202+'Resultater - Østdanmark'!H202</f>
        <v>-12789.514898665619</v>
      </c>
      <c r="I202" s="255">
        <f>'Resultater - Vestdanmark'!I202+'Resultater - Østdanmark'!I202</f>
        <v>-11645.78779069667</v>
      </c>
      <c r="J202" s="256">
        <f>'Resultater - Vestdanmark'!J202+'Resultater - Østdanmark'!J202</f>
        <v>-1715.8252120519801</v>
      </c>
    </row>
    <row r="203" spans="1:10" x14ac:dyDescent="0.25">
      <c r="A203" s="94" t="str">
        <f>'Resultater - Vestdanmark'!A203</f>
        <v>Kartoffelmark</v>
      </c>
      <c r="B203" s="94" t="str">
        <f>'Resultater - Vestdanmark'!B203</f>
        <v>Økologisk</v>
      </c>
      <c r="C203" s="94" t="str">
        <f>'Resultater - Vestdanmark'!C203</f>
        <v>OC6</v>
      </c>
      <c r="D203" s="94" t="str">
        <f>'Resultater - Vestdanmark'!D203</f>
        <v>Areal-kartofler</v>
      </c>
      <c r="E203" s="94" t="str">
        <f>'Resultater - Vestdanmark'!E203</f>
        <v>Hektar</v>
      </c>
      <c r="F203" s="94" t="str">
        <f>'Resultater - Vestdanmark'!F203</f>
        <v>CO2 - atmosfære</v>
      </c>
      <c r="G203" s="94" t="str">
        <f>'Resultater - Vestdanmark'!G203</f>
        <v>t CO2-ækvivalenter</v>
      </c>
      <c r="H203" s="254">
        <f>'Resultater - Vestdanmark'!H203+'Resultater - Østdanmark'!H203</f>
        <v>2990.1463942669939</v>
      </c>
      <c r="I203" s="255">
        <f>'Resultater - Vestdanmark'!I203+'Resultater - Østdanmark'!I203</f>
        <v>2722.7467692604514</v>
      </c>
      <c r="J203" s="256">
        <f>'Resultater - Vestdanmark'!J203+'Resultater - Østdanmark'!J203</f>
        <v>401.15427454914033</v>
      </c>
    </row>
    <row r="204" spans="1:10" x14ac:dyDescent="0.25">
      <c r="A204" s="94" t="str">
        <f>'Resultater - Vestdanmark'!A204</f>
        <v>Kartoffelmark</v>
      </c>
      <c r="B204" s="94" t="str">
        <f>'Resultater - Vestdanmark'!B204</f>
        <v>Økologisk</v>
      </c>
      <c r="C204" s="94" t="str">
        <f>'Resultater - Vestdanmark'!C204</f>
        <v>OC12</v>
      </c>
      <c r="D204" s="94" t="str">
        <f>'Resultater - Vestdanmark'!D204</f>
        <v>Areal-kartofler</v>
      </c>
      <c r="E204" s="94" t="str">
        <f>'Resultater - Vestdanmark'!E204</f>
        <v>Hektar</v>
      </c>
      <c r="F204" s="94" t="str">
        <f>'Resultater - Vestdanmark'!F204</f>
        <v>Kartofler</v>
      </c>
      <c r="G204" s="94" t="str">
        <f>'Resultater - Vestdanmark'!G204</f>
        <v>Ton</v>
      </c>
      <c r="H204" s="254">
        <f>'Resultater - Vestdanmark'!H204+'Resultater - Østdanmark'!H204</f>
        <v>5428.1730608109774</v>
      </c>
      <c r="I204" s="255">
        <f>'Resultater - Vestdanmark'!I204+'Resultater - Østdanmark'!I204</f>
        <v>4801.9626135384869</v>
      </c>
      <c r="J204" s="256">
        <f>'Resultater - Vestdanmark'!J204+'Resultater - Østdanmark'!J204</f>
        <v>0</v>
      </c>
    </row>
    <row r="205" spans="1:10" x14ac:dyDescent="0.25">
      <c r="A205" s="94" t="str">
        <f>'Resultater - Vestdanmark'!A205</f>
        <v>Kartoffelmark</v>
      </c>
      <c r="B205" s="94" t="str">
        <f>'Resultater - Vestdanmark'!B205</f>
        <v>Økologisk</v>
      </c>
      <c r="C205" s="94" t="str">
        <f>'Resultater - Vestdanmark'!C205</f>
        <v>OC12</v>
      </c>
      <c r="D205" s="94" t="str">
        <f>'Resultater - Vestdanmark'!D205</f>
        <v>Areal-kartofler</v>
      </c>
      <c r="E205" s="94" t="str">
        <f>'Resultater - Vestdanmark'!E205</f>
        <v>Hektar</v>
      </c>
      <c r="F205" s="94" t="str">
        <f>'Resultater - Vestdanmark'!F205</f>
        <v>Gødning</v>
      </c>
      <c r="G205" s="94" t="str">
        <f>'Resultater - Vestdanmark'!G205</f>
        <v>kg N</v>
      </c>
      <c r="H205" s="254">
        <f>'Resultater - Vestdanmark'!H205+'Resultater - Østdanmark'!H205</f>
        <v>-8216.3077972908159</v>
      </c>
      <c r="I205" s="255">
        <f>'Resultater - Vestdanmark'!I205+'Resultater - Østdanmark'!I205</f>
        <v>-7268.4497015687839</v>
      </c>
      <c r="J205" s="256">
        <f>'Resultater - Vestdanmark'!J205+'Resultater - Østdanmark'!J205</f>
        <v>0</v>
      </c>
    </row>
    <row r="206" spans="1:10" x14ac:dyDescent="0.25">
      <c r="A206" s="94" t="str">
        <f>'Resultater - Vestdanmark'!A206</f>
        <v>Kartoffelmark</v>
      </c>
      <c r="B206" s="94" t="str">
        <f>'Resultater - Vestdanmark'!B206</f>
        <v>Økologisk</v>
      </c>
      <c r="C206" s="94" t="str">
        <f>'Resultater - Vestdanmark'!C206</f>
        <v>OC12</v>
      </c>
      <c r="D206" s="94" t="str">
        <f>'Resultater - Vestdanmark'!D206</f>
        <v>Areal-kartofler</v>
      </c>
      <c r="E206" s="94" t="str">
        <f>'Resultater - Vestdanmark'!E206</f>
        <v>Hektar</v>
      </c>
      <c r="F206" s="94" t="str">
        <f>'Resultater - Vestdanmark'!F206</f>
        <v>CO2 - atmosfære</v>
      </c>
      <c r="G206" s="94" t="str">
        <f>'Resultater - Vestdanmark'!G206</f>
        <v>t CO2-ækvivalenter</v>
      </c>
      <c r="H206" s="254">
        <f>'Resultater - Vestdanmark'!H206+'Resultater - Østdanmark'!H206</f>
        <v>6558.9030359423223</v>
      </c>
      <c r="I206" s="255">
        <f>'Resultater - Vestdanmark'!I206+'Resultater - Østdanmark'!I206</f>
        <v>5802.2481618730153</v>
      </c>
      <c r="J206" s="256">
        <f>'Resultater - Vestdanmark'!J206+'Resultater - Østdanmark'!J206</f>
        <v>0</v>
      </c>
    </row>
    <row r="207" spans="1:10" x14ac:dyDescent="0.25">
      <c r="A207" s="94" t="str">
        <f>'Resultater - Vestdanmark'!A207</f>
        <v>Græsmark</v>
      </c>
      <c r="B207" s="94" t="str">
        <f>'Resultater - Vestdanmark'!B207</f>
        <v>Konventionel</v>
      </c>
      <c r="C207" s="94" t="str">
        <f>'Resultater - Vestdanmark'!C207</f>
        <v>JB1-10</v>
      </c>
      <c r="D207" s="94" t="str">
        <f>'Resultater - Vestdanmark'!D207</f>
        <v>Areal-græs</v>
      </c>
      <c r="E207" s="94" t="str">
        <f>'Resultater - Vestdanmark'!E207</f>
        <v>Hektar</v>
      </c>
      <c r="F207" s="94" t="str">
        <f>'Resultater - Vestdanmark'!F207</f>
        <v>Græs</v>
      </c>
      <c r="G207" s="94" t="str">
        <f>'Resultater - Vestdanmark'!G207</f>
        <v>Ton</v>
      </c>
      <c r="H207" s="254">
        <f>'Resultater - Vestdanmark'!H207+'Resultater - Østdanmark'!H207</f>
        <v>10615606.672639394</v>
      </c>
      <c r="I207" s="255">
        <f>'Resultater - Vestdanmark'!I207+'Resultater - Østdanmark'!I207</f>
        <v>9017914.7438891623</v>
      </c>
      <c r="J207" s="256">
        <f>'Resultater - Vestdanmark'!J207+'Resultater - Østdanmark'!J207</f>
        <v>30803799.272399988</v>
      </c>
    </row>
    <row r="208" spans="1:10" x14ac:dyDescent="0.25">
      <c r="A208" s="94" t="str">
        <f>'Resultater - Vestdanmark'!A208</f>
        <v>Græsmark</v>
      </c>
      <c r="B208" s="94" t="str">
        <f>'Resultater - Vestdanmark'!B208</f>
        <v>Konventionel</v>
      </c>
      <c r="C208" s="94" t="str">
        <f>'Resultater - Vestdanmark'!C208</f>
        <v>JB1-10</v>
      </c>
      <c r="D208" s="94" t="str">
        <f>'Resultater - Vestdanmark'!D208</f>
        <v>Areal-græs</v>
      </c>
      <c r="E208" s="94" t="str">
        <f>'Resultater - Vestdanmark'!E208</f>
        <v>Hektar</v>
      </c>
      <c r="F208" s="94" t="str">
        <f>'Resultater - Vestdanmark'!F208</f>
        <v>Gødning</v>
      </c>
      <c r="G208" s="94" t="str">
        <f>'Resultater - Vestdanmark'!G208</f>
        <v>kg N</v>
      </c>
      <c r="H208" s="254">
        <f>'Resultater - Vestdanmark'!H208+'Resultater - Østdanmark'!H208</f>
        <v>-33160399.72307751</v>
      </c>
      <c r="I208" s="255">
        <f>'Resultater - Vestdanmark'!I208+'Resultater - Østdanmark'!I208</f>
        <v>-28169624.854954053</v>
      </c>
      <c r="J208" s="256">
        <f>'Resultater - Vestdanmark'!J208+'Resultater - Østdanmark'!J208</f>
        <v>-96223073.099999964</v>
      </c>
    </row>
    <row r="209" spans="1:10" x14ac:dyDescent="0.25">
      <c r="A209" s="94" t="str">
        <f>'Resultater - Vestdanmark'!A209</f>
        <v>Græsmark</v>
      </c>
      <c r="B209" s="94" t="str">
        <f>'Resultater - Vestdanmark'!B209</f>
        <v>Konventionel</v>
      </c>
      <c r="C209" s="94" t="str">
        <f>'Resultater - Vestdanmark'!C209</f>
        <v>JB1-10</v>
      </c>
      <c r="D209" s="94" t="str">
        <f>'Resultater - Vestdanmark'!D209</f>
        <v>Areal-græs</v>
      </c>
      <c r="E209" s="94" t="str">
        <f>'Resultater - Vestdanmark'!E209</f>
        <v>Hektar</v>
      </c>
      <c r="F209" s="94" t="str">
        <f>'Resultater - Vestdanmark'!F209</f>
        <v>CO2 - atmosfære</v>
      </c>
      <c r="G209" s="94" t="str">
        <f>'Resultater - Vestdanmark'!G209</f>
        <v>t CO2-ækvivalenter</v>
      </c>
      <c r="H209" s="254">
        <f>'Resultater - Vestdanmark'!H209+'Resultater - Østdanmark'!H209</f>
        <v>486429.76821888878</v>
      </c>
      <c r="I209" s="255">
        <f>'Resultater - Vestdanmark'!I209+'Resultater - Østdanmark'!I209</f>
        <v>413220.11204443529</v>
      </c>
      <c r="J209" s="256">
        <f>'Resultater - Vestdanmark'!J209+'Resultater - Østdanmark'!J209</f>
        <v>1411495.8666426558</v>
      </c>
    </row>
    <row r="210" spans="1:10" x14ac:dyDescent="0.25">
      <c r="A210" s="94" t="str">
        <f>'Resultater - Vestdanmark'!A210</f>
        <v>Græsmark</v>
      </c>
      <c r="B210" s="94" t="str">
        <f>'Resultater - Vestdanmark'!B210</f>
        <v>Konventionel</v>
      </c>
      <c r="C210" s="94" t="str">
        <f>'Resultater - Vestdanmark'!C210</f>
        <v>OC6</v>
      </c>
      <c r="D210" s="94" t="str">
        <f>'Resultater - Vestdanmark'!D210</f>
        <v>Areal-græs</v>
      </c>
      <c r="E210" s="94" t="str">
        <f>'Resultater - Vestdanmark'!E210</f>
        <v>Hektar</v>
      </c>
      <c r="F210" s="94" t="str">
        <f>'Resultater - Vestdanmark'!F210</f>
        <v>Græs</v>
      </c>
      <c r="G210" s="94" t="str">
        <f>'Resultater - Vestdanmark'!G210</f>
        <v>Ton</v>
      </c>
      <c r="H210" s="254">
        <f>'Resultater - Vestdanmark'!H210+'Resultater - Østdanmark'!H210</f>
        <v>1227820.3144178872</v>
      </c>
      <c r="I210" s="255">
        <f>'Resultater - Vestdanmark'!I210+'Resultater - Østdanmark'!I210</f>
        <v>914166.62435310567</v>
      </c>
      <c r="J210" s="256">
        <f>'Resultater - Vestdanmark'!J210+'Resultater - Østdanmark'!J210</f>
        <v>99298.206748212877</v>
      </c>
    </row>
    <row r="211" spans="1:10" x14ac:dyDescent="0.25">
      <c r="A211" s="94" t="str">
        <f>'Resultater - Vestdanmark'!A211</f>
        <v>Græsmark</v>
      </c>
      <c r="B211" s="94" t="str">
        <f>'Resultater - Vestdanmark'!B211</f>
        <v>Konventionel</v>
      </c>
      <c r="C211" s="94" t="str">
        <f>'Resultater - Vestdanmark'!C211</f>
        <v>OC6</v>
      </c>
      <c r="D211" s="94" t="str">
        <f>'Resultater - Vestdanmark'!D211</f>
        <v>Areal-græs</v>
      </c>
      <c r="E211" s="94" t="str">
        <f>'Resultater - Vestdanmark'!E211</f>
        <v>Hektar</v>
      </c>
      <c r="F211" s="94" t="str">
        <f>'Resultater - Vestdanmark'!F211</f>
        <v>Gødning</v>
      </c>
      <c r="G211" s="94" t="str">
        <f>'Resultater - Vestdanmark'!G211</f>
        <v>kg N</v>
      </c>
      <c r="H211" s="254">
        <f>'Resultater - Vestdanmark'!H211+'Resultater - Østdanmark'!H211</f>
        <v>-2680650.2901102607</v>
      </c>
      <c r="I211" s="255">
        <f>'Resultater - Vestdanmark'!I211+'Resultater - Østdanmark'!I211</f>
        <v>-1995862.9108878095</v>
      </c>
      <c r="J211" s="256">
        <f>'Resultater - Vestdanmark'!J211+'Resultater - Østdanmark'!J211</f>
        <v>-216793.74709908091</v>
      </c>
    </row>
    <row r="212" spans="1:10" x14ac:dyDescent="0.25">
      <c r="A212" s="94" t="str">
        <f>'Resultater - Vestdanmark'!A212</f>
        <v>Græsmark</v>
      </c>
      <c r="B212" s="94" t="str">
        <f>'Resultater - Vestdanmark'!B212</f>
        <v>Konventionel</v>
      </c>
      <c r="C212" s="94" t="str">
        <f>'Resultater - Vestdanmark'!C212</f>
        <v>OC6</v>
      </c>
      <c r="D212" s="94" t="str">
        <f>'Resultater - Vestdanmark'!D212</f>
        <v>Areal-græs</v>
      </c>
      <c r="E212" s="94" t="str">
        <f>'Resultater - Vestdanmark'!E212</f>
        <v>Hektar</v>
      </c>
      <c r="F212" s="94" t="str">
        <f>'Resultater - Vestdanmark'!F212</f>
        <v>CO2 - atmosfære</v>
      </c>
      <c r="G212" s="94" t="str">
        <f>'Resultater - Vestdanmark'!G212</f>
        <v>t CO2-ækvivalenter</v>
      </c>
      <c r="H212" s="254">
        <f>'Resultater - Vestdanmark'!H212+'Resultater - Østdanmark'!H212</f>
        <v>329754.92419657321</v>
      </c>
      <c r="I212" s="255">
        <f>'Resultater - Vestdanmark'!I212+'Resultater - Østdanmark'!I212</f>
        <v>245517.15131013631</v>
      </c>
      <c r="J212" s="256">
        <f>'Resultater - Vestdanmark'!J212+'Resultater - Østdanmark'!J212</f>
        <v>26668.456495311071</v>
      </c>
    </row>
    <row r="213" spans="1:10" x14ac:dyDescent="0.25">
      <c r="A213" s="94" t="str">
        <f>'Resultater - Vestdanmark'!A213</f>
        <v>Græsmark</v>
      </c>
      <c r="B213" s="94" t="str">
        <f>'Resultater - Vestdanmark'!B213</f>
        <v>Konventionel</v>
      </c>
      <c r="C213" s="94" t="str">
        <f>'Resultater - Vestdanmark'!C213</f>
        <v>OC12</v>
      </c>
      <c r="D213" s="94" t="str">
        <f>'Resultater - Vestdanmark'!D213</f>
        <v>Areal-græs</v>
      </c>
      <c r="E213" s="94" t="str">
        <f>'Resultater - Vestdanmark'!E213</f>
        <v>Hektar</v>
      </c>
      <c r="F213" s="94" t="str">
        <f>'Resultater - Vestdanmark'!F213</f>
        <v>Græs</v>
      </c>
      <c r="G213" s="94" t="str">
        <f>'Resultater - Vestdanmark'!G213</f>
        <v>Ton</v>
      </c>
      <c r="H213" s="254">
        <f>'Resultater - Vestdanmark'!H213+'Resultater - Østdanmark'!H213</f>
        <v>1475854.3420564069</v>
      </c>
      <c r="I213" s="255">
        <f>'Resultater - Vestdanmark'!I213+'Resultater - Østdanmark'!I213</f>
        <v>1068902.4681739521</v>
      </c>
      <c r="J213" s="256">
        <f>'Resultater - Vestdanmark'!J213+'Resultater - Østdanmark'!J213</f>
        <v>0</v>
      </c>
    </row>
    <row r="214" spans="1:10" x14ac:dyDescent="0.25">
      <c r="A214" s="94" t="str">
        <f>'Resultater - Vestdanmark'!A214</f>
        <v>Græsmark</v>
      </c>
      <c r="B214" s="94" t="str">
        <f>'Resultater - Vestdanmark'!B214</f>
        <v>Konventionel</v>
      </c>
      <c r="C214" s="94" t="str">
        <f>'Resultater - Vestdanmark'!C214</f>
        <v>OC12</v>
      </c>
      <c r="D214" s="94" t="str">
        <f>'Resultater - Vestdanmark'!D214</f>
        <v>Areal-græs</v>
      </c>
      <c r="E214" s="94" t="str">
        <f>'Resultater - Vestdanmark'!E214</f>
        <v>Hektar</v>
      </c>
      <c r="F214" s="94" t="str">
        <f>'Resultater - Vestdanmark'!F214</f>
        <v>Gødning</v>
      </c>
      <c r="G214" s="94" t="str">
        <f>'Resultater - Vestdanmark'!G214</f>
        <v>kg N</v>
      </c>
      <c r="H214" s="254">
        <f>'Resultater - Vestdanmark'!H214+'Resultater - Østdanmark'!H214</f>
        <v>-2230735.0998434206</v>
      </c>
      <c r="I214" s="255">
        <f>'Resultater - Vestdanmark'!I214+'Resultater - Østdanmark'!I214</f>
        <v>-1615632.5093318503</v>
      </c>
      <c r="J214" s="256">
        <f>'Resultater - Vestdanmark'!J214+'Resultater - Østdanmark'!J214</f>
        <v>0</v>
      </c>
    </row>
    <row r="215" spans="1:10" x14ac:dyDescent="0.25">
      <c r="A215" s="94" t="str">
        <f>'Resultater - Vestdanmark'!A215</f>
        <v>Græsmark</v>
      </c>
      <c r="B215" s="94" t="str">
        <f>'Resultater - Vestdanmark'!B215</f>
        <v>Konventionel</v>
      </c>
      <c r="C215" s="94" t="str">
        <f>'Resultater - Vestdanmark'!C215</f>
        <v>OC12</v>
      </c>
      <c r="D215" s="94" t="str">
        <f>'Resultater - Vestdanmark'!D215</f>
        <v>Areal-græs</v>
      </c>
      <c r="E215" s="94" t="str">
        <f>'Resultater - Vestdanmark'!E215</f>
        <v>Hektar</v>
      </c>
      <c r="F215" s="94" t="str">
        <f>'Resultater - Vestdanmark'!F215</f>
        <v>CO2 - atmosfære</v>
      </c>
      <c r="G215" s="94" t="str">
        <f>'Resultater - Vestdanmark'!G215</f>
        <v>t CO2-ækvivalenter</v>
      </c>
      <c r="H215" s="254">
        <f>'Resultater - Vestdanmark'!H215+'Resultater - Østdanmark'!H215</f>
        <v>870022.68593914213</v>
      </c>
      <c r="I215" s="255">
        <f>'Resultater - Vestdanmark'!I215+'Resultater - Østdanmark'!I215</f>
        <v>630122.74983172875</v>
      </c>
      <c r="J215" s="256">
        <f>'Resultater - Vestdanmark'!J215+'Resultater - Østdanmark'!J215</f>
        <v>0</v>
      </c>
    </row>
    <row r="216" spans="1:10" x14ac:dyDescent="0.25">
      <c r="A216" s="94" t="str">
        <f>'Resultater - Vestdanmark'!A216</f>
        <v>Græsmark</v>
      </c>
      <c r="B216" s="94" t="str">
        <f>'Resultater - Vestdanmark'!B216</f>
        <v>Økologisk</v>
      </c>
      <c r="C216" s="94" t="str">
        <f>'Resultater - Vestdanmark'!C216</f>
        <v>JB1-10</v>
      </c>
      <c r="D216" s="94" t="str">
        <f>'Resultater - Vestdanmark'!D216</f>
        <v>Areal-græs</v>
      </c>
      <c r="E216" s="94" t="str">
        <f>'Resultater - Vestdanmark'!E216</f>
        <v>Hektar</v>
      </c>
      <c r="F216" s="94" t="str">
        <f>'Resultater - Vestdanmark'!F216</f>
        <v>Græs</v>
      </c>
      <c r="G216" s="94" t="str">
        <f>'Resultater - Vestdanmark'!G216</f>
        <v>Ton</v>
      </c>
      <c r="H216" s="254">
        <f>'Resultater - Vestdanmark'!H216+'Resultater - Østdanmark'!H216</f>
        <v>1058715.4844797079</v>
      </c>
      <c r="I216" s="255">
        <f>'Resultater - Vestdanmark'!I216+'Resultater - Østdanmark'!I216</f>
        <v>1100010.1670304523</v>
      </c>
      <c r="J216" s="256">
        <f>'Resultater - Vestdanmark'!J216+'Resultater - Østdanmark'!J216</f>
        <v>5096628.606887999</v>
      </c>
    </row>
    <row r="217" spans="1:10" x14ac:dyDescent="0.25">
      <c r="A217" s="94" t="str">
        <f>'Resultater - Vestdanmark'!A217</f>
        <v>Græsmark</v>
      </c>
      <c r="B217" s="94" t="str">
        <f>'Resultater - Vestdanmark'!B217</f>
        <v>Økologisk</v>
      </c>
      <c r="C217" s="94" t="str">
        <f>'Resultater - Vestdanmark'!C217</f>
        <v>JB1-10</v>
      </c>
      <c r="D217" s="94" t="str">
        <f>'Resultater - Vestdanmark'!D217</f>
        <v>Areal-græs</v>
      </c>
      <c r="E217" s="94" t="str">
        <f>'Resultater - Vestdanmark'!E217</f>
        <v>Hektar</v>
      </c>
      <c r="F217" s="94" t="str">
        <f>'Resultater - Vestdanmark'!F217</f>
        <v>Gødning</v>
      </c>
      <c r="G217" s="94" t="str">
        <f>'Resultater - Vestdanmark'!G217</f>
        <v>kg N</v>
      </c>
      <c r="H217" s="254">
        <f>'Resultater - Vestdanmark'!H217+'Resultater - Østdanmark'!H217</f>
        <v>-3307152.3598217401</v>
      </c>
      <c r="I217" s="255">
        <f>'Resultater - Vestdanmark'!I217+'Resultater - Østdanmark'!I217</f>
        <v>-3436146.2291358346</v>
      </c>
      <c r="J217" s="256">
        <f>'Resultater - Vestdanmark'!J217+'Resultater - Østdanmark'!J217</f>
        <v>-15920544.821999995</v>
      </c>
    </row>
    <row r="218" spans="1:10" x14ac:dyDescent="0.25">
      <c r="A218" s="94" t="str">
        <f>'Resultater - Vestdanmark'!A218</f>
        <v>Græsmark</v>
      </c>
      <c r="B218" s="94" t="str">
        <f>'Resultater - Vestdanmark'!B218</f>
        <v>Økologisk</v>
      </c>
      <c r="C218" s="94" t="str">
        <f>'Resultater - Vestdanmark'!C218</f>
        <v>JB1-10</v>
      </c>
      <c r="D218" s="94" t="str">
        <f>'Resultater - Vestdanmark'!D218</f>
        <v>Areal-græs</v>
      </c>
      <c r="E218" s="94" t="str">
        <f>'Resultater - Vestdanmark'!E218</f>
        <v>Hektar</v>
      </c>
      <c r="F218" s="94" t="str">
        <f>'Resultater - Vestdanmark'!F218</f>
        <v>CO2 - atmosfære</v>
      </c>
      <c r="G218" s="94" t="str">
        <f>'Resultater - Vestdanmark'!G218</f>
        <v>t CO2-ækvivalenter</v>
      </c>
      <c r="H218" s="254">
        <f>'Resultater - Vestdanmark'!H218+'Resultater - Østdanmark'!H218</f>
        <v>62195.646757178984</v>
      </c>
      <c r="I218" s="255">
        <f>'Resultater - Vestdanmark'!I218+'Resultater - Østdanmark'!I218</f>
        <v>64621.557709202243</v>
      </c>
      <c r="J218" s="256">
        <f>'Resultater - Vestdanmark'!J218+'Resultater - Østdanmark'!J218</f>
        <v>299408.21413632098</v>
      </c>
    </row>
    <row r="219" spans="1:10" x14ac:dyDescent="0.25">
      <c r="A219" s="94" t="str">
        <f>'Resultater - Vestdanmark'!A219</f>
        <v>Græsmark</v>
      </c>
      <c r="B219" s="94" t="str">
        <f>'Resultater - Vestdanmark'!B219</f>
        <v>Økologisk</v>
      </c>
      <c r="C219" s="94" t="str">
        <f>'Resultater - Vestdanmark'!C219</f>
        <v>OC6</v>
      </c>
      <c r="D219" s="94" t="str">
        <f>'Resultater - Vestdanmark'!D219</f>
        <v>Areal-græs</v>
      </c>
      <c r="E219" s="94" t="str">
        <f>'Resultater - Vestdanmark'!E219</f>
        <v>Hektar</v>
      </c>
      <c r="F219" s="94" t="str">
        <f>'Resultater - Vestdanmark'!F219</f>
        <v>Græs</v>
      </c>
      <c r="G219" s="94" t="str">
        <f>'Resultater - Vestdanmark'!G219</f>
        <v>Ton</v>
      </c>
      <c r="H219" s="254">
        <f>'Resultater - Vestdanmark'!H219+'Resultater - Østdanmark'!H219</f>
        <v>122452.95244249655</v>
      </c>
      <c r="I219" s="255">
        <f>'Resultater - Vestdanmark'!I219+'Resultater - Østdanmark'!I219</f>
        <v>111510.54425633678</v>
      </c>
      <c r="J219" s="256">
        <f>'Resultater - Vestdanmark'!J219+'Resultater - Østdanmark'!J219</f>
        <v>16429.339661977039</v>
      </c>
    </row>
    <row r="220" spans="1:10" x14ac:dyDescent="0.25">
      <c r="A220" s="94" t="str">
        <f>'Resultater - Vestdanmark'!A220</f>
        <v>Græsmark</v>
      </c>
      <c r="B220" s="94" t="str">
        <f>'Resultater - Vestdanmark'!B220</f>
        <v>Økologisk</v>
      </c>
      <c r="C220" s="94" t="str">
        <f>'Resultater - Vestdanmark'!C220</f>
        <v>OC6</v>
      </c>
      <c r="D220" s="94" t="str">
        <f>'Resultater - Vestdanmark'!D220</f>
        <v>Areal-græs</v>
      </c>
      <c r="E220" s="94" t="str">
        <f>'Resultater - Vestdanmark'!E220</f>
        <v>Hektar</v>
      </c>
      <c r="F220" s="94" t="str">
        <f>'Resultater - Vestdanmark'!F220</f>
        <v>Gødning</v>
      </c>
      <c r="G220" s="94" t="str">
        <f>'Resultater - Vestdanmark'!G220</f>
        <v>kg N</v>
      </c>
      <c r="H220" s="254">
        <f>'Resultater - Vestdanmark'!H220+'Resultater - Østdanmark'!H220</f>
        <v>-267346.56417984271</v>
      </c>
      <c r="I220" s="255">
        <f>'Resultater - Vestdanmark'!I220+'Resultater - Østdanmark'!I220</f>
        <v>-243456.44822860043</v>
      </c>
      <c r="J220" s="256">
        <f>'Resultater - Vestdanmark'!J220+'Resultater - Østdanmark'!J220</f>
        <v>-35869.510883666117</v>
      </c>
    </row>
    <row r="221" spans="1:10" x14ac:dyDescent="0.25">
      <c r="A221" s="94" t="str">
        <f>'Resultater - Vestdanmark'!A221</f>
        <v>Græsmark</v>
      </c>
      <c r="B221" s="94" t="str">
        <f>'Resultater - Vestdanmark'!B221</f>
        <v>Økologisk</v>
      </c>
      <c r="C221" s="94" t="str">
        <f>'Resultater - Vestdanmark'!C221</f>
        <v>OC6</v>
      </c>
      <c r="D221" s="94" t="str">
        <f>'Resultater - Vestdanmark'!D221</f>
        <v>Areal-græs</v>
      </c>
      <c r="E221" s="94" t="str">
        <f>'Resultater - Vestdanmark'!E221</f>
        <v>Hektar</v>
      </c>
      <c r="F221" s="94" t="str">
        <f>'Resultater - Vestdanmark'!F221</f>
        <v>CO2 - atmosfære</v>
      </c>
      <c r="G221" s="94" t="str">
        <f>'Resultater - Vestdanmark'!G221</f>
        <v>t CO2-ækvivalenter</v>
      </c>
      <c r="H221" s="254">
        <f>'Resultater - Vestdanmark'!H221+'Resultater - Østdanmark'!H221</f>
        <v>42162.963950309473</v>
      </c>
      <c r="I221" s="255">
        <f>'Resultater - Vestdanmark'!I221+'Resultater - Østdanmark'!I221</f>
        <v>38395.277237330614</v>
      </c>
      <c r="J221" s="256">
        <f>'Resultater - Vestdanmark'!J221+'Resultater - Østdanmark'!J221</f>
        <v>5656.9453171871974</v>
      </c>
    </row>
    <row r="222" spans="1:10" x14ac:dyDescent="0.25">
      <c r="A222" s="94" t="str">
        <f>'Resultater - Vestdanmark'!A222</f>
        <v>Græsmark</v>
      </c>
      <c r="B222" s="94" t="str">
        <f>'Resultater - Vestdanmark'!B222</f>
        <v>Økologisk</v>
      </c>
      <c r="C222" s="94" t="str">
        <f>'Resultater - Vestdanmark'!C222</f>
        <v>OC12</v>
      </c>
      <c r="D222" s="94" t="str">
        <f>'Resultater - Vestdanmark'!D222</f>
        <v>Areal-græs</v>
      </c>
      <c r="E222" s="94" t="str">
        <f>'Resultater - Vestdanmark'!E222</f>
        <v>Hektar</v>
      </c>
      <c r="F222" s="94" t="str">
        <f>'Resultater - Vestdanmark'!F222</f>
        <v>Græs</v>
      </c>
      <c r="G222" s="94" t="str">
        <f>'Resultater - Vestdanmark'!G222</f>
        <v>Ton</v>
      </c>
      <c r="H222" s="254">
        <f>'Resultater - Vestdanmark'!H222+'Resultater - Østdanmark'!H222</f>
        <v>147189.87740935557</v>
      </c>
      <c r="I222" s="255">
        <f>'Resultater - Vestdanmark'!I222+'Resultater - Østdanmark'!I222</f>
        <v>130385.30701923688</v>
      </c>
      <c r="J222" s="256">
        <f>'Resultater - Vestdanmark'!J222+'Resultater - Østdanmark'!J222</f>
        <v>0</v>
      </c>
    </row>
    <row r="223" spans="1:10" x14ac:dyDescent="0.25">
      <c r="A223" s="94" t="str">
        <f>'Resultater - Vestdanmark'!A223</f>
        <v>Græsmark</v>
      </c>
      <c r="B223" s="94" t="str">
        <f>'Resultater - Vestdanmark'!B223</f>
        <v>Økologisk</v>
      </c>
      <c r="C223" s="94" t="str">
        <f>'Resultater - Vestdanmark'!C223</f>
        <v>OC12</v>
      </c>
      <c r="D223" s="94" t="str">
        <f>'Resultater - Vestdanmark'!D223</f>
        <v>Areal-græs</v>
      </c>
      <c r="E223" s="94" t="str">
        <f>'Resultater - Vestdanmark'!E223</f>
        <v>Hektar</v>
      </c>
      <c r="F223" s="94" t="str">
        <f>'Resultater - Vestdanmark'!F223</f>
        <v>Gødning</v>
      </c>
      <c r="G223" s="94" t="str">
        <f>'Resultater - Vestdanmark'!G223</f>
        <v>kg N</v>
      </c>
      <c r="H223" s="254">
        <f>'Resultater - Vestdanmark'!H223+'Resultater - Østdanmark'!H223</f>
        <v>-222475.63090894136</v>
      </c>
      <c r="I223" s="255">
        <f>'Resultater - Vestdanmark'!I223+'Resultater - Østdanmark'!I223</f>
        <v>-197075.73612339314</v>
      </c>
      <c r="J223" s="256">
        <f>'Resultater - Vestdanmark'!J223+'Resultater - Østdanmark'!J223</f>
        <v>0</v>
      </c>
    </row>
    <row r="224" spans="1:10" x14ac:dyDescent="0.25">
      <c r="A224" s="94" t="str">
        <f>'Resultater - Vestdanmark'!A224</f>
        <v>Græsmark</v>
      </c>
      <c r="B224" s="94" t="str">
        <f>'Resultater - Vestdanmark'!B224</f>
        <v>Økologisk</v>
      </c>
      <c r="C224" s="94" t="str">
        <f>'Resultater - Vestdanmark'!C224</f>
        <v>OC12</v>
      </c>
      <c r="D224" s="94" t="str">
        <f>'Resultater - Vestdanmark'!D224</f>
        <v>Areal-græs</v>
      </c>
      <c r="E224" s="94" t="str">
        <f>'Resultater - Vestdanmark'!E224</f>
        <v>Hektar</v>
      </c>
      <c r="F224" s="94" t="str">
        <f>'Resultater - Vestdanmark'!F224</f>
        <v>CO2 - atmosfære</v>
      </c>
      <c r="G224" s="94" t="str">
        <f>'Resultater - Vestdanmark'!G224</f>
        <v>t CO2-ækvivalenter</v>
      </c>
      <c r="H224" s="254">
        <f>'Resultater - Vestdanmark'!H224+'Resultater - Østdanmark'!H224</f>
        <v>111242.41808542692</v>
      </c>
      <c r="I224" s="255">
        <f>'Resultater - Vestdanmark'!I224+'Resultater - Østdanmark'!I224</f>
        <v>98541.945213338317</v>
      </c>
      <c r="J224" s="256">
        <f>'Resultater - Vestdanmark'!J224+'Resultater - Østdanmark'!J224</f>
        <v>0</v>
      </c>
    </row>
    <row r="225" spans="1:10" x14ac:dyDescent="0.25">
      <c r="A225" s="94" t="str">
        <f>'Resultater - Vestdanmark'!A225</f>
        <v>Bælgsædsmark</v>
      </c>
      <c r="B225" s="94" t="str">
        <f>'Resultater - Vestdanmark'!B225</f>
        <v>Konventionel</v>
      </c>
      <c r="C225" s="94" t="str">
        <f>'Resultater - Vestdanmark'!C225</f>
        <v>JB1-10</v>
      </c>
      <c r="D225" s="94" t="str">
        <f>'Resultater - Vestdanmark'!D225</f>
        <v>Areal-bælgsæd</v>
      </c>
      <c r="E225" s="94" t="str">
        <f>'Resultater - Vestdanmark'!E225</f>
        <v>Hektar</v>
      </c>
      <c r="F225" s="94" t="str">
        <f>'Resultater - Vestdanmark'!F225</f>
        <v>Bælgsæd</v>
      </c>
      <c r="G225" s="94" t="str">
        <f>'Resultater - Vestdanmark'!G225</f>
        <v>Ton</v>
      </c>
      <c r="H225" s="254">
        <f>'Resultater - Vestdanmark'!H225+'Resultater - Østdanmark'!H225</f>
        <v>252636.14136845001</v>
      </c>
      <c r="I225" s="255">
        <f>'Resultater - Vestdanmark'!I225+'Resultater - Østdanmark'!I225</f>
        <v>950941.91660895792</v>
      </c>
      <c r="J225" s="256">
        <f>'Resultater - Vestdanmark'!J225+'Resultater - Østdanmark'!J225</f>
        <v>1711617.798</v>
      </c>
    </row>
    <row r="226" spans="1:10" x14ac:dyDescent="0.25">
      <c r="A226" s="94" t="str">
        <f>'Resultater - Vestdanmark'!A226</f>
        <v>Bælgsædsmark</v>
      </c>
      <c r="B226" s="94" t="str">
        <f>'Resultater - Vestdanmark'!B226</f>
        <v>Konventionel</v>
      </c>
      <c r="C226" s="94" t="str">
        <f>'Resultater - Vestdanmark'!C226</f>
        <v>JB1-10</v>
      </c>
      <c r="D226" s="94" t="str">
        <f>'Resultater - Vestdanmark'!D226</f>
        <v>Areal-bælgsæd</v>
      </c>
      <c r="E226" s="94" t="str">
        <f>'Resultater - Vestdanmark'!E226</f>
        <v>Hektar</v>
      </c>
      <c r="F226" s="94" t="str">
        <f>'Resultater - Vestdanmark'!F226</f>
        <v>Halm</v>
      </c>
      <c r="G226" s="94" t="str">
        <f>'Resultater - Vestdanmark'!G226</f>
        <v>Ton</v>
      </c>
      <c r="H226" s="254">
        <f>'Resultater - Vestdanmark'!H226+'Resultater - Østdanmark'!H226</f>
        <v>75002.300218044285</v>
      </c>
      <c r="I226" s="255">
        <f>'Resultater - Vestdanmark'!I226+'Resultater - Østdanmark'!I226</f>
        <v>296727.48799510178</v>
      </c>
      <c r="J226" s="256">
        <f>'Resultater - Vestdanmark'!J226+'Resultater - Østdanmark'!J226</f>
        <v>580967.20135904965</v>
      </c>
    </row>
    <row r="227" spans="1:10" x14ac:dyDescent="0.25">
      <c r="A227" s="94" t="str">
        <f>'Resultater - Vestdanmark'!A227</f>
        <v>Bælgsædsmark</v>
      </c>
      <c r="B227" s="94" t="str">
        <f>'Resultater - Vestdanmark'!B227</f>
        <v>Konventionel</v>
      </c>
      <c r="C227" s="94" t="str">
        <f>'Resultater - Vestdanmark'!C227</f>
        <v>JB1-10</v>
      </c>
      <c r="D227" s="94" t="str">
        <f>'Resultater - Vestdanmark'!D227</f>
        <v>Areal-bælgsæd</v>
      </c>
      <c r="E227" s="94" t="str">
        <f>'Resultater - Vestdanmark'!E227</f>
        <v>Hektar</v>
      </c>
      <c r="F227" s="94" t="str">
        <f>'Resultater - Vestdanmark'!F227</f>
        <v>Gødning</v>
      </c>
      <c r="G227" s="94" t="str">
        <f>'Resultater - Vestdanmark'!G227</f>
        <v>kg N</v>
      </c>
      <c r="H227" s="254">
        <f>'Resultater - Vestdanmark'!H227+'Resultater - Østdanmark'!H227</f>
        <v>0</v>
      </c>
      <c r="I227" s="255">
        <f>'Resultater - Vestdanmark'!I227+'Resultater - Østdanmark'!I227</f>
        <v>0</v>
      </c>
      <c r="J227" s="256">
        <f>'Resultater - Vestdanmark'!J227+'Resultater - Østdanmark'!J227</f>
        <v>0</v>
      </c>
    </row>
    <row r="228" spans="1:10" x14ac:dyDescent="0.25">
      <c r="A228" s="94" t="str">
        <f>'Resultater - Vestdanmark'!A228</f>
        <v>Bælgsædsmark</v>
      </c>
      <c r="B228" s="94" t="str">
        <f>'Resultater - Vestdanmark'!B228</f>
        <v>Konventionel</v>
      </c>
      <c r="C228" s="94" t="str">
        <f>'Resultater - Vestdanmark'!C228</f>
        <v>JB1-10</v>
      </c>
      <c r="D228" s="94" t="str">
        <f>'Resultater - Vestdanmark'!D228</f>
        <v>Areal-bælgsæd</v>
      </c>
      <c r="E228" s="94" t="str">
        <f>'Resultater - Vestdanmark'!E228</f>
        <v>Hektar</v>
      </c>
      <c r="F228" s="94" t="str">
        <f>'Resultater - Vestdanmark'!F228</f>
        <v>CO2 - atmosfære</v>
      </c>
      <c r="G228" s="94" t="str">
        <f>'Resultater - Vestdanmark'!G228</f>
        <v>t CO2-ækvivalenter</v>
      </c>
      <c r="H228" s="254">
        <f>'Resultater - Vestdanmark'!H228+'Resultater - Østdanmark'!H228</f>
        <v>148812.79058360241</v>
      </c>
      <c r="I228" s="255">
        <f>'Resultater - Vestdanmark'!I228+'Resultater - Østdanmark'!I228</f>
        <v>560142.81854912336</v>
      </c>
      <c r="J228" s="256">
        <f>'Resultater - Vestdanmark'!J228+'Resultater - Østdanmark'!J228</f>
        <v>1008211.333316183</v>
      </c>
    </row>
    <row r="229" spans="1:10" x14ac:dyDescent="0.25">
      <c r="A229" s="94" t="str">
        <f>'Resultater - Vestdanmark'!A229</f>
        <v>Bælgsædsmark</v>
      </c>
      <c r="B229" s="94" t="str">
        <f>'Resultater - Vestdanmark'!B229</f>
        <v>Konventionel</v>
      </c>
      <c r="C229" s="94" t="str">
        <f>'Resultater - Vestdanmark'!C229</f>
        <v>OC6</v>
      </c>
      <c r="D229" s="94" t="str">
        <f>'Resultater - Vestdanmark'!D229</f>
        <v>Areal-bælgsæd</v>
      </c>
      <c r="E229" s="94" t="str">
        <f>'Resultater - Vestdanmark'!E229</f>
        <v>Hektar</v>
      </c>
      <c r="F229" s="94" t="str">
        <f>'Resultater - Vestdanmark'!F229</f>
        <v>Bælgsæd</v>
      </c>
      <c r="G229" s="94" t="str">
        <f>'Resultater - Vestdanmark'!G229</f>
        <v>Ton</v>
      </c>
      <c r="H229" s="254">
        <f>'Resultater - Vestdanmark'!H229+'Resultater - Østdanmark'!H229</f>
        <v>9551.9923536804617</v>
      </c>
      <c r="I229" s="255">
        <f>'Resultater - Vestdanmark'!I229+'Resultater - Østdanmark'!I229</f>
        <v>7111.7304020960937</v>
      </c>
      <c r="J229" s="256">
        <f>'Resultater - Vestdanmark'!J229+'Resultater - Østdanmark'!J229</f>
        <v>772.48726544201566</v>
      </c>
    </row>
    <row r="230" spans="1:10" x14ac:dyDescent="0.25">
      <c r="A230" s="94" t="str">
        <f>'Resultater - Vestdanmark'!A230</f>
        <v>Bælgsædsmark</v>
      </c>
      <c r="B230" s="94" t="str">
        <f>'Resultater - Vestdanmark'!B230</f>
        <v>Konventionel</v>
      </c>
      <c r="C230" s="94" t="str">
        <f>'Resultater - Vestdanmark'!C230</f>
        <v>OC6</v>
      </c>
      <c r="D230" s="94" t="str">
        <f>'Resultater - Vestdanmark'!D230</f>
        <v>Areal-bælgsæd</v>
      </c>
      <c r="E230" s="94" t="str">
        <f>'Resultater - Vestdanmark'!E230</f>
        <v>Hektar</v>
      </c>
      <c r="F230" s="94" t="str">
        <f>'Resultater - Vestdanmark'!F230</f>
        <v>Halm</v>
      </c>
      <c r="G230" s="94" t="str">
        <f>'Resultater - Vestdanmark'!G230</f>
        <v>Ton</v>
      </c>
      <c r="H230" s="254">
        <f>'Resultater - Vestdanmark'!H230+'Resultater - Østdanmark'!H230</f>
        <v>2835.7834881049771</v>
      </c>
      <c r="I230" s="255">
        <f>'Resultater - Vestdanmark'!I230+'Resultater - Østdanmark'!I230</f>
        <v>2219.1112418700272</v>
      </c>
      <c r="J230" s="256">
        <f>'Resultater - Vestdanmark'!J230+'Resultater - Østdanmark'!J230</f>
        <v>262.20209045135977</v>
      </c>
    </row>
    <row r="231" spans="1:10" x14ac:dyDescent="0.25">
      <c r="A231" s="94" t="str">
        <f>'Resultater - Vestdanmark'!A231</f>
        <v>Bælgsædsmark</v>
      </c>
      <c r="B231" s="94" t="str">
        <f>'Resultater - Vestdanmark'!B231</f>
        <v>Konventionel</v>
      </c>
      <c r="C231" s="94" t="str">
        <f>'Resultater - Vestdanmark'!C231</f>
        <v>OC6</v>
      </c>
      <c r="D231" s="94" t="str">
        <f>'Resultater - Vestdanmark'!D231</f>
        <v>Areal-bælgsæd</v>
      </c>
      <c r="E231" s="94" t="str">
        <f>'Resultater - Vestdanmark'!E231</f>
        <v>Hektar</v>
      </c>
      <c r="F231" s="94" t="str">
        <f>'Resultater - Vestdanmark'!F231</f>
        <v>Gødning</v>
      </c>
      <c r="G231" s="94" t="str">
        <f>'Resultater - Vestdanmark'!G231</f>
        <v>kg N</v>
      </c>
      <c r="H231" s="254">
        <f>'Resultater - Vestdanmark'!H231+'Resultater - Østdanmark'!H231</f>
        <v>0</v>
      </c>
      <c r="I231" s="255">
        <f>'Resultater - Vestdanmark'!I231+'Resultater - Østdanmark'!I231</f>
        <v>0</v>
      </c>
      <c r="J231" s="256">
        <f>'Resultater - Vestdanmark'!J231+'Resultater - Østdanmark'!J231</f>
        <v>0</v>
      </c>
    </row>
    <row r="232" spans="1:10" x14ac:dyDescent="0.25">
      <c r="A232" s="94" t="str">
        <f>'Resultater - Vestdanmark'!A232</f>
        <v>Bælgsædsmark</v>
      </c>
      <c r="B232" s="94" t="str">
        <f>'Resultater - Vestdanmark'!B232</f>
        <v>Konventionel</v>
      </c>
      <c r="C232" s="94" t="str">
        <f>'Resultater - Vestdanmark'!C232</f>
        <v>OC6</v>
      </c>
      <c r="D232" s="94" t="str">
        <f>'Resultater - Vestdanmark'!D232</f>
        <v>Areal-bælgsæd</v>
      </c>
      <c r="E232" s="94" t="str">
        <f>'Resultater - Vestdanmark'!E232</f>
        <v>Hektar</v>
      </c>
      <c r="F232" s="94" t="str">
        <f>'Resultater - Vestdanmark'!F232</f>
        <v>CO2 - atmosfære</v>
      </c>
      <c r="G232" s="94" t="str">
        <f>'Resultater - Vestdanmark'!G232</f>
        <v>t CO2-ækvivalenter</v>
      </c>
      <c r="H232" s="254">
        <f>'Resultater - Vestdanmark'!H232+'Resultater - Østdanmark'!H232</f>
        <v>32977.664576989635</v>
      </c>
      <c r="I232" s="255">
        <f>'Resultater - Vestdanmark'!I232+'Resultater - Østdanmark'!I232</f>
        <v>24552.810668021411</v>
      </c>
      <c r="J232" s="256">
        <f>'Resultater - Vestdanmark'!J232+'Resultater - Østdanmark'!J232</f>
        <v>2666.9646484722207</v>
      </c>
    </row>
    <row r="233" spans="1:10" x14ac:dyDescent="0.25">
      <c r="A233" s="94" t="str">
        <f>'Resultater - Vestdanmark'!A233</f>
        <v>Bælgsædsmark</v>
      </c>
      <c r="B233" s="94" t="str">
        <f>'Resultater - Vestdanmark'!B233</f>
        <v>Konventionel</v>
      </c>
      <c r="C233" s="94" t="str">
        <f>'Resultater - Vestdanmark'!C233</f>
        <v>OC12</v>
      </c>
      <c r="D233" s="94" t="str">
        <f>'Resultater - Vestdanmark'!D233</f>
        <v>Areal-bælgsæd</v>
      </c>
      <c r="E233" s="94" t="str">
        <f>'Resultater - Vestdanmark'!E233</f>
        <v>Hektar</v>
      </c>
      <c r="F233" s="94" t="str">
        <f>'Resultater - Vestdanmark'!F233</f>
        <v>Bælgsæd</v>
      </c>
      <c r="G233" s="94" t="str">
        <f>'Resultater - Vestdanmark'!G233</f>
        <v>Ton</v>
      </c>
      <c r="H233" s="254">
        <f>'Resultater - Vestdanmark'!H233+'Resultater - Østdanmark'!H233</f>
        <v>3796.4815039591263</v>
      </c>
      <c r="I233" s="255">
        <f>'Resultater - Vestdanmark'!I233+'Resultater - Østdanmark'!I233</f>
        <v>2748.569108805103</v>
      </c>
      <c r="J233" s="256">
        <f>'Resultater - Vestdanmark'!J233+'Resultater - Østdanmark'!J233</f>
        <v>0</v>
      </c>
    </row>
    <row r="234" spans="1:10" x14ac:dyDescent="0.25">
      <c r="A234" s="94" t="str">
        <f>'Resultater - Vestdanmark'!A234</f>
        <v>Bælgsædsmark</v>
      </c>
      <c r="B234" s="94" t="str">
        <f>'Resultater - Vestdanmark'!B234</f>
        <v>Konventionel</v>
      </c>
      <c r="C234" s="94" t="str">
        <f>'Resultater - Vestdanmark'!C234</f>
        <v>OC12</v>
      </c>
      <c r="D234" s="94" t="str">
        <f>'Resultater - Vestdanmark'!D234</f>
        <v>Areal-bælgsæd</v>
      </c>
      <c r="E234" s="94" t="str">
        <f>'Resultater - Vestdanmark'!E234</f>
        <v>Hektar</v>
      </c>
      <c r="F234" s="94" t="str">
        <f>'Resultater - Vestdanmark'!F234</f>
        <v>Halm</v>
      </c>
      <c r="G234" s="94" t="str">
        <f>'Resultater - Vestdanmark'!G234</f>
        <v>Ton</v>
      </c>
      <c r="H234" s="254">
        <f>'Resultater - Vestdanmark'!H234+'Resultater - Østdanmark'!H234</f>
        <v>1127.0946587048945</v>
      </c>
      <c r="I234" s="255">
        <f>'Resultater - Vestdanmark'!I234+'Resultater - Østdanmark'!I234</f>
        <v>857.65070714834349</v>
      </c>
      <c r="J234" s="256">
        <f>'Resultater - Vestdanmark'!J234+'Resultater - Østdanmark'!J234</f>
        <v>0</v>
      </c>
    </row>
    <row r="235" spans="1:10" x14ac:dyDescent="0.25">
      <c r="A235" s="94" t="str">
        <f>'Resultater - Vestdanmark'!A235</f>
        <v>Bælgsædsmark</v>
      </c>
      <c r="B235" s="94" t="str">
        <f>'Resultater - Vestdanmark'!B235</f>
        <v>Konventionel</v>
      </c>
      <c r="C235" s="94" t="str">
        <f>'Resultater - Vestdanmark'!C235</f>
        <v>OC12</v>
      </c>
      <c r="D235" s="94" t="str">
        <f>'Resultater - Vestdanmark'!D235</f>
        <v>Areal-bælgsæd</v>
      </c>
      <c r="E235" s="94" t="str">
        <f>'Resultater - Vestdanmark'!E235</f>
        <v>Hektar</v>
      </c>
      <c r="F235" s="94" t="str">
        <f>'Resultater - Vestdanmark'!F235</f>
        <v>Gødning</v>
      </c>
      <c r="G235" s="94" t="str">
        <f>'Resultater - Vestdanmark'!G235</f>
        <v>kg N</v>
      </c>
      <c r="H235" s="254">
        <f>'Resultater - Vestdanmark'!H235+'Resultater - Østdanmark'!H235</f>
        <v>0</v>
      </c>
      <c r="I235" s="255">
        <f>'Resultater - Vestdanmark'!I235+'Resultater - Østdanmark'!I235</f>
        <v>0</v>
      </c>
      <c r="J235" s="256">
        <f>'Resultater - Vestdanmark'!J235+'Resultater - Østdanmark'!J235</f>
        <v>0</v>
      </c>
    </row>
    <row r="236" spans="1:10" x14ac:dyDescent="0.25">
      <c r="A236" s="94" t="str">
        <f>'Resultater - Vestdanmark'!A236</f>
        <v>Bælgsædsmark</v>
      </c>
      <c r="B236" s="94" t="str">
        <f>'Resultater - Vestdanmark'!B236</f>
        <v>Konventionel</v>
      </c>
      <c r="C236" s="94" t="str">
        <f>'Resultater - Vestdanmark'!C236</f>
        <v>OC12</v>
      </c>
      <c r="D236" s="94" t="str">
        <f>'Resultater - Vestdanmark'!D236</f>
        <v>Areal-bælgsæd</v>
      </c>
      <c r="E236" s="94" t="str">
        <f>'Resultater - Vestdanmark'!E236</f>
        <v>Hektar</v>
      </c>
      <c r="F236" s="94" t="str">
        <f>'Resultater - Vestdanmark'!F236</f>
        <v>CO2 - atmosfære</v>
      </c>
      <c r="G236" s="94" t="str">
        <f>'Resultater - Vestdanmark'!G236</f>
        <v>t CO2-ækvivalenter</v>
      </c>
      <c r="H236" s="254">
        <f>'Resultater - Vestdanmark'!H236+'Resultater - Østdanmark'!H236</f>
        <v>28769.864955948491</v>
      </c>
      <c r="I236" s="255">
        <f>'Resultater - Vestdanmark'!I236+'Resultater - Østdanmark'!I236</f>
        <v>20828.749461824289</v>
      </c>
      <c r="J236" s="256">
        <f>'Resultater - Vestdanmark'!J236+'Resultater - Østdanmark'!J236</f>
        <v>0</v>
      </c>
    </row>
    <row r="237" spans="1:10" x14ac:dyDescent="0.25">
      <c r="A237" s="94" t="str">
        <f>'Resultater - Vestdanmark'!A237</f>
        <v>Bælgsædsmark</v>
      </c>
      <c r="B237" s="94" t="str">
        <f>'Resultater - Vestdanmark'!B237</f>
        <v>Økologisk</v>
      </c>
      <c r="C237" s="94" t="str">
        <f>'Resultater - Vestdanmark'!C237</f>
        <v>JB1-10</v>
      </c>
      <c r="D237" s="94" t="str">
        <f>'Resultater - Vestdanmark'!D237</f>
        <v>Areal-bælgsæd</v>
      </c>
      <c r="E237" s="94" t="str">
        <f>'Resultater - Vestdanmark'!E237</f>
        <v>Hektar</v>
      </c>
      <c r="F237" s="94" t="str">
        <f>'Resultater - Vestdanmark'!F237</f>
        <v>Bælgsæd</v>
      </c>
      <c r="G237" s="94" t="str">
        <f>'Resultater - Vestdanmark'!G237</f>
        <v>Ton</v>
      </c>
      <c r="H237" s="254">
        <f>'Resultater - Vestdanmark'!H237+'Resultater - Østdanmark'!H237</f>
        <v>18412.390570964348</v>
      </c>
      <c r="I237" s="255">
        <f>'Resultater - Vestdanmark'!I237+'Resultater - Østdanmark'!I237</f>
        <v>84766.610593516118</v>
      </c>
      <c r="J237" s="256">
        <f>'Resultater - Vestdanmark'!J237+'Resultater - Østdanmark'!J237</f>
        <v>206950.15193999995</v>
      </c>
    </row>
    <row r="238" spans="1:10" x14ac:dyDescent="0.25">
      <c r="A238" s="94" t="str">
        <f>'Resultater - Vestdanmark'!A238</f>
        <v>Bælgsædsmark</v>
      </c>
      <c r="B238" s="94" t="str">
        <f>'Resultater - Vestdanmark'!B238</f>
        <v>Økologisk</v>
      </c>
      <c r="C238" s="94" t="str">
        <f>'Resultater - Vestdanmark'!C238</f>
        <v>JB1-10</v>
      </c>
      <c r="D238" s="94" t="str">
        <f>'Resultater - Vestdanmark'!D238</f>
        <v>Areal-bælgsæd</v>
      </c>
      <c r="E238" s="94" t="str">
        <f>'Resultater - Vestdanmark'!E238</f>
        <v>Hektar</v>
      </c>
      <c r="F238" s="94" t="str">
        <f>'Resultater - Vestdanmark'!F238</f>
        <v>Halm</v>
      </c>
      <c r="G238" s="94" t="str">
        <f>'Resultater - Vestdanmark'!G238</f>
        <v>Ton</v>
      </c>
      <c r="H238" s="254">
        <f>'Resultater - Vestdanmark'!H238+'Resultater - Østdanmark'!H238</f>
        <v>5466.2473779684478</v>
      </c>
      <c r="I238" s="255">
        <f>'Resultater - Vestdanmark'!I238+'Resultater - Østdanmark'!I238</f>
        <v>26450.17848930951</v>
      </c>
      <c r="J238" s="256">
        <f>'Resultater - Vestdanmark'!J238+'Resultater - Østdanmark'!J238</f>
        <v>70244.216164321464</v>
      </c>
    </row>
    <row r="239" spans="1:10" x14ac:dyDescent="0.25">
      <c r="A239" s="94" t="str">
        <f>'Resultater - Vestdanmark'!A239</f>
        <v>Bælgsædsmark</v>
      </c>
      <c r="B239" s="94" t="str">
        <f>'Resultater - Vestdanmark'!B239</f>
        <v>Økologisk</v>
      </c>
      <c r="C239" s="94" t="str">
        <f>'Resultater - Vestdanmark'!C239</f>
        <v>JB1-10</v>
      </c>
      <c r="D239" s="94" t="str">
        <f>'Resultater - Vestdanmark'!D239</f>
        <v>Areal-bælgsæd</v>
      </c>
      <c r="E239" s="94" t="str">
        <f>'Resultater - Vestdanmark'!E239</f>
        <v>Hektar</v>
      </c>
      <c r="F239" s="94" t="str">
        <f>'Resultater - Vestdanmark'!F239</f>
        <v>Gødning</v>
      </c>
      <c r="G239" s="94" t="str">
        <f>'Resultater - Vestdanmark'!G239</f>
        <v>kg N</v>
      </c>
      <c r="H239" s="254">
        <f>'Resultater - Vestdanmark'!H239+'Resultater - Østdanmark'!H239</f>
        <v>0</v>
      </c>
      <c r="I239" s="255">
        <f>'Resultater - Vestdanmark'!I239+'Resultater - Østdanmark'!I239</f>
        <v>0</v>
      </c>
      <c r="J239" s="256">
        <f>'Resultater - Vestdanmark'!J239+'Resultater - Østdanmark'!J239</f>
        <v>0</v>
      </c>
    </row>
    <row r="240" spans="1:10" x14ac:dyDescent="0.25">
      <c r="A240" s="94" t="str">
        <f>'Resultater - Vestdanmark'!A240</f>
        <v>Bælgsædsmark</v>
      </c>
      <c r="B240" s="94" t="str">
        <f>'Resultater - Vestdanmark'!B240</f>
        <v>Økologisk</v>
      </c>
      <c r="C240" s="94" t="str">
        <f>'Resultater - Vestdanmark'!C240</f>
        <v>JB1-10</v>
      </c>
      <c r="D240" s="94" t="str">
        <f>'Resultater - Vestdanmark'!D240</f>
        <v>Areal-bælgsæd</v>
      </c>
      <c r="E240" s="94" t="str">
        <f>'Resultater - Vestdanmark'!E240</f>
        <v>Hektar</v>
      </c>
      <c r="F240" s="94" t="str">
        <f>'Resultater - Vestdanmark'!F240</f>
        <v>CO2 - atmosfære</v>
      </c>
      <c r="G240" s="94" t="str">
        <f>'Resultater - Vestdanmark'!G240</f>
        <v>t CO2-ækvivalenter</v>
      </c>
      <c r="H240" s="254">
        <f>'Resultater - Vestdanmark'!H240+'Resultater - Østdanmark'!H240</f>
        <v>19027.428748815582</v>
      </c>
      <c r="I240" s="255">
        <f>'Resultater - Vestdanmark'!I240+'Resultater - Østdanmark'!I240</f>
        <v>87598.111561363039</v>
      </c>
      <c r="J240" s="256">
        <f>'Resultater - Vestdanmark'!J240+'Resultater - Østdanmark'!J240</f>
        <v>213863.01009737211</v>
      </c>
    </row>
    <row r="241" spans="1:10" x14ac:dyDescent="0.25">
      <c r="A241" s="94" t="str">
        <f>'Resultater - Vestdanmark'!A241</f>
        <v>Bælgsædsmark</v>
      </c>
      <c r="B241" s="94" t="str">
        <f>'Resultater - Vestdanmark'!B241</f>
        <v>Økologisk</v>
      </c>
      <c r="C241" s="94" t="str">
        <f>'Resultater - Vestdanmark'!C241</f>
        <v>OC6</v>
      </c>
      <c r="D241" s="94" t="str">
        <f>'Resultater - Vestdanmark'!D241</f>
        <v>Areal-bælgsæd</v>
      </c>
      <c r="E241" s="94" t="str">
        <f>'Resultater - Vestdanmark'!E241</f>
        <v>Hektar</v>
      </c>
      <c r="F241" s="94" t="str">
        <f>'Resultater - Vestdanmark'!F241</f>
        <v>Bælgsæd</v>
      </c>
      <c r="G241" s="94" t="str">
        <f>'Resultater - Vestdanmark'!G241</f>
        <v>Ton</v>
      </c>
      <c r="H241" s="254">
        <f>'Resultater - Vestdanmark'!H241+'Resultater - Østdanmark'!H241</f>
        <v>696.15935785818442</v>
      </c>
      <c r="I241" s="255">
        <f>'Resultater - Vestdanmark'!I241+'Resultater - Østdanmark'!I241</f>
        <v>633.93701666896368</v>
      </c>
      <c r="J241" s="256">
        <f>'Resultater - Vestdanmark'!J241+'Resultater - Østdanmark'!J241</f>
        <v>93.40073300344369</v>
      </c>
    </row>
    <row r="242" spans="1:10" x14ac:dyDescent="0.25">
      <c r="A242" s="94" t="str">
        <f>'Resultater - Vestdanmark'!A242</f>
        <v>Bælgsædsmark</v>
      </c>
      <c r="B242" s="94" t="str">
        <f>'Resultater - Vestdanmark'!B242</f>
        <v>Økologisk</v>
      </c>
      <c r="C242" s="94" t="str">
        <f>'Resultater - Vestdanmark'!C242</f>
        <v>OC6</v>
      </c>
      <c r="D242" s="94" t="str">
        <f>'Resultater - Vestdanmark'!D242</f>
        <v>Areal-bælgsæd</v>
      </c>
      <c r="E242" s="94" t="str">
        <f>'Resultater - Vestdanmark'!E242</f>
        <v>Hektar</v>
      </c>
      <c r="F242" s="94" t="str">
        <f>'Resultater - Vestdanmark'!F242</f>
        <v>Halm</v>
      </c>
      <c r="G242" s="94" t="str">
        <f>'Resultater - Vestdanmark'!G242</f>
        <v>Ton</v>
      </c>
      <c r="H242" s="254">
        <f>'Resultater - Vestdanmark'!H242+'Resultater - Østdanmark'!H242</f>
        <v>206.67491545293632</v>
      </c>
      <c r="I242" s="255">
        <f>'Resultater - Vestdanmark'!I242+'Resultater - Østdanmark'!I242</f>
        <v>197.81075501863998</v>
      </c>
      <c r="J242" s="256">
        <f>'Resultater - Vestdanmark'!J242+'Resultater - Østdanmark'!J242</f>
        <v>31.702616390937131</v>
      </c>
    </row>
    <row r="243" spans="1:10" x14ac:dyDescent="0.25">
      <c r="A243" s="94" t="str">
        <f>'Resultater - Vestdanmark'!A243</f>
        <v>Bælgsædsmark</v>
      </c>
      <c r="B243" s="94" t="str">
        <f>'Resultater - Vestdanmark'!B243</f>
        <v>Økologisk</v>
      </c>
      <c r="C243" s="94" t="str">
        <f>'Resultater - Vestdanmark'!C243</f>
        <v>OC6</v>
      </c>
      <c r="D243" s="94" t="str">
        <f>'Resultater - Vestdanmark'!D243</f>
        <v>Areal-bælgsæd</v>
      </c>
      <c r="E243" s="94" t="str">
        <f>'Resultater - Vestdanmark'!E243</f>
        <v>Hektar</v>
      </c>
      <c r="F243" s="94" t="str">
        <f>'Resultater - Vestdanmark'!F243</f>
        <v>Gødning</v>
      </c>
      <c r="G243" s="94" t="str">
        <f>'Resultater - Vestdanmark'!G243</f>
        <v>kg N</v>
      </c>
      <c r="H243" s="254">
        <f>'Resultater - Vestdanmark'!H243+'Resultater - Østdanmark'!H243</f>
        <v>0</v>
      </c>
      <c r="I243" s="255">
        <f>'Resultater - Vestdanmark'!I243+'Resultater - Østdanmark'!I243</f>
        <v>0</v>
      </c>
      <c r="J243" s="256">
        <f>'Resultater - Vestdanmark'!J243+'Resultater - Østdanmark'!J243</f>
        <v>0</v>
      </c>
    </row>
    <row r="244" spans="1:10" x14ac:dyDescent="0.25">
      <c r="A244" s="94" t="str">
        <f>'Resultater - Vestdanmark'!A244</f>
        <v>Bælgsædsmark</v>
      </c>
      <c r="B244" s="94" t="str">
        <f>'Resultater - Vestdanmark'!B244</f>
        <v>Økologisk</v>
      </c>
      <c r="C244" s="94" t="str">
        <f>'Resultater - Vestdanmark'!C244</f>
        <v>OC6</v>
      </c>
      <c r="D244" s="94" t="str">
        <f>'Resultater - Vestdanmark'!D244</f>
        <v>Areal-bælgsæd</v>
      </c>
      <c r="E244" s="94" t="str">
        <f>'Resultater - Vestdanmark'!E244</f>
        <v>Hektar</v>
      </c>
      <c r="F244" s="94" t="str">
        <f>'Resultater - Vestdanmark'!F244</f>
        <v>CO2 - atmosfære</v>
      </c>
      <c r="G244" s="94" t="str">
        <f>'Resultater - Vestdanmark'!G244</f>
        <v>t CO2-ækvivalenter</v>
      </c>
      <c r="H244" s="254">
        <f>'Resultater - Vestdanmark'!H244+'Resultater - Østdanmark'!H244</f>
        <v>4216.5741303567183</v>
      </c>
      <c r="I244" s="255">
        <f>'Resultater - Vestdanmark'!I244+'Resultater - Østdanmark'!I244</f>
        <v>3839.699049633974</v>
      </c>
      <c r="J244" s="256">
        <f>'Resultater - Vestdanmark'!J244+'Resultater - Østdanmark'!J244</f>
        <v>565.7197739183498</v>
      </c>
    </row>
    <row r="245" spans="1:10" x14ac:dyDescent="0.25">
      <c r="A245" s="94" t="str">
        <f>'Resultater - Vestdanmark'!A245</f>
        <v>Bælgsædsmark</v>
      </c>
      <c r="B245" s="94" t="str">
        <f>'Resultater - Vestdanmark'!B245</f>
        <v>Økologisk</v>
      </c>
      <c r="C245" s="94" t="str">
        <f>'Resultater - Vestdanmark'!C245</f>
        <v>OC12</v>
      </c>
      <c r="D245" s="94" t="str">
        <f>'Resultater - Vestdanmark'!D245</f>
        <v>Areal-bælgsæd</v>
      </c>
      <c r="E245" s="94" t="str">
        <f>'Resultater - Vestdanmark'!E245</f>
        <v>Hektar</v>
      </c>
      <c r="F245" s="94" t="str">
        <f>'Resultater - Vestdanmark'!F245</f>
        <v>Bælgsæd</v>
      </c>
      <c r="G245" s="94" t="str">
        <f>'Resultater - Vestdanmark'!G245</f>
        <v>Ton</v>
      </c>
      <c r="H245" s="254">
        <f>'Resultater - Vestdanmark'!H245+'Resultater - Østdanmark'!H245</f>
        <v>276.69160820656509</v>
      </c>
      <c r="I245" s="255">
        <f>'Resultater - Vestdanmark'!I245+'Resultater - Østdanmark'!I245</f>
        <v>245.00643337531793</v>
      </c>
      <c r="J245" s="256">
        <f>'Resultater - Vestdanmark'!J245+'Resultater - Østdanmark'!J245</f>
        <v>0</v>
      </c>
    </row>
    <row r="246" spans="1:10" x14ac:dyDescent="0.25">
      <c r="A246" s="94" t="str">
        <f>'Resultater - Vestdanmark'!A246</f>
        <v>Bælgsædsmark</v>
      </c>
      <c r="B246" s="94" t="str">
        <f>'Resultater - Vestdanmark'!B246</f>
        <v>Økologisk</v>
      </c>
      <c r="C246" s="94" t="str">
        <f>'Resultater - Vestdanmark'!C246</f>
        <v>OC12</v>
      </c>
      <c r="D246" s="94" t="str">
        <f>'Resultater - Vestdanmark'!D246</f>
        <v>Areal-bælgsæd</v>
      </c>
      <c r="E246" s="94" t="str">
        <f>'Resultater - Vestdanmark'!E246</f>
        <v>Hektar</v>
      </c>
      <c r="F246" s="94" t="str">
        <f>'Resultater - Vestdanmark'!F246</f>
        <v>Halm</v>
      </c>
      <c r="G246" s="94" t="str">
        <f>'Resultater - Vestdanmark'!G246</f>
        <v>Ton</v>
      </c>
      <c r="H246" s="254">
        <f>'Resultater - Vestdanmark'!H246+'Resultater - Østdanmark'!H246</f>
        <v>82.143856987810693</v>
      </c>
      <c r="I246" s="255">
        <f>'Resultater - Vestdanmark'!I246+'Resultater - Østdanmark'!I246</f>
        <v>76.450666700385625</v>
      </c>
      <c r="J246" s="256">
        <f>'Resultater - Vestdanmark'!J246+'Resultater - Østdanmark'!J246</f>
        <v>0</v>
      </c>
    </row>
    <row r="247" spans="1:10" x14ac:dyDescent="0.25">
      <c r="A247" s="94" t="str">
        <f>'Resultater - Vestdanmark'!A247</f>
        <v>Bælgsædsmark</v>
      </c>
      <c r="B247" s="94" t="str">
        <f>'Resultater - Vestdanmark'!B247</f>
        <v>Økologisk</v>
      </c>
      <c r="C247" s="94" t="str">
        <f>'Resultater - Vestdanmark'!C247</f>
        <v>OC12</v>
      </c>
      <c r="D247" s="94" t="str">
        <f>'Resultater - Vestdanmark'!D247</f>
        <v>Areal-bælgsæd</v>
      </c>
      <c r="E247" s="94" t="str">
        <f>'Resultater - Vestdanmark'!E247</f>
        <v>Hektar</v>
      </c>
      <c r="F247" s="94" t="str">
        <f>'Resultater - Vestdanmark'!F247</f>
        <v>Gødning</v>
      </c>
      <c r="G247" s="94" t="str">
        <f>'Resultater - Vestdanmark'!G247</f>
        <v>kg N</v>
      </c>
      <c r="H247" s="254">
        <f>'Resultater - Vestdanmark'!H247+'Resultater - Østdanmark'!H247</f>
        <v>0</v>
      </c>
      <c r="I247" s="255">
        <f>'Resultater - Vestdanmark'!I247+'Resultater - Østdanmark'!I247</f>
        <v>0</v>
      </c>
      <c r="J247" s="256">
        <f>'Resultater - Vestdanmark'!J247+'Resultater - Østdanmark'!J247</f>
        <v>0</v>
      </c>
    </row>
    <row r="248" spans="1:10" x14ac:dyDescent="0.25">
      <c r="A248" s="94" t="str">
        <f>'Resultater - Vestdanmark'!A248</f>
        <v>Bælgsædsmark</v>
      </c>
      <c r="B248" s="94" t="str">
        <f>'Resultater - Vestdanmark'!B248</f>
        <v>Økologisk</v>
      </c>
      <c r="C248" s="94" t="str">
        <f>'Resultater - Vestdanmark'!C248</f>
        <v>OC12</v>
      </c>
      <c r="D248" s="94" t="str">
        <f>'Resultater - Vestdanmark'!D248</f>
        <v>Areal-bælgsæd</v>
      </c>
      <c r="E248" s="94" t="str">
        <f>'Resultater - Vestdanmark'!E248</f>
        <v>Hektar</v>
      </c>
      <c r="F248" s="94" t="str">
        <f>'Resultater - Vestdanmark'!F248</f>
        <v>CO2 - atmosfære</v>
      </c>
      <c r="G248" s="94" t="str">
        <f>'Resultater - Vestdanmark'!G248</f>
        <v>t CO2-ækvivalenter</v>
      </c>
      <c r="H248" s="254">
        <f>'Resultater - Vestdanmark'!H248+'Resultater - Østdanmark'!H248</f>
        <v>3678.55849900765</v>
      </c>
      <c r="I248" s="255">
        <f>'Resultater - Vestdanmark'!I248+'Resultater - Østdanmark'!I248</f>
        <v>3257.3105619144067</v>
      </c>
      <c r="J248" s="256">
        <f>'Resultater - Vestdanmark'!J248+'Resultater - Østdanmark'!J248</f>
        <v>0</v>
      </c>
    </row>
    <row r="249" spans="1:10" x14ac:dyDescent="0.25">
      <c r="A249" s="94" t="str">
        <f>'Resultater - Vestdanmark'!A249</f>
        <v>Roemark</v>
      </c>
      <c r="B249" s="94" t="str">
        <f>'Resultater - Vestdanmark'!B249</f>
        <v>Konventionel</v>
      </c>
      <c r="C249" s="94" t="str">
        <f>'Resultater - Vestdanmark'!C249</f>
        <v>JB1-10</v>
      </c>
      <c r="D249" s="94" t="str">
        <f>'Resultater - Vestdanmark'!D249</f>
        <v>Areal-roer</v>
      </c>
      <c r="E249" s="94" t="str">
        <f>'Resultater - Vestdanmark'!E249</f>
        <v>Hektar</v>
      </c>
      <c r="F249" s="94" t="str">
        <f>'Resultater - Vestdanmark'!F249</f>
        <v>Roer</v>
      </c>
      <c r="G249" s="94" t="str">
        <f>'Resultater - Vestdanmark'!G249</f>
        <v>Ton</v>
      </c>
      <c r="H249" s="254">
        <f>'Resultater - Vestdanmark'!H249+'Resultater - Østdanmark'!H249</f>
        <v>2410176.5834804205</v>
      </c>
      <c r="I249" s="255">
        <f>'Resultater - Vestdanmark'!I249+'Resultater - Østdanmark'!I249</f>
        <v>2209623.1170357484</v>
      </c>
      <c r="J249" s="256">
        <f>'Resultater - Vestdanmark'!J249+'Resultater - Østdanmark'!J249</f>
        <v>0</v>
      </c>
    </row>
    <row r="250" spans="1:10" x14ac:dyDescent="0.25">
      <c r="A250" s="94" t="str">
        <f>'Resultater - Vestdanmark'!A250</f>
        <v>Roemark</v>
      </c>
      <c r="B250" s="94" t="str">
        <f>'Resultater - Vestdanmark'!B250</f>
        <v>Konventionel</v>
      </c>
      <c r="C250" s="94" t="str">
        <f>'Resultater - Vestdanmark'!C250</f>
        <v>JB1-10</v>
      </c>
      <c r="D250" s="94" t="str">
        <f>'Resultater - Vestdanmark'!D250</f>
        <v>Areal-roer</v>
      </c>
      <c r="E250" s="94" t="str">
        <f>'Resultater - Vestdanmark'!E250</f>
        <v>Hektar</v>
      </c>
      <c r="F250" s="94" t="str">
        <f>'Resultater - Vestdanmark'!F250</f>
        <v>Gødning</v>
      </c>
      <c r="G250" s="94" t="str">
        <f>'Resultater - Vestdanmark'!G250</f>
        <v>kg N</v>
      </c>
      <c r="H250" s="254">
        <f>'Resultater - Vestdanmark'!H250+'Resultater - Østdanmark'!H250</f>
        <v>-4004417.1927958126</v>
      </c>
      <c r="I250" s="255">
        <f>'Resultater - Vestdanmark'!I250+'Resultater - Østdanmark'!I250</f>
        <v>-3671205.1972057945</v>
      </c>
      <c r="J250" s="256">
        <f>'Resultater - Vestdanmark'!J250+'Resultater - Østdanmark'!J250</f>
        <v>0</v>
      </c>
    </row>
    <row r="251" spans="1:10" x14ac:dyDescent="0.25">
      <c r="A251" s="94" t="str">
        <f>'Resultater - Vestdanmark'!A251</f>
        <v>Roemark</v>
      </c>
      <c r="B251" s="94" t="str">
        <f>'Resultater - Vestdanmark'!B251</f>
        <v>Konventionel</v>
      </c>
      <c r="C251" s="94" t="str">
        <f>'Resultater - Vestdanmark'!C251</f>
        <v>JB1-10</v>
      </c>
      <c r="D251" s="94" t="str">
        <f>'Resultater - Vestdanmark'!D251</f>
        <v>Areal-roer</v>
      </c>
      <c r="E251" s="94" t="str">
        <f>'Resultater - Vestdanmark'!E251</f>
        <v>Hektar</v>
      </c>
      <c r="F251" s="94" t="str">
        <f>'Resultater - Vestdanmark'!F251</f>
        <v>CO2 - atmosfære</v>
      </c>
      <c r="G251" s="94" t="str">
        <f>'Resultater - Vestdanmark'!G251</f>
        <v>t CO2-ækvivalenter</v>
      </c>
      <c r="H251" s="254">
        <f>'Resultater - Vestdanmark'!H251+'Resultater - Østdanmark'!H251</f>
        <v>67443.117157939108</v>
      </c>
      <c r="I251" s="255">
        <f>'Resultater - Vestdanmark'!I251+'Resultater - Østdanmark'!I251</f>
        <v>61831.100583482701</v>
      </c>
      <c r="J251" s="256">
        <f>'Resultater - Vestdanmark'!J251+'Resultater - Østdanmark'!J251</f>
        <v>0</v>
      </c>
    </row>
    <row r="252" spans="1:10" x14ac:dyDescent="0.25">
      <c r="A252" s="94" t="str">
        <f>'Resultater - Vestdanmark'!A252</f>
        <v>Roemark</v>
      </c>
      <c r="B252" s="94" t="str">
        <f>'Resultater - Vestdanmark'!B252</f>
        <v>Konventionel</v>
      </c>
      <c r="C252" s="94" t="str">
        <f>'Resultater - Vestdanmark'!C252</f>
        <v>OC6</v>
      </c>
      <c r="D252" s="94" t="str">
        <f>'Resultater - Vestdanmark'!D252</f>
        <v>Areal-roer</v>
      </c>
      <c r="E252" s="94" t="str">
        <f>'Resultater - Vestdanmark'!E252</f>
        <v>Hektar</v>
      </c>
      <c r="F252" s="94" t="str">
        <f>'Resultater - Vestdanmark'!F252</f>
        <v>Roer</v>
      </c>
      <c r="G252" s="94" t="str">
        <f>'Resultater - Vestdanmark'!G252</f>
        <v>Ton</v>
      </c>
      <c r="H252" s="254">
        <f>'Resultater - Vestdanmark'!H252+'Resultater - Østdanmark'!H252</f>
        <v>16302.299566350639</v>
      </c>
      <c r="I252" s="255">
        <f>'Resultater - Vestdanmark'!I252+'Resultater - Østdanmark'!I252</f>
        <v>12154.253473160754</v>
      </c>
      <c r="J252" s="256">
        <f>'Resultater - Vestdanmark'!J252+'Resultater - Østdanmark'!J252</f>
        <v>1320.2139982983294</v>
      </c>
    </row>
    <row r="253" spans="1:10" x14ac:dyDescent="0.25">
      <c r="A253" s="94" t="str">
        <f>'Resultater - Vestdanmark'!A253</f>
        <v>Roemark</v>
      </c>
      <c r="B253" s="94" t="str">
        <f>'Resultater - Vestdanmark'!B253</f>
        <v>Konventionel</v>
      </c>
      <c r="C253" s="94" t="str">
        <f>'Resultater - Vestdanmark'!C253</f>
        <v>OC6</v>
      </c>
      <c r="D253" s="94" t="str">
        <f>'Resultater - Vestdanmark'!D253</f>
        <v>Areal-roer</v>
      </c>
      <c r="E253" s="94" t="str">
        <f>'Resultater - Vestdanmark'!E253</f>
        <v>Hektar</v>
      </c>
      <c r="F253" s="94" t="str">
        <f>'Resultater - Vestdanmark'!F253</f>
        <v>Gødning</v>
      </c>
      <c r="G253" s="94" t="str">
        <f>'Resultater - Vestdanmark'!G253</f>
        <v>kg N</v>
      </c>
      <c r="H253" s="254">
        <f>'Resultater - Vestdanmark'!H253+'Resultater - Østdanmark'!H253</f>
        <v>-17555.516386431049</v>
      </c>
      <c r="I253" s="255">
        <f>'Resultater - Vestdanmark'!I253+'Resultater - Østdanmark'!I253</f>
        <v>-13088.594964438818</v>
      </c>
      <c r="J253" s="256">
        <f>'Resultater - Vestdanmark'!J253+'Resultater - Østdanmark'!J253</f>
        <v>-1421.7036306068987</v>
      </c>
    </row>
    <row r="254" spans="1:10" x14ac:dyDescent="0.25">
      <c r="A254" s="94" t="str">
        <f>'Resultater - Vestdanmark'!A254</f>
        <v>Roemark</v>
      </c>
      <c r="B254" s="94" t="str">
        <f>'Resultater - Vestdanmark'!B254</f>
        <v>Konventionel</v>
      </c>
      <c r="C254" s="94" t="str">
        <f>'Resultater - Vestdanmark'!C254</f>
        <v>OC6</v>
      </c>
      <c r="D254" s="94" t="str">
        <f>'Resultater - Vestdanmark'!D254</f>
        <v>Areal-roer</v>
      </c>
      <c r="E254" s="94" t="str">
        <f>'Resultater - Vestdanmark'!E254</f>
        <v>Hektar</v>
      </c>
      <c r="F254" s="94" t="str">
        <f>'Resultater - Vestdanmark'!F254</f>
        <v>CO2 - atmosfære</v>
      </c>
      <c r="G254" s="94" t="str">
        <f>'Resultater - Vestdanmark'!G254</f>
        <v>t CO2-ækvivalenter</v>
      </c>
      <c r="H254" s="254">
        <f>'Resultater - Vestdanmark'!H254+'Resultater - Østdanmark'!H254</f>
        <v>2673.7376430017921</v>
      </c>
      <c r="I254" s="255">
        <f>'Resultater - Vestdanmark'!I254+'Resultater - Østdanmark'!I254</f>
        <v>1993.4172416296647</v>
      </c>
      <c r="J254" s="256">
        <f>'Resultater - Vestdanmark'!J254+'Resultater - Østdanmark'!J254</f>
        <v>216.5280946839045</v>
      </c>
    </row>
    <row r="255" spans="1:10" x14ac:dyDescent="0.25">
      <c r="A255" s="94" t="str">
        <f>'Resultater - Vestdanmark'!A255</f>
        <v>Roemark</v>
      </c>
      <c r="B255" s="94" t="str">
        <f>'Resultater - Vestdanmark'!B255</f>
        <v>Konventionel</v>
      </c>
      <c r="C255" s="94" t="str">
        <f>'Resultater - Vestdanmark'!C255</f>
        <v>OC12</v>
      </c>
      <c r="D255" s="94" t="str">
        <f>'Resultater - Vestdanmark'!D255</f>
        <v>Areal-roer</v>
      </c>
      <c r="E255" s="94" t="str">
        <f>'Resultater - Vestdanmark'!E255</f>
        <v>Hektar</v>
      </c>
      <c r="F255" s="94" t="str">
        <f>'Resultater - Vestdanmark'!F255</f>
        <v>Roer</v>
      </c>
      <c r="G255" s="94" t="str">
        <f>'Resultater - Vestdanmark'!G255</f>
        <v>Ton</v>
      </c>
      <c r="H255" s="254">
        <f>'Resultater - Vestdanmark'!H255+'Resultater - Østdanmark'!H255</f>
        <v>7000.5878814400912</v>
      </c>
      <c r="I255" s="255">
        <f>'Resultater - Vestdanmark'!I255+'Resultater - Østdanmark'!I255</f>
        <v>5191.4122793345932</v>
      </c>
      <c r="J255" s="256">
        <f>'Resultater - Vestdanmark'!J255+'Resultater - Østdanmark'!J255</f>
        <v>0</v>
      </c>
    </row>
    <row r="256" spans="1:10" x14ac:dyDescent="0.25">
      <c r="A256" s="94" t="str">
        <f>'Resultater - Vestdanmark'!A256</f>
        <v>Roemark</v>
      </c>
      <c r="B256" s="94" t="str">
        <f>'Resultater - Vestdanmark'!B256</f>
        <v>Konventionel</v>
      </c>
      <c r="C256" s="94" t="str">
        <f>'Resultater - Vestdanmark'!C256</f>
        <v>OC12</v>
      </c>
      <c r="D256" s="94" t="str">
        <f>'Resultater - Vestdanmark'!D256</f>
        <v>Areal-roer</v>
      </c>
      <c r="E256" s="94" t="str">
        <f>'Resultater - Vestdanmark'!E256</f>
        <v>Hektar</v>
      </c>
      <c r="F256" s="94" t="str">
        <f>'Resultater - Vestdanmark'!F256</f>
        <v>Gødning</v>
      </c>
      <c r="G256" s="94" t="str">
        <f>'Resultater - Vestdanmark'!G256</f>
        <v>kg N</v>
      </c>
      <c r="H256" s="254">
        <f>'Resultater - Vestdanmark'!H256+'Resultater - Østdanmark'!H256</f>
        <v>-4615.5602634927654</v>
      </c>
      <c r="I256" s="255">
        <f>'Resultater - Vestdanmark'!I256+'Resultater - Østdanmark'!I256</f>
        <v>-3422.7520079322362</v>
      </c>
      <c r="J256" s="256">
        <f>'Resultater - Vestdanmark'!J256+'Resultater - Østdanmark'!J256</f>
        <v>0</v>
      </c>
    </row>
    <row r="257" spans="1:10" x14ac:dyDescent="0.25">
      <c r="A257" s="94" t="str">
        <f>'Resultater - Vestdanmark'!A257</f>
        <v>Roemark</v>
      </c>
      <c r="B257" s="94" t="str">
        <f>'Resultater - Vestdanmark'!B257</f>
        <v>Konventionel</v>
      </c>
      <c r="C257" s="94" t="str">
        <f>'Resultater - Vestdanmark'!C257</f>
        <v>OC12</v>
      </c>
      <c r="D257" s="94" t="str">
        <f>'Resultater - Vestdanmark'!D257</f>
        <v>Areal-roer</v>
      </c>
      <c r="E257" s="94" t="str">
        <f>'Resultater - Vestdanmark'!E257</f>
        <v>Hektar</v>
      </c>
      <c r="F257" s="94" t="str">
        <f>'Resultater - Vestdanmark'!F257</f>
        <v>CO2 - atmosfære</v>
      </c>
      <c r="G257" s="94" t="str">
        <f>'Resultater - Vestdanmark'!G257</f>
        <v>t CO2-ækvivalenter</v>
      </c>
      <c r="H257" s="254">
        <f>'Resultater - Vestdanmark'!H257+'Resultater - Østdanmark'!H257</f>
        <v>2520.2001766035514</v>
      </c>
      <c r="I257" s="255">
        <f>'Resultater - Vestdanmark'!I257+'Resultater - Østdanmark'!I257</f>
        <v>1868.8999216605077</v>
      </c>
      <c r="J257" s="256">
        <f>'Resultater - Vestdanmark'!J257+'Resultater - Østdanmark'!J257</f>
        <v>0</v>
      </c>
    </row>
    <row r="258" spans="1:10" x14ac:dyDescent="0.25">
      <c r="A258" s="94" t="str">
        <f>'Resultater - Vestdanmark'!A258</f>
        <v>Roemark</v>
      </c>
      <c r="B258" s="94" t="str">
        <f>'Resultater - Vestdanmark'!B258</f>
        <v>Økologisk</v>
      </c>
      <c r="C258" s="94" t="str">
        <f>'Resultater - Vestdanmark'!C258</f>
        <v>JB1-10</v>
      </c>
      <c r="D258" s="94" t="str">
        <f>'Resultater - Vestdanmark'!D258</f>
        <v>Areal-roer</v>
      </c>
      <c r="E258" s="94" t="str">
        <f>'Resultater - Vestdanmark'!E258</f>
        <v>Hektar</v>
      </c>
      <c r="F258" s="94" t="str">
        <f>'Resultater - Vestdanmark'!F258</f>
        <v>Roer</v>
      </c>
      <c r="G258" s="94" t="str">
        <f>'Resultater - Vestdanmark'!G258</f>
        <v>Ton</v>
      </c>
      <c r="H258" s="254">
        <f>'Resultater - Vestdanmark'!H258+'Resultater - Østdanmark'!H258</f>
        <v>175656.2317634254</v>
      </c>
      <c r="I258" s="255">
        <f>'Resultater - Vestdanmark'!I258+'Resultater - Østdanmark'!I258</f>
        <v>196964.98708156339</v>
      </c>
      <c r="J258" s="256">
        <f>'Resultater - Vestdanmark'!J258+'Resultater - Østdanmark'!J258</f>
        <v>0</v>
      </c>
    </row>
    <row r="259" spans="1:10" x14ac:dyDescent="0.25">
      <c r="A259" s="94" t="str">
        <f>'Resultater - Vestdanmark'!A259</f>
        <v>Roemark</v>
      </c>
      <c r="B259" s="94" t="str">
        <f>'Resultater - Vestdanmark'!B259</f>
        <v>Økologisk</v>
      </c>
      <c r="C259" s="94" t="str">
        <f>'Resultater - Vestdanmark'!C259</f>
        <v>JB1-10</v>
      </c>
      <c r="D259" s="94" t="str">
        <f>'Resultater - Vestdanmark'!D259</f>
        <v>Areal-roer</v>
      </c>
      <c r="E259" s="94" t="str">
        <f>'Resultater - Vestdanmark'!E259</f>
        <v>Hektar</v>
      </c>
      <c r="F259" s="94" t="str">
        <f>'Resultater - Vestdanmark'!F259</f>
        <v>Gødning</v>
      </c>
      <c r="G259" s="94" t="str">
        <f>'Resultater - Vestdanmark'!G259</f>
        <v>kg N</v>
      </c>
      <c r="H259" s="254">
        <f>'Resultater - Vestdanmark'!H259+'Resultater - Østdanmark'!H259</f>
        <v>-291846.18227409676</v>
      </c>
      <c r="I259" s="255">
        <f>'Resultater - Vestdanmark'!I259+'Resultater - Østdanmark'!I259</f>
        <v>-327249.87291563943</v>
      </c>
      <c r="J259" s="256">
        <f>'Resultater - Vestdanmark'!J259+'Resultater - Østdanmark'!J259</f>
        <v>0</v>
      </c>
    </row>
    <row r="260" spans="1:10" x14ac:dyDescent="0.25">
      <c r="A260" s="94" t="str">
        <f>'Resultater - Vestdanmark'!A260</f>
        <v>Roemark</v>
      </c>
      <c r="B260" s="94" t="str">
        <f>'Resultater - Vestdanmark'!B260</f>
        <v>Økologisk</v>
      </c>
      <c r="C260" s="94" t="str">
        <f>'Resultater - Vestdanmark'!C260</f>
        <v>JB1-10</v>
      </c>
      <c r="D260" s="94" t="str">
        <f>'Resultater - Vestdanmark'!D260</f>
        <v>Areal-roer</v>
      </c>
      <c r="E260" s="94" t="str">
        <f>'Resultater - Vestdanmark'!E260</f>
        <v>Hektar</v>
      </c>
      <c r="F260" s="94" t="str">
        <f>'Resultater - Vestdanmark'!F260</f>
        <v>CO2 - atmosfære</v>
      </c>
      <c r="G260" s="94" t="str">
        <f>'Resultater - Vestdanmark'!G260</f>
        <v>t CO2-ækvivalenter</v>
      </c>
      <c r="H260" s="254">
        <f>'Resultater - Vestdanmark'!H260+'Resultater - Østdanmark'!H260</f>
        <v>8623.3790878329964</v>
      </c>
      <c r="I260" s="255">
        <f>'Resultater - Vestdanmark'!I260+'Resultater - Østdanmark'!I260</f>
        <v>9669.4761898456418</v>
      </c>
      <c r="J260" s="256">
        <f>'Resultater - Vestdanmark'!J260+'Resultater - Østdanmark'!J260</f>
        <v>0</v>
      </c>
    </row>
    <row r="261" spans="1:10" x14ac:dyDescent="0.25">
      <c r="A261" s="94" t="str">
        <f>'Resultater - Vestdanmark'!A261</f>
        <v>Roemark</v>
      </c>
      <c r="B261" s="94" t="str">
        <f>'Resultater - Vestdanmark'!B261</f>
        <v>Økologisk</v>
      </c>
      <c r="C261" s="94" t="str">
        <f>'Resultater - Vestdanmark'!C261</f>
        <v>OC6</v>
      </c>
      <c r="D261" s="94" t="str">
        <f>'Resultater - Vestdanmark'!D261</f>
        <v>Areal-roer</v>
      </c>
      <c r="E261" s="94" t="str">
        <f>'Resultater - Vestdanmark'!E261</f>
        <v>Hektar</v>
      </c>
      <c r="F261" s="94" t="str">
        <f>'Resultater - Vestdanmark'!F261</f>
        <v>Roer</v>
      </c>
      <c r="G261" s="94" t="str">
        <f>'Resultater - Vestdanmark'!G261</f>
        <v>Ton</v>
      </c>
      <c r="H261" s="254">
        <f>'Resultater - Vestdanmark'!H261+'Resultater - Østdanmark'!H261</f>
        <v>1188.1289240510705</v>
      </c>
      <c r="I261" s="255">
        <f>'Resultater - Vestdanmark'!I261+'Resultater - Østdanmark'!I261</f>
        <v>1083.4256574662838</v>
      </c>
      <c r="J261" s="256">
        <f>'Resultater - Vestdanmark'!J261+'Resultater - Østdanmark'!J261</f>
        <v>159.62587433970708</v>
      </c>
    </row>
    <row r="262" spans="1:10" x14ac:dyDescent="0.25">
      <c r="A262" s="94" t="str">
        <f>'Resultater - Vestdanmark'!A262</f>
        <v>Roemark</v>
      </c>
      <c r="B262" s="94" t="str">
        <f>'Resultater - Vestdanmark'!B262</f>
        <v>Økologisk</v>
      </c>
      <c r="C262" s="94" t="str">
        <f>'Resultater - Vestdanmark'!C262</f>
        <v>OC6</v>
      </c>
      <c r="D262" s="94" t="str">
        <f>'Resultater - Vestdanmark'!D262</f>
        <v>Areal-roer</v>
      </c>
      <c r="E262" s="94" t="str">
        <f>'Resultater - Vestdanmark'!E262</f>
        <v>Hektar</v>
      </c>
      <c r="F262" s="94" t="str">
        <f>'Resultater - Vestdanmark'!F262</f>
        <v>Gødning</v>
      </c>
      <c r="G262" s="94" t="str">
        <f>'Resultater - Vestdanmark'!G262</f>
        <v>kg N</v>
      </c>
      <c r="H262" s="254">
        <f>'Resultater - Vestdanmark'!H262+'Resultater - Østdanmark'!H262</f>
        <v>-1279.4646982456652</v>
      </c>
      <c r="I262" s="255">
        <f>'Resultater - Vestdanmark'!I262+'Resultater - Østdanmark'!I262</f>
        <v>-1166.71251228804</v>
      </c>
      <c r="J262" s="256">
        <f>'Resultater - Vestdanmark'!J262+'Resultater - Østdanmark'!J262</f>
        <v>-171.8968935188341</v>
      </c>
    </row>
    <row r="263" spans="1:10" x14ac:dyDescent="0.25">
      <c r="A263" s="94" t="str">
        <f>'Resultater - Vestdanmark'!A263</f>
        <v>Roemark</v>
      </c>
      <c r="B263" s="94" t="str">
        <f>'Resultater - Vestdanmark'!B263</f>
        <v>Økologisk</v>
      </c>
      <c r="C263" s="94" t="str">
        <f>'Resultater - Vestdanmark'!C263</f>
        <v>OC6</v>
      </c>
      <c r="D263" s="94" t="str">
        <f>'Resultater - Vestdanmark'!D263</f>
        <v>Areal-roer</v>
      </c>
      <c r="E263" s="94" t="str">
        <f>'Resultater - Vestdanmark'!E263</f>
        <v>Hektar</v>
      </c>
      <c r="F263" s="94" t="str">
        <f>'Resultater - Vestdanmark'!F263</f>
        <v>CO2 - atmosfære</v>
      </c>
      <c r="G263" s="94" t="str">
        <f>'Resultater - Vestdanmark'!G263</f>
        <v>t CO2-ækvivalenter</v>
      </c>
      <c r="H263" s="254">
        <f>'Resultater - Vestdanmark'!H263+'Resultater - Østdanmark'!H263</f>
        <v>341.86814383177432</v>
      </c>
      <c r="I263" s="255">
        <f>'Resultater - Vestdanmark'!I263+'Resultater - Østdanmark'!I263</f>
        <v>311.74118481589744</v>
      </c>
      <c r="J263" s="256">
        <f>'Resultater - Vestdanmark'!J263+'Resultater - Østdanmark'!J263</f>
        <v>45.930201902646409</v>
      </c>
    </row>
    <row r="264" spans="1:10" x14ac:dyDescent="0.25">
      <c r="A264" s="94" t="str">
        <f>'Resultater - Vestdanmark'!A264</f>
        <v>Roemark</v>
      </c>
      <c r="B264" s="94" t="str">
        <f>'Resultater - Vestdanmark'!B264</f>
        <v>Økologisk</v>
      </c>
      <c r="C264" s="94" t="str">
        <f>'Resultater - Vestdanmark'!C264</f>
        <v>OC12</v>
      </c>
      <c r="D264" s="94" t="str">
        <f>'Resultater - Vestdanmark'!D264</f>
        <v>Areal-roer</v>
      </c>
      <c r="E264" s="94" t="str">
        <f>'Resultater - Vestdanmark'!E264</f>
        <v>Hektar</v>
      </c>
      <c r="F264" s="94" t="str">
        <f>'Resultater - Vestdanmark'!F264</f>
        <v>Roer</v>
      </c>
      <c r="G264" s="94" t="str">
        <f>'Resultater - Vestdanmark'!G264</f>
        <v>Ton</v>
      </c>
      <c r="H264" s="254">
        <f>'Resultater - Vestdanmark'!H264+'Resultater - Østdanmark'!H264</f>
        <v>510.210287416668</v>
      </c>
      <c r="I264" s="255">
        <f>'Resultater - Vestdanmark'!I264+'Resultater - Østdanmark'!I264</f>
        <v>462.7605697327906</v>
      </c>
      <c r="J264" s="256">
        <f>'Resultater - Vestdanmark'!J264+'Resultater - Østdanmark'!J264</f>
        <v>0</v>
      </c>
    </row>
    <row r="265" spans="1:10" x14ac:dyDescent="0.25">
      <c r="A265" s="94" t="str">
        <f>'Resultater - Vestdanmark'!A265</f>
        <v>Roemark</v>
      </c>
      <c r="B265" s="94" t="str">
        <f>'Resultater - Vestdanmark'!B265</f>
        <v>Økologisk</v>
      </c>
      <c r="C265" s="94" t="str">
        <f>'Resultater - Vestdanmark'!C265</f>
        <v>OC12</v>
      </c>
      <c r="D265" s="94" t="str">
        <f>'Resultater - Vestdanmark'!D265</f>
        <v>Areal-roer</v>
      </c>
      <c r="E265" s="94" t="str">
        <f>'Resultater - Vestdanmark'!E265</f>
        <v>Hektar</v>
      </c>
      <c r="F265" s="94" t="str">
        <f>'Resultater - Vestdanmark'!F265</f>
        <v>Gødning</v>
      </c>
      <c r="G265" s="94" t="str">
        <f>'Resultater - Vestdanmark'!G265</f>
        <v>kg N</v>
      </c>
      <c r="H265" s="254">
        <f>'Resultater - Vestdanmark'!H265+'Resultater - Østdanmark'!H265</f>
        <v>-336.38693899820993</v>
      </c>
      <c r="I265" s="255">
        <f>'Resultater - Vestdanmark'!I265+'Resultater - Østdanmark'!I265</f>
        <v>-305.10284755264939</v>
      </c>
      <c r="J265" s="256">
        <f>'Resultater - Vestdanmark'!J265+'Resultater - Østdanmark'!J265</f>
        <v>0</v>
      </c>
    </row>
    <row r="266" spans="1:10" x14ac:dyDescent="0.25">
      <c r="A266" s="94" t="str">
        <f>'Resultater - Vestdanmark'!A266</f>
        <v>Roemark</v>
      </c>
      <c r="B266" s="94" t="str">
        <f>'Resultater - Vestdanmark'!B266</f>
        <v>Økologisk</v>
      </c>
      <c r="C266" s="94" t="str">
        <f>'Resultater - Vestdanmark'!C266</f>
        <v>OC12</v>
      </c>
      <c r="D266" s="94" t="str">
        <f>'Resultater - Vestdanmark'!D266</f>
        <v>Areal-roer</v>
      </c>
      <c r="E266" s="94" t="str">
        <f>'Resultater - Vestdanmark'!E266</f>
        <v>Hektar</v>
      </c>
      <c r="F266" s="94" t="str">
        <f>'Resultater - Vestdanmark'!F266</f>
        <v>CO2 - atmosfære</v>
      </c>
      <c r="G266" s="94" t="str">
        <f>'Resultater - Vestdanmark'!G266</f>
        <v>t CO2-ækvivalenter</v>
      </c>
      <c r="H266" s="254">
        <f>'Resultater - Vestdanmark'!H266+'Resultater - Østdanmark'!H266</f>
        <v>322.23661087879924</v>
      </c>
      <c r="I266" s="255">
        <f>'Resultater - Vestdanmark'!I266+'Resultater - Østdanmark'!I266</f>
        <v>292.26850441229493</v>
      </c>
      <c r="J266" s="256">
        <f>'Resultater - Vestdanmark'!J266+'Resultater - Østdanmark'!J266</f>
        <v>0</v>
      </c>
    </row>
    <row r="267" spans="1:10" x14ac:dyDescent="0.25">
      <c r="A267" s="94" t="str">
        <f>'Resultater - Vestdanmark'!A267</f>
        <v>Frugtmark</v>
      </c>
      <c r="B267" s="94" t="str">
        <f>'Resultater - Vestdanmark'!B267</f>
        <v>Konventionel</v>
      </c>
      <c r="C267" s="94" t="str">
        <f>'Resultater - Vestdanmark'!C267</f>
        <v>JB1-10</v>
      </c>
      <c r="D267" s="94" t="str">
        <f>'Resultater - Vestdanmark'!D267</f>
        <v>Areal-frugt</v>
      </c>
      <c r="E267" s="94" t="str">
        <f>'Resultater - Vestdanmark'!E267</f>
        <v>Hektar</v>
      </c>
      <c r="F267" s="94" t="str">
        <f>'Resultater - Vestdanmark'!F267</f>
        <v>Frugt</v>
      </c>
      <c r="G267" s="94" t="str">
        <f>'Resultater - Vestdanmark'!G267</f>
        <v>Ton</v>
      </c>
      <c r="H267" s="254">
        <f>'Resultater - Vestdanmark'!H267+'Resultater - Østdanmark'!H267</f>
        <v>36988.210710055057</v>
      </c>
      <c r="I267" s="255">
        <f>'Resultater - Vestdanmark'!I267+'Resultater - Østdanmark'!I267</f>
        <v>34805.792324972346</v>
      </c>
      <c r="J267" s="256">
        <f>'Resultater - Vestdanmark'!J267+'Resultater - Østdanmark'!J267</f>
        <v>2100620.2196487864</v>
      </c>
    </row>
    <row r="268" spans="1:10" x14ac:dyDescent="0.25">
      <c r="A268" s="94" t="str">
        <f>'Resultater - Vestdanmark'!A268</f>
        <v>Frugtmark</v>
      </c>
      <c r="B268" s="94" t="str">
        <f>'Resultater - Vestdanmark'!B268</f>
        <v>Konventionel</v>
      </c>
      <c r="C268" s="94" t="str">
        <f>'Resultater - Vestdanmark'!C268</f>
        <v>JB1-10</v>
      </c>
      <c r="D268" s="94" t="str">
        <f>'Resultater - Vestdanmark'!D268</f>
        <v>Areal-frugt</v>
      </c>
      <c r="E268" s="94" t="str">
        <f>'Resultater - Vestdanmark'!E268</f>
        <v>Hektar</v>
      </c>
      <c r="F268" s="94" t="str">
        <f>'Resultater - Vestdanmark'!F268</f>
        <v>Gødning</v>
      </c>
      <c r="G268" s="94" t="str">
        <f>'Resultater - Vestdanmark'!G268</f>
        <v>kg N</v>
      </c>
      <c r="H268" s="254">
        <f>'Resultater - Vestdanmark'!H268+'Resultater - Østdanmark'!H268</f>
        <v>-609935.15894083725</v>
      </c>
      <c r="I268" s="255">
        <f>'Resultater - Vestdanmark'!I268+'Resultater - Østdanmark'!I268</f>
        <v>-573947.10547657567</v>
      </c>
      <c r="J268" s="256">
        <f>'Resultater - Vestdanmark'!J268+'Resultater - Østdanmark'!J268</f>
        <v>-34639202.679720864</v>
      </c>
    </row>
    <row r="269" spans="1:10" x14ac:dyDescent="0.25">
      <c r="A269" s="94" t="str">
        <f>'Resultater - Vestdanmark'!A269</f>
        <v>Frugtmark</v>
      </c>
      <c r="B269" s="94" t="str">
        <f>'Resultater - Vestdanmark'!B269</f>
        <v>Konventionel</v>
      </c>
      <c r="C269" s="94" t="str">
        <f>'Resultater - Vestdanmark'!C269</f>
        <v>JB1-10</v>
      </c>
      <c r="D269" s="94" t="str">
        <f>'Resultater - Vestdanmark'!D269</f>
        <v>Areal-frugt</v>
      </c>
      <c r="E269" s="94" t="str">
        <f>'Resultater - Vestdanmark'!E269</f>
        <v>Hektar</v>
      </c>
      <c r="F269" s="94" t="str">
        <f>'Resultater - Vestdanmark'!F269</f>
        <v>CO2 - atmosfære</v>
      </c>
      <c r="G269" s="94" t="str">
        <f>'Resultater - Vestdanmark'!G269</f>
        <v>t CO2-ækvivalenter</v>
      </c>
      <c r="H269" s="254">
        <f>'Resultater - Vestdanmark'!H269+'Resultater - Østdanmark'!H269</f>
        <v>8563.900760438235</v>
      </c>
      <c r="I269" s="255">
        <f>'Resultater - Vestdanmark'!I269+'Resultater - Østdanmark'!I269</f>
        <v>8058.6042319277749</v>
      </c>
      <c r="J269" s="256">
        <f>'Resultater - Vestdanmark'!J269+'Resultater - Østdanmark'!J269</f>
        <v>486357.75429796119</v>
      </c>
    </row>
    <row r="270" spans="1:10" x14ac:dyDescent="0.25">
      <c r="A270" s="94" t="str">
        <f>'Resultater - Vestdanmark'!A270</f>
        <v>Frugtmark</v>
      </c>
      <c r="B270" s="94" t="str">
        <f>'Resultater - Vestdanmark'!B270</f>
        <v>Konventionel</v>
      </c>
      <c r="C270" s="94" t="str">
        <f>'Resultater - Vestdanmark'!C270</f>
        <v>OC6</v>
      </c>
      <c r="D270" s="94" t="str">
        <f>'Resultater - Vestdanmark'!D270</f>
        <v>Areal-frugt</v>
      </c>
      <c r="E270" s="94" t="str">
        <f>'Resultater - Vestdanmark'!E270</f>
        <v>Hektar</v>
      </c>
      <c r="F270" s="94" t="str">
        <f>'Resultater - Vestdanmark'!F270</f>
        <v>Frugt</v>
      </c>
      <c r="G270" s="94" t="str">
        <f>'Resultater - Vestdanmark'!G270</f>
        <v>Ton</v>
      </c>
      <c r="H270" s="254">
        <f>'Resultater - Vestdanmark'!H270+'Resultater - Østdanmark'!H270</f>
        <v>1136.9217413253709</v>
      </c>
      <c r="I270" s="255">
        <f>'Resultater - Vestdanmark'!I270+'Resultater - Østdanmark'!I270</f>
        <v>846.80980687881834</v>
      </c>
      <c r="J270" s="256">
        <f>'Resultater - Vestdanmark'!J270+'Resultater - Østdanmark'!J270</f>
        <v>91.981804016712601</v>
      </c>
    </row>
    <row r="271" spans="1:10" x14ac:dyDescent="0.25">
      <c r="A271" s="94" t="str">
        <f>'Resultater - Vestdanmark'!A271</f>
        <v>Frugtmark</v>
      </c>
      <c r="B271" s="94" t="str">
        <f>'Resultater - Vestdanmark'!B271</f>
        <v>Konventionel</v>
      </c>
      <c r="C271" s="94" t="str">
        <f>'Resultater - Vestdanmark'!C271</f>
        <v>OC6</v>
      </c>
      <c r="D271" s="94" t="str">
        <f>'Resultater - Vestdanmark'!D271</f>
        <v>Areal-frugt</v>
      </c>
      <c r="E271" s="94" t="str">
        <f>'Resultater - Vestdanmark'!E271</f>
        <v>Hektar</v>
      </c>
      <c r="F271" s="94" t="str">
        <f>'Resultater - Vestdanmark'!F271</f>
        <v>Gødning</v>
      </c>
      <c r="G271" s="94" t="str">
        <f>'Resultater - Vestdanmark'!G271</f>
        <v>kg N</v>
      </c>
      <c r="H271" s="254">
        <f>'Resultater - Vestdanmark'!H271+'Resultater - Østdanmark'!H271</f>
        <v>-15623.188435959159</v>
      </c>
      <c r="I271" s="255">
        <f>'Resultater - Vestdanmark'!I271+'Resultater - Østdanmark'!I271</f>
        <v>-11636.569784357534</v>
      </c>
      <c r="J271" s="256">
        <f>'Resultater - Vestdanmark'!J271+'Resultater - Østdanmark'!J271</f>
        <v>-1263.9823873517632</v>
      </c>
    </row>
    <row r="272" spans="1:10" x14ac:dyDescent="0.25">
      <c r="A272" s="94" t="str">
        <f>'Resultater - Vestdanmark'!A272</f>
        <v>Frugtmark</v>
      </c>
      <c r="B272" s="94" t="str">
        <f>'Resultater - Vestdanmark'!B272</f>
        <v>Konventionel</v>
      </c>
      <c r="C272" s="94" t="str">
        <f>'Resultater - Vestdanmark'!C272</f>
        <v>OC6</v>
      </c>
      <c r="D272" s="94" t="str">
        <f>'Resultater - Vestdanmark'!D272</f>
        <v>Areal-frugt</v>
      </c>
      <c r="E272" s="94" t="str">
        <f>'Resultater - Vestdanmark'!E272</f>
        <v>Hektar</v>
      </c>
      <c r="F272" s="94" t="str">
        <f>'Resultater - Vestdanmark'!F272</f>
        <v>CO2 - atmosfære</v>
      </c>
      <c r="G272" s="94" t="str">
        <f>'Resultater - Vestdanmark'!G272</f>
        <v>t CO2-ækvivalenter</v>
      </c>
      <c r="H272" s="254">
        <f>'Resultater - Vestdanmark'!H272+'Resultater - Østdanmark'!H272</f>
        <v>1189.7832867844982</v>
      </c>
      <c r="I272" s="255">
        <f>'Resultater - Vestdanmark'!I272+'Resultater - Østdanmark'!I272</f>
        <v>886.18250376240167</v>
      </c>
      <c r="J272" s="256">
        <f>'Resultater - Vestdanmark'!J272+'Resultater - Østdanmark'!J272</f>
        <v>96.258527855922296</v>
      </c>
    </row>
    <row r="273" spans="1:10" x14ac:dyDescent="0.25">
      <c r="A273" s="94" t="str">
        <f>'Resultater - Vestdanmark'!A273</f>
        <v>Frugtmark</v>
      </c>
      <c r="B273" s="94" t="str">
        <f>'Resultater - Vestdanmark'!B273</f>
        <v>Konventionel</v>
      </c>
      <c r="C273" s="94" t="str">
        <f>'Resultater - Vestdanmark'!C273</f>
        <v>OC12</v>
      </c>
      <c r="D273" s="94" t="str">
        <f>'Resultater - Vestdanmark'!D273</f>
        <v>Areal-frugt</v>
      </c>
      <c r="E273" s="94" t="str">
        <f>'Resultater - Vestdanmark'!E273</f>
        <v>Hektar</v>
      </c>
      <c r="F273" s="94" t="str">
        <f>'Resultater - Vestdanmark'!F273</f>
        <v>Frugt</v>
      </c>
      <c r="G273" s="94" t="str">
        <f>'Resultater - Vestdanmark'!G273</f>
        <v>Ton</v>
      </c>
      <c r="H273" s="254">
        <f>'Resultater - Vestdanmark'!H273+'Resultater - Østdanmark'!H273</f>
        <v>769.15923740920027</v>
      </c>
      <c r="I273" s="255">
        <f>'Resultater - Vestdanmark'!I273+'Resultater - Østdanmark'!I273</f>
        <v>560.90094969276902</v>
      </c>
      <c r="J273" s="256">
        <f>'Resultater - Vestdanmark'!J273+'Resultater - Østdanmark'!J273</f>
        <v>0</v>
      </c>
    </row>
    <row r="274" spans="1:10" x14ac:dyDescent="0.25">
      <c r="A274" s="94" t="str">
        <f>'Resultater - Vestdanmark'!A274</f>
        <v>Frugtmark</v>
      </c>
      <c r="B274" s="94" t="str">
        <f>'Resultater - Vestdanmark'!B274</f>
        <v>Konventionel</v>
      </c>
      <c r="C274" s="94" t="str">
        <f>'Resultater - Vestdanmark'!C274</f>
        <v>OC12</v>
      </c>
      <c r="D274" s="94" t="str">
        <f>'Resultater - Vestdanmark'!D274</f>
        <v>Areal-frugt</v>
      </c>
      <c r="E274" s="94" t="str">
        <f>'Resultater - Vestdanmark'!E274</f>
        <v>Hektar</v>
      </c>
      <c r="F274" s="94" t="str">
        <f>'Resultater - Vestdanmark'!F274</f>
        <v>Gødning</v>
      </c>
      <c r="G274" s="94" t="str">
        <f>'Resultater - Vestdanmark'!G274</f>
        <v>kg N</v>
      </c>
      <c r="H274" s="254">
        <f>'Resultater - Vestdanmark'!H274+'Resultater - Østdanmark'!H274</f>
        <v>-9059.5905466336899</v>
      </c>
      <c r="I274" s="255">
        <f>'Resultater - Vestdanmark'!I274+'Resultater - Østdanmark'!I274</f>
        <v>-6606.607181304701</v>
      </c>
      <c r="J274" s="256">
        <f>'Resultater - Vestdanmark'!J274+'Resultater - Østdanmark'!J274</f>
        <v>0</v>
      </c>
    </row>
    <row r="275" spans="1:10" x14ac:dyDescent="0.25">
      <c r="A275" s="94" t="str">
        <f>'Resultater - Vestdanmark'!A275</f>
        <v>Frugtmark</v>
      </c>
      <c r="B275" s="94" t="str">
        <f>'Resultater - Vestdanmark'!B275</f>
        <v>Konventionel</v>
      </c>
      <c r="C275" s="94" t="str">
        <f>'Resultater - Vestdanmark'!C275</f>
        <v>OC12</v>
      </c>
      <c r="D275" s="94" t="str">
        <f>'Resultater - Vestdanmark'!D275</f>
        <v>Areal-frugt</v>
      </c>
      <c r="E275" s="94" t="str">
        <f>'Resultater - Vestdanmark'!E275</f>
        <v>Hektar</v>
      </c>
      <c r="F275" s="94" t="str">
        <f>'Resultater - Vestdanmark'!F275</f>
        <v>CO2 - atmosfære</v>
      </c>
      <c r="G275" s="94" t="str">
        <f>'Resultater - Vestdanmark'!G275</f>
        <v>t CO2-ækvivalenter</v>
      </c>
      <c r="H275" s="254">
        <f>'Resultater - Vestdanmark'!H275+'Resultater - Østdanmark'!H275</f>
        <v>1844.3834346765289</v>
      </c>
      <c r="I275" s="255">
        <f>'Resultater - Vestdanmark'!I275+'Resultater - Østdanmark'!I275</f>
        <v>1344.9964191970087</v>
      </c>
      <c r="J275" s="256">
        <f>'Resultater - Vestdanmark'!J275+'Resultater - Østdanmark'!J275</f>
        <v>0</v>
      </c>
    </row>
    <row r="276" spans="1:10" x14ac:dyDescent="0.25">
      <c r="A276" s="94" t="str">
        <f>'Resultater - Vestdanmark'!A276</f>
        <v>Frugtmark</v>
      </c>
      <c r="B276" s="94" t="str">
        <f>'Resultater - Vestdanmark'!B276</f>
        <v>Økologisk</v>
      </c>
      <c r="C276" s="94" t="str">
        <f>'Resultater - Vestdanmark'!C276</f>
        <v>JB1-10</v>
      </c>
      <c r="D276" s="94" t="str">
        <f>'Resultater - Vestdanmark'!D276</f>
        <v>Areal-frugt</v>
      </c>
      <c r="E276" s="94" t="str">
        <f>'Resultater - Vestdanmark'!E276</f>
        <v>Hektar</v>
      </c>
      <c r="F276" s="94" t="str">
        <f>'Resultater - Vestdanmark'!F276</f>
        <v>Frugt</v>
      </c>
      <c r="G276" s="94" t="str">
        <f>'Resultater - Vestdanmark'!G276</f>
        <v>Ton</v>
      </c>
      <c r="H276" s="254">
        <f>'Resultater - Vestdanmark'!H276+'Resultater - Østdanmark'!H276</f>
        <v>2695.7401202602077</v>
      </c>
      <c r="I276" s="255">
        <f>'Resultater - Vestdanmark'!I276+'Resultater - Østdanmark'!I276</f>
        <v>3102.5754495402684</v>
      </c>
      <c r="J276" s="256">
        <f>'Resultater - Vestdanmark'!J276+'Resultater - Østdanmark'!J276</f>
        <v>253984.08110298964</v>
      </c>
    </row>
    <row r="277" spans="1:10" x14ac:dyDescent="0.25">
      <c r="A277" s="94" t="str">
        <f>'Resultater - Vestdanmark'!A277</f>
        <v>Frugtmark</v>
      </c>
      <c r="B277" s="94" t="str">
        <f>'Resultater - Vestdanmark'!B277</f>
        <v>Økologisk</v>
      </c>
      <c r="C277" s="94" t="str">
        <f>'Resultater - Vestdanmark'!C277</f>
        <v>JB1-10</v>
      </c>
      <c r="D277" s="94" t="str">
        <f>'Resultater - Vestdanmark'!D277</f>
        <v>Areal-frugt</v>
      </c>
      <c r="E277" s="94" t="str">
        <f>'Resultater - Vestdanmark'!E277</f>
        <v>Hektar</v>
      </c>
      <c r="F277" s="94" t="str">
        <f>'Resultater - Vestdanmark'!F277</f>
        <v>Gødning</v>
      </c>
      <c r="G277" s="94" t="str">
        <f>'Resultater - Vestdanmark'!G277</f>
        <v>kg N</v>
      </c>
      <c r="H277" s="254">
        <f>'Resultater - Vestdanmark'!H277+'Resultater - Østdanmark'!H277</f>
        <v>-44452.722831145948</v>
      </c>
      <c r="I277" s="255">
        <f>'Resultater - Vestdanmark'!I277+'Resultater - Østdanmark'!I277</f>
        <v>-51161.432619038591</v>
      </c>
      <c r="J277" s="256">
        <f>'Resultater - Vestdanmark'!J277+'Resultater - Østdanmark'!J277</f>
        <v>-4188194.505820795</v>
      </c>
    </row>
    <row r="278" spans="1:10" x14ac:dyDescent="0.25">
      <c r="A278" s="94" t="str">
        <f>'Resultater - Vestdanmark'!A278</f>
        <v>Frugtmark</v>
      </c>
      <c r="B278" s="94" t="str">
        <f>'Resultater - Vestdanmark'!B278</f>
        <v>Økologisk</v>
      </c>
      <c r="C278" s="94" t="str">
        <f>'Resultater - Vestdanmark'!C278</f>
        <v>JB1-10</v>
      </c>
      <c r="D278" s="94" t="str">
        <f>'Resultater - Vestdanmark'!D278</f>
        <v>Areal-frugt</v>
      </c>
      <c r="E278" s="94" t="str">
        <f>'Resultater - Vestdanmark'!E278</f>
        <v>Hektar</v>
      </c>
      <c r="F278" s="94" t="str">
        <f>'Resultater - Vestdanmark'!F278</f>
        <v>CO2 - atmosfære</v>
      </c>
      <c r="G278" s="94" t="str">
        <f>'Resultater - Vestdanmark'!G278</f>
        <v>t CO2-ækvivalenter</v>
      </c>
      <c r="H278" s="254">
        <f>'Resultater - Vestdanmark'!H278+'Resultater - Østdanmark'!H278</f>
        <v>1094.9933194057135</v>
      </c>
      <c r="I278" s="255">
        <f>'Resultater - Vestdanmark'!I278+'Resultater - Østdanmark'!I278</f>
        <v>1260.2473675655524</v>
      </c>
      <c r="J278" s="256">
        <f>'Resultater - Vestdanmark'!J278+'Resultater - Østdanmark'!J278</f>
        <v>103166.79636623421</v>
      </c>
    </row>
    <row r="279" spans="1:10" x14ac:dyDescent="0.25">
      <c r="A279" s="94" t="str">
        <f>'Resultater - Vestdanmark'!A279</f>
        <v>Frugtmark</v>
      </c>
      <c r="B279" s="94" t="str">
        <f>'Resultater - Vestdanmark'!B279</f>
        <v>Økologisk</v>
      </c>
      <c r="C279" s="94" t="str">
        <f>'Resultater - Vestdanmark'!C279</f>
        <v>OC6</v>
      </c>
      <c r="D279" s="94" t="str">
        <f>'Resultater - Vestdanmark'!D279</f>
        <v>Areal-frugt</v>
      </c>
      <c r="E279" s="94" t="str">
        <f>'Resultater - Vestdanmark'!E279</f>
        <v>Hektar</v>
      </c>
      <c r="F279" s="94" t="str">
        <f>'Resultater - Vestdanmark'!F279</f>
        <v>Frugt</v>
      </c>
      <c r="G279" s="94" t="str">
        <f>'Resultater - Vestdanmark'!G279</f>
        <v>Ton</v>
      </c>
      <c r="H279" s="254">
        <f>'Resultater - Vestdanmark'!H279+'Resultater - Østdanmark'!H279</f>
        <v>82.860065216772895</v>
      </c>
      <c r="I279" s="255">
        <f>'Resultater - Vestdanmark'!I279+'Resultater - Østdanmark'!I279</f>
        <v>75.484312861544524</v>
      </c>
      <c r="J279" s="256">
        <f>'Resultater - Vestdanmark'!J279+'Resultater - Østdanmark'!J279</f>
        <v>11.121436303838887</v>
      </c>
    </row>
    <row r="280" spans="1:10" x14ac:dyDescent="0.25">
      <c r="A280" s="94" t="str">
        <f>'Resultater - Vestdanmark'!A280</f>
        <v>Frugtmark</v>
      </c>
      <c r="B280" s="94" t="str">
        <f>'Resultater - Vestdanmark'!B280</f>
        <v>Økologisk</v>
      </c>
      <c r="C280" s="94" t="str">
        <f>'Resultater - Vestdanmark'!C280</f>
        <v>OC6</v>
      </c>
      <c r="D280" s="94" t="str">
        <f>'Resultater - Vestdanmark'!D280</f>
        <v>Areal-frugt</v>
      </c>
      <c r="E280" s="94" t="str">
        <f>'Resultater - Vestdanmark'!E280</f>
        <v>Hektar</v>
      </c>
      <c r="F280" s="94" t="str">
        <f>'Resultater - Vestdanmark'!F280</f>
        <v>Gødning</v>
      </c>
      <c r="G280" s="94" t="str">
        <f>'Resultater - Vestdanmark'!G280</f>
        <v>kg N</v>
      </c>
      <c r="H280" s="254">
        <f>'Resultater - Vestdanmark'!H280+'Resultater - Østdanmark'!H280</f>
        <v>-1138.6345828767378</v>
      </c>
      <c r="I280" s="255">
        <f>'Resultater - Vestdanmark'!I280+'Resultater - Østdanmark'!I280</f>
        <v>-1037.2795249917779</v>
      </c>
      <c r="J280" s="256">
        <f>'Resultater - Vestdanmark'!J280+'Resultater - Østdanmark'!J280</f>
        <v>-152.82696137980412</v>
      </c>
    </row>
    <row r="281" spans="1:10" x14ac:dyDescent="0.25">
      <c r="A281" s="94" t="str">
        <f>'Resultater - Vestdanmark'!A281</f>
        <v>Frugtmark</v>
      </c>
      <c r="B281" s="94" t="str">
        <f>'Resultater - Vestdanmark'!B281</f>
        <v>Økologisk</v>
      </c>
      <c r="C281" s="94" t="str">
        <f>'Resultater - Vestdanmark'!C281</f>
        <v>OC6</v>
      </c>
      <c r="D281" s="94" t="str">
        <f>'Resultater - Vestdanmark'!D281</f>
        <v>Areal-frugt</v>
      </c>
      <c r="E281" s="94" t="str">
        <f>'Resultater - Vestdanmark'!E281</f>
        <v>Hektar</v>
      </c>
      <c r="F281" s="94" t="str">
        <f>'Resultater - Vestdanmark'!F281</f>
        <v>CO2 - atmosfære</v>
      </c>
      <c r="G281" s="94" t="str">
        <f>'Resultater - Vestdanmark'!G281</f>
        <v>t CO2-ækvivalenter</v>
      </c>
      <c r="H281" s="254">
        <f>'Resultater - Vestdanmark'!H281+'Resultater - Østdanmark'!H281</f>
        <v>152.12749271780797</v>
      </c>
      <c r="I281" s="255">
        <f>'Resultater - Vestdanmark'!I281+'Resultater - Østdanmark'!I281</f>
        <v>138.58593069063701</v>
      </c>
      <c r="J281" s="256">
        <f>'Resultater - Vestdanmark'!J281+'Resultater - Østdanmark'!J281</f>
        <v>20.418475605801699</v>
      </c>
    </row>
    <row r="282" spans="1:10" x14ac:dyDescent="0.25">
      <c r="A282" s="94" t="str">
        <f>'Resultater - Vestdanmark'!A282</f>
        <v>Frugtmark</v>
      </c>
      <c r="B282" s="94" t="str">
        <f>'Resultater - Vestdanmark'!B282</f>
        <v>Økologisk</v>
      </c>
      <c r="C282" s="94" t="str">
        <f>'Resultater - Vestdanmark'!C282</f>
        <v>OC12</v>
      </c>
      <c r="D282" s="94" t="str">
        <f>'Resultater - Vestdanmark'!D282</f>
        <v>Areal-frugt</v>
      </c>
      <c r="E282" s="94" t="str">
        <f>'Resultater - Vestdanmark'!E282</f>
        <v>Hektar</v>
      </c>
      <c r="F282" s="94" t="str">
        <f>'Resultater - Vestdanmark'!F282</f>
        <v>Frugt</v>
      </c>
      <c r="G282" s="94" t="str">
        <f>'Resultater - Vestdanmark'!G282</f>
        <v>Ton</v>
      </c>
      <c r="H282" s="254">
        <f>'Resultater - Vestdanmark'!H282+'Resultater - Østdanmark'!H282</f>
        <v>56.05714294768709</v>
      </c>
      <c r="I282" s="255">
        <f>'Resultater - Vestdanmark'!I282+'Resultater - Østdanmark'!I282</f>
        <v>49.998503119609396</v>
      </c>
      <c r="J282" s="256">
        <f>'Resultater - Vestdanmark'!J282+'Resultater - Østdanmark'!J282</f>
        <v>0</v>
      </c>
    </row>
    <row r="283" spans="1:10" x14ac:dyDescent="0.25">
      <c r="A283" s="94" t="str">
        <f>'Resultater - Vestdanmark'!A283</f>
        <v>Frugtmark</v>
      </c>
      <c r="B283" s="94" t="str">
        <f>'Resultater - Vestdanmark'!B283</f>
        <v>Økologisk</v>
      </c>
      <c r="C283" s="94" t="str">
        <f>'Resultater - Vestdanmark'!C283</f>
        <v>OC12</v>
      </c>
      <c r="D283" s="94" t="str">
        <f>'Resultater - Vestdanmark'!D283</f>
        <v>Areal-frugt</v>
      </c>
      <c r="E283" s="94" t="str">
        <f>'Resultater - Vestdanmark'!E283</f>
        <v>Hektar</v>
      </c>
      <c r="F283" s="94" t="str">
        <f>'Resultater - Vestdanmark'!F283</f>
        <v>Gødning</v>
      </c>
      <c r="G283" s="94" t="str">
        <f>'Resultater - Vestdanmark'!G283</f>
        <v>kg N</v>
      </c>
      <c r="H283" s="254">
        <f>'Resultater - Vestdanmark'!H283+'Resultater - Østdanmark'!H283</f>
        <v>-660.27259066769261</v>
      </c>
      <c r="I283" s="255">
        <f>'Resultater - Vestdanmark'!I283+'Resultater - Østdanmark'!I283</f>
        <v>-588.91051966559962</v>
      </c>
      <c r="J283" s="256">
        <f>'Resultater - Vestdanmark'!J283+'Resultater - Østdanmark'!J283</f>
        <v>0</v>
      </c>
    </row>
    <row r="284" spans="1:10" x14ac:dyDescent="0.25">
      <c r="A284" s="94" t="str">
        <f>'Resultater - Vestdanmark'!A284</f>
        <v>Frugtmark</v>
      </c>
      <c r="B284" s="94" t="str">
        <f>'Resultater - Vestdanmark'!B284</f>
        <v>Økologisk</v>
      </c>
      <c r="C284" s="94" t="str">
        <f>'Resultater - Vestdanmark'!C284</f>
        <v>OC12</v>
      </c>
      <c r="D284" s="94" t="str">
        <f>'Resultater - Vestdanmark'!D284</f>
        <v>Areal-frugt</v>
      </c>
      <c r="E284" s="94" t="str">
        <f>'Resultater - Vestdanmark'!E284</f>
        <v>Hektar</v>
      </c>
      <c r="F284" s="94" t="str">
        <f>'Resultater - Vestdanmark'!F284</f>
        <v>CO2 - atmosfære</v>
      </c>
      <c r="G284" s="94" t="str">
        <f>'Resultater - Vestdanmark'!G284</f>
        <v>t CO2-ækvivalenter</v>
      </c>
      <c r="H284" s="254">
        <f>'Resultater - Vestdanmark'!H284+'Resultater - Østdanmark'!H284</f>
        <v>235.82565887767433</v>
      </c>
      <c r="I284" s="255">
        <f>'Resultater - Vestdanmark'!I284+'Resultater - Østdanmark'!I284</f>
        <v>210.33768974067618</v>
      </c>
      <c r="J284" s="256">
        <f>'Resultater - Vestdanmark'!J284+'Resultater - Østdanmark'!J284</f>
        <v>0</v>
      </c>
    </row>
    <row r="285" spans="1:10" x14ac:dyDescent="0.25">
      <c r="A285" s="94" t="str">
        <f>'Resultater - Vestdanmark'!A285</f>
        <v>Øvrig mark</v>
      </c>
      <c r="B285" s="94" t="str">
        <f>'Resultater - Vestdanmark'!B285</f>
        <v>Konventionel</v>
      </c>
      <c r="C285" s="94" t="str">
        <f>'Resultater - Vestdanmark'!C285</f>
        <v>JB1-10</v>
      </c>
      <c r="D285" s="94" t="str">
        <f>'Resultater - Vestdanmark'!D285</f>
        <v>Areal-øvrige</v>
      </c>
      <c r="E285" s="94" t="str">
        <f>'Resultater - Vestdanmark'!E285</f>
        <v>Hektar</v>
      </c>
      <c r="F285" s="94" t="str">
        <f>'Resultater - Vestdanmark'!F285</f>
        <v>Øvrige</v>
      </c>
      <c r="G285" s="94" t="str">
        <f>'Resultater - Vestdanmark'!G285</f>
        <v>Ton</v>
      </c>
      <c r="H285" s="254">
        <f>'Resultater - Vestdanmark'!H285+'Resultater - Østdanmark'!H285</f>
        <v>1770707.1441729828</v>
      </c>
      <c r="I285" s="255">
        <f>'Resultater - Vestdanmark'!I285+'Resultater - Østdanmark'!I285</f>
        <v>1682812.8363544331</v>
      </c>
      <c r="J285" s="256">
        <f>'Resultater - Vestdanmark'!J285+'Resultater - Østdanmark'!J285</f>
        <v>0</v>
      </c>
    </row>
    <row r="286" spans="1:10" x14ac:dyDescent="0.25">
      <c r="A286" s="94" t="str">
        <f>'Resultater - Vestdanmark'!A286</f>
        <v>Øvrig mark</v>
      </c>
      <c r="B286" s="94" t="str">
        <f>'Resultater - Vestdanmark'!B286</f>
        <v>Konventionel</v>
      </c>
      <c r="C286" s="94" t="str">
        <f>'Resultater - Vestdanmark'!C286</f>
        <v>JB1-10</v>
      </c>
      <c r="D286" s="94" t="str">
        <f>'Resultater - Vestdanmark'!D286</f>
        <v>Areal-øvrige</v>
      </c>
      <c r="E286" s="94" t="str">
        <f>'Resultater - Vestdanmark'!E286</f>
        <v>Hektar</v>
      </c>
      <c r="F286" s="94" t="str">
        <f>'Resultater - Vestdanmark'!F286</f>
        <v>Gødning</v>
      </c>
      <c r="G286" s="94" t="str">
        <f>'Resultater - Vestdanmark'!G286</f>
        <v>kg N</v>
      </c>
      <c r="H286" s="254">
        <f>'Resultater - Vestdanmark'!H286+'Resultater - Østdanmark'!H286</f>
        <v>-8443698.8320951127</v>
      </c>
      <c r="I286" s="255">
        <f>'Resultater - Vestdanmark'!I286+'Resultater - Østdanmark'!I286</f>
        <v>-8024570.7641265821</v>
      </c>
      <c r="J286" s="256">
        <f>'Resultater - Vestdanmark'!J286+'Resultater - Østdanmark'!J286</f>
        <v>0</v>
      </c>
    </row>
    <row r="287" spans="1:10" x14ac:dyDescent="0.25">
      <c r="A287" s="94" t="str">
        <f>'Resultater - Vestdanmark'!A287</f>
        <v>Øvrig mark</v>
      </c>
      <c r="B287" s="94" t="str">
        <f>'Resultater - Vestdanmark'!B287</f>
        <v>Konventionel</v>
      </c>
      <c r="C287" s="94" t="str">
        <f>'Resultater - Vestdanmark'!C287</f>
        <v>JB1-10</v>
      </c>
      <c r="D287" s="94" t="str">
        <f>'Resultater - Vestdanmark'!D287</f>
        <v>Areal-øvrige</v>
      </c>
      <c r="E287" s="94" t="str">
        <f>'Resultater - Vestdanmark'!E287</f>
        <v>Hektar</v>
      </c>
      <c r="F287" s="94" t="str">
        <f>'Resultater - Vestdanmark'!F287</f>
        <v>CO2 - atmosfære</v>
      </c>
      <c r="G287" s="94" t="str">
        <f>'Resultater - Vestdanmark'!G287</f>
        <v>t CO2-ækvivalenter</v>
      </c>
      <c r="H287" s="254">
        <f>'Resultater - Vestdanmark'!H287+'Resultater - Østdanmark'!H287</f>
        <v>135120.63677615169</v>
      </c>
      <c r="I287" s="255">
        <f>'Resultater - Vestdanmark'!I287+'Resultater - Østdanmark'!I287</f>
        <v>128413.52268304826</v>
      </c>
      <c r="J287" s="256">
        <f>'Resultater - Vestdanmark'!J287+'Resultater - Østdanmark'!J287</f>
        <v>0</v>
      </c>
    </row>
    <row r="288" spans="1:10" x14ac:dyDescent="0.25">
      <c r="A288" s="94" t="str">
        <f>'Resultater - Vestdanmark'!A288</f>
        <v>Øvrig mark</v>
      </c>
      <c r="B288" s="94" t="str">
        <f>'Resultater - Vestdanmark'!B288</f>
        <v>Konventionel</v>
      </c>
      <c r="C288" s="94" t="str">
        <f>'Resultater - Vestdanmark'!C288</f>
        <v>OC6</v>
      </c>
      <c r="D288" s="94" t="str">
        <f>'Resultater - Vestdanmark'!D288</f>
        <v>Areal-øvrige</v>
      </c>
      <c r="E288" s="94" t="str">
        <f>'Resultater - Vestdanmark'!E288</f>
        <v>Hektar</v>
      </c>
      <c r="F288" s="94" t="str">
        <f>'Resultater - Vestdanmark'!F288</f>
        <v>Øvrige</v>
      </c>
      <c r="G288" s="94" t="str">
        <f>'Resultater - Vestdanmark'!G288</f>
        <v>Ton</v>
      </c>
      <c r="H288" s="254">
        <f>'Resultater - Vestdanmark'!H288+'Resultater - Østdanmark'!H288</f>
        <v>59290.041004910265</v>
      </c>
      <c r="I288" s="255">
        <f>'Resultater - Vestdanmark'!I288+'Resultater - Østdanmark'!I288</f>
        <v>44149.02918582072</v>
      </c>
      <c r="J288" s="256">
        <f>'Resultater - Vestdanmark'!J288+'Resultater - Østdanmark'!J288</f>
        <v>4795.5365149419176</v>
      </c>
    </row>
    <row r="289" spans="1:10" x14ac:dyDescent="0.25">
      <c r="A289" s="94" t="str">
        <f>'Resultater - Vestdanmark'!A289</f>
        <v>Øvrig mark</v>
      </c>
      <c r="B289" s="94" t="str">
        <f>'Resultater - Vestdanmark'!B289</f>
        <v>Konventionel</v>
      </c>
      <c r="C289" s="94" t="str">
        <f>'Resultater - Vestdanmark'!C289</f>
        <v>OC6</v>
      </c>
      <c r="D289" s="94" t="str">
        <f>'Resultater - Vestdanmark'!D289</f>
        <v>Areal-øvrige</v>
      </c>
      <c r="E289" s="94" t="str">
        <f>'Resultater - Vestdanmark'!E289</f>
        <v>Hektar</v>
      </c>
      <c r="F289" s="94" t="str">
        <f>'Resultater - Vestdanmark'!F289</f>
        <v>Gødning</v>
      </c>
      <c r="G289" s="94" t="str">
        <f>'Resultater - Vestdanmark'!G289</f>
        <v>kg N</v>
      </c>
      <c r="H289" s="254">
        <f>'Resultater - Vestdanmark'!H289+'Resultater - Østdanmark'!H289</f>
        <v>-207278.07918935828</v>
      </c>
      <c r="I289" s="255">
        <f>'Resultater - Vestdanmark'!I289+'Resultater - Østdanmark'!I289</f>
        <v>-154345.07739594852</v>
      </c>
      <c r="J289" s="256">
        <f>'Resultater - Vestdanmark'!J289+'Resultater - Østdanmark'!J289</f>
        <v>-16765.20340772354</v>
      </c>
    </row>
    <row r="290" spans="1:10" x14ac:dyDescent="0.25">
      <c r="A290" s="94" t="str">
        <f>'Resultater - Vestdanmark'!A290</f>
        <v>Øvrig mark</v>
      </c>
      <c r="B290" s="94" t="str">
        <f>'Resultater - Vestdanmark'!B290</f>
        <v>Konventionel</v>
      </c>
      <c r="C290" s="94" t="str">
        <f>'Resultater - Vestdanmark'!C290</f>
        <v>OC6</v>
      </c>
      <c r="D290" s="94" t="str">
        <f>'Resultater - Vestdanmark'!D290</f>
        <v>Areal-øvrige</v>
      </c>
      <c r="E290" s="94" t="str">
        <f>'Resultater - Vestdanmark'!E290</f>
        <v>Hektar</v>
      </c>
      <c r="F290" s="94" t="str">
        <f>'Resultater - Vestdanmark'!F290</f>
        <v>CO2 - atmosfære</v>
      </c>
      <c r="G290" s="94" t="str">
        <f>'Resultater - Vestdanmark'!G290</f>
        <v>t CO2-ækvivalenter</v>
      </c>
      <c r="H290" s="254">
        <f>'Resultater - Vestdanmark'!H290+'Resultater - Østdanmark'!H290</f>
        <v>26517.821531805323</v>
      </c>
      <c r="I290" s="255">
        <f>'Resultater - Vestdanmark'!I290+'Resultater - Østdanmark'!I290</f>
        <v>19745.914438735177</v>
      </c>
      <c r="J290" s="256">
        <f>'Resultater - Vestdanmark'!J290+'Resultater - Østdanmark'!J290</f>
        <v>2144.8320712403242</v>
      </c>
    </row>
    <row r="291" spans="1:10" x14ac:dyDescent="0.25">
      <c r="A291" s="94" t="str">
        <f>'Resultater - Vestdanmark'!A291</f>
        <v>Øvrig mark</v>
      </c>
      <c r="B291" s="94" t="str">
        <f>'Resultater - Vestdanmark'!B291</f>
        <v>Konventionel</v>
      </c>
      <c r="C291" s="94" t="str">
        <f>'Resultater - Vestdanmark'!C291</f>
        <v>OC12</v>
      </c>
      <c r="D291" s="94" t="str">
        <f>'Resultater - Vestdanmark'!D291</f>
        <v>Areal-øvrige</v>
      </c>
      <c r="E291" s="94" t="str">
        <f>'Resultater - Vestdanmark'!E291</f>
        <v>Hektar</v>
      </c>
      <c r="F291" s="94" t="str">
        <f>'Resultater - Vestdanmark'!F291</f>
        <v>Øvrige</v>
      </c>
      <c r="G291" s="94" t="str">
        <f>'Resultater - Vestdanmark'!G291</f>
        <v>Ton</v>
      </c>
      <c r="H291" s="254">
        <f>'Resultater - Vestdanmark'!H291+'Resultater - Østdanmark'!H291</f>
        <v>39797.443271560704</v>
      </c>
      <c r="I291" s="255">
        <f>'Resultater - Vestdanmark'!I291+'Resultater - Østdanmark'!I291</f>
        <v>28882.91906607397</v>
      </c>
      <c r="J291" s="256">
        <f>'Resultater - Vestdanmark'!J291+'Resultater - Østdanmark'!J291</f>
        <v>0</v>
      </c>
    </row>
    <row r="292" spans="1:10" x14ac:dyDescent="0.25">
      <c r="A292" s="94" t="str">
        <f>'Resultater - Vestdanmark'!A292</f>
        <v>Øvrig mark</v>
      </c>
      <c r="B292" s="94" t="str">
        <f>'Resultater - Vestdanmark'!B292</f>
        <v>Konventionel</v>
      </c>
      <c r="C292" s="94" t="str">
        <f>'Resultater - Vestdanmark'!C292</f>
        <v>OC12</v>
      </c>
      <c r="D292" s="94" t="str">
        <f>'Resultater - Vestdanmark'!D292</f>
        <v>Areal-øvrige</v>
      </c>
      <c r="E292" s="94" t="str">
        <f>'Resultater - Vestdanmark'!E292</f>
        <v>Hektar</v>
      </c>
      <c r="F292" s="94" t="str">
        <f>'Resultater - Vestdanmark'!F292</f>
        <v>Gødning</v>
      </c>
      <c r="G292" s="94" t="str">
        <f>'Resultater - Vestdanmark'!G292</f>
        <v>kg N</v>
      </c>
      <c r="H292" s="254">
        <f>'Resultater - Vestdanmark'!H292+'Resultater - Østdanmark'!H292</f>
        <v>-102957.62524429863</v>
      </c>
      <c r="I292" s="255">
        <f>'Resultater - Vestdanmark'!I292+'Resultater - Østdanmark'!I292</f>
        <v>-74721.301488512268</v>
      </c>
      <c r="J292" s="256">
        <f>'Resultater - Vestdanmark'!J292+'Resultater - Østdanmark'!J292</f>
        <v>0</v>
      </c>
    </row>
    <row r="293" spans="1:10" x14ac:dyDescent="0.25">
      <c r="A293" s="94" t="str">
        <f>'Resultater - Vestdanmark'!A293</f>
        <v>Øvrig mark</v>
      </c>
      <c r="B293" s="94" t="str">
        <f>'Resultater - Vestdanmark'!B293</f>
        <v>Konventionel</v>
      </c>
      <c r="C293" s="94" t="str">
        <f>'Resultater - Vestdanmark'!C293</f>
        <v>OC12</v>
      </c>
      <c r="D293" s="94" t="str">
        <f>'Resultater - Vestdanmark'!D293</f>
        <v>Areal-øvrige</v>
      </c>
      <c r="E293" s="94" t="str">
        <f>'Resultater - Vestdanmark'!E293</f>
        <v>Hektar</v>
      </c>
      <c r="F293" s="94" t="str">
        <f>'Resultater - Vestdanmark'!F293</f>
        <v>CO2 - atmosfære</v>
      </c>
      <c r="G293" s="94" t="str">
        <f>'Resultater - Vestdanmark'!G293</f>
        <v>t CO2-ækvivalenter</v>
      </c>
      <c r="H293" s="254">
        <f>'Resultater - Vestdanmark'!H293+'Resultater - Østdanmark'!H293</f>
        <v>39069.861329482206</v>
      </c>
      <c r="I293" s="255">
        <f>'Resultater - Vestdanmark'!I293+'Resultater - Østdanmark'!I293</f>
        <v>28354.877849868324</v>
      </c>
      <c r="J293" s="256">
        <f>'Resultater - Vestdanmark'!J293+'Resultater - Østdanmark'!J293</f>
        <v>0</v>
      </c>
    </row>
    <row r="294" spans="1:10" x14ac:dyDescent="0.25">
      <c r="A294" s="94" t="str">
        <f>'Resultater - Vestdanmark'!A294</f>
        <v>Øvrig mark</v>
      </c>
      <c r="B294" s="94" t="str">
        <f>'Resultater - Vestdanmark'!B294</f>
        <v>Økologisk</v>
      </c>
      <c r="C294" s="94" t="str">
        <f>'Resultater - Vestdanmark'!C294</f>
        <v>JB1-10</v>
      </c>
      <c r="D294" s="94" t="str">
        <f>'Resultater - Vestdanmark'!D294</f>
        <v>Areal-øvrige</v>
      </c>
      <c r="E294" s="94" t="str">
        <f>'Resultater - Vestdanmark'!E294</f>
        <v>Hektar</v>
      </c>
      <c r="F294" s="94" t="str">
        <f>'Resultater - Vestdanmark'!F294</f>
        <v>Øvrige</v>
      </c>
      <c r="G294" s="94" t="str">
        <f>'Resultater - Vestdanmark'!G294</f>
        <v>Ton</v>
      </c>
      <c r="H294" s="254">
        <f>'Resultater - Vestdanmark'!H294+'Resultater - Østdanmark'!H294</f>
        <v>129051.01918003485</v>
      </c>
      <c r="I294" s="255">
        <f>'Resultater - Vestdanmark'!I294+'Resultater - Østdanmark'!I294</f>
        <v>150005.31358392624</v>
      </c>
      <c r="J294" s="256">
        <f>'Resultater - Vestdanmark'!J294+'Resultater - Østdanmark'!J294</f>
        <v>0</v>
      </c>
    </row>
    <row r="295" spans="1:10" x14ac:dyDescent="0.25">
      <c r="A295" s="94" t="str">
        <f>'Resultater - Vestdanmark'!A295</f>
        <v>Øvrig mark</v>
      </c>
      <c r="B295" s="94" t="str">
        <f>'Resultater - Vestdanmark'!B295</f>
        <v>Økologisk</v>
      </c>
      <c r="C295" s="94" t="str">
        <f>'Resultater - Vestdanmark'!C295</f>
        <v>JB1-10</v>
      </c>
      <c r="D295" s="94" t="str">
        <f>'Resultater - Vestdanmark'!D295</f>
        <v>Areal-øvrige</v>
      </c>
      <c r="E295" s="94" t="str">
        <f>'Resultater - Vestdanmark'!E295</f>
        <v>Hektar</v>
      </c>
      <c r="F295" s="94" t="str">
        <f>'Resultater - Vestdanmark'!F295</f>
        <v>Gødning</v>
      </c>
      <c r="G295" s="94" t="str">
        <f>'Resultater - Vestdanmark'!G295</f>
        <v>kg N</v>
      </c>
      <c r="H295" s="254">
        <f>'Resultater - Vestdanmark'!H295+'Resultater - Østdanmark'!H295</f>
        <v>-615385.74773192033</v>
      </c>
      <c r="I295" s="255">
        <f>'Resultater - Vestdanmark'!I295+'Resultater - Østdanmark'!I295</f>
        <v>-715307.26878511044</v>
      </c>
      <c r="J295" s="256">
        <f>'Resultater - Vestdanmark'!J295+'Resultater - Østdanmark'!J295</f>
        <v>0</v>
      </c>
    </row>
    <row r="296" spans="1:10" x14ac:dyDescent="0.25">
      <c r="A296" s="94" t="str">
        <f>'Resultater - Vestdanmark'!A296</f>
        <v>Øvrig mark</v>
      </c>
      <c r="B296" s="94" t="str">
        <f>'Resultater - Vestdanmark'!B296</f>
        <v>Økologisk</v>
      </c>
      <c r="C296" s="94" t="str">
        <f>'Resultater - Vestdanmark'!C296</f>
        <v>JB1-10</v>
      </c>
      <c r="D296" s="94" t="str">
        <f>'Resultater - Vestdanmark'!D296</f>
        <v>Areal-øvrige</v>
      </c>
      <c r="E296" s="94" t="str">
        <f>'Resultater - Vestdanmark'!E296</f>
        <v>Hektar</v>
      </c>
      <c r="F296" s="94" t="str">
        <f>'Resultater - Vestdanmark'!F296</f>
        <v>CO2 - atmosfære</v>
      </c>
      <c r="G296" s="94" t="str">
        <f>'Resultater - Vestdanmark'!G296</f>
        <v>t CO2-ækvivalenter</v>
      </c>
      <c r="H296" s="254">
        <f>'Resultater - Vestdanmark'!H296+'Resultater - Østdanmark'!H296</f>
        <v>17276.729229188404</v>
      </c>
      <c r="I296" s="255">
        <f>'Resultater - Vestdanmark'!I296+'Resultater - Østdanmark'!I296</f>
        <v>20081.989295361804</v>
      </c>
      <c r="J296" s="256">
        <f>'Resultater - Vestdanmark'!J296+'Resultater - Østdanmark'!J296</f>
        <v>0</v>
      </c>
    </row>
    <row r="297" spans="1:10" x14ac:dyDescent="0.25">
      <c r="A297" s="94" t="str">
        <f>'Resultater - Vestdanmark'!A297</f>
        <v>Øvrig mark</v>
      </c>
      <c r="B297" s="94" t="str">
        <f>'Resultater - Vestdanmark'!B297</f>
        <v>Økologisk</v>
      </c>
      <c r="C297" s="94" t="str">
        <f>'Resultater - Vestdanmark'!C297</f>
        <v>OC6</v>
      </c>
      <c r="D297" s="94" t="str">
        <f>'Resultater - Vestdanmark'!D297</f>
        <v>Areal-øvrige</v>
      </c>
      <c r="E297" s="94" t="str">
        <f>'Resultater - Vestdanmark'!E297</f>
        <v>Hektar</v>
      </c>
      <c r="F297" s="94" t="str">
        <f>'Resultater - Vestdanmark'!F297</f>
        <v>Øvrige</v>
      </c>
      <c r="G297" s="94" t="str">
        <f>'Resultater - Vestdanmark'!G297</f>
        <v>Ton</v>
      </c>
      <c r="H297" s="254">
        <f>'Resultater - Vestdanmark'!H297+'Resultater - Østdanmark'!H297</f>
        <v>4321.1212221563428</v>
      </c>
      <c r="I297" s="255">
        <f>'Resultater - Vestdanmark'!I297+'Resultater - Østdanmark'!I297</f>
        <v>3935.4281262744676</v>
      </c>
      <c r="J297" s="256">
        <f>'Resultater - Vestdanmark'!J297+'Resultater - Østdanmark'!J297</f>
        <v>579.8239604429773</v>
      </c>
    </row>
    <row r="298" spans="1:10" x14ac:dyDescent="0.25">
      <c r="A298" s="94" t="str">
        <f>'Resultater - Vestdanmark'!A298</f>
        <v>Øvrig mark</v>
      </c>
      <c r="B298" s="94" t="str">
        <f>'Resultater - Vestdanmark'!B298</f>
        <v>Økologisk</v>
      </c>
      <c r="C298" s="94" t="str">
        <f>'Resultater - Vestdanmark'!C298</f>
        <v>OC6</v>
      </c>
      <c r="D298" s="94" t="str">
        <f>'Resultater - Vestdanmark'!D298</f>
        <v>Areal-øvrige</v>
      </c>
      <c r="E298" s="94" t="str">
        <f>'Resultater - Vestdanmark'!E298</f>
        <v>Hektar</v>
      </c>
      <c r="F298" s="94" t="str">
        <f>'Resultater - Vestdanmark'!F298</f>
        <v>Gødning</v>
      </c>
      <c r="G298" s="94" t="str">
        <f>'Resultater - Vestdanmark'!G298</f>
        <v>kg N</v>
      </c>
      <c r="H298" s="254">
        <f>'Resultater - Vestdanmark'!H298+'Resultater - Østdanmark'!H298</f>
        <v>-15106.646777302138</v>
      </c>
      <c r="I298" s="255">
        <f>'Resultater - Vestdanmark'!I298+'Resultater - Østdanmark'!I298</f>
        <v>-13758.263090666276</v>
      </c>
      <c r="J298" s="256">
        <f>'Resultater - Vestdanmark'!J298+'Resultater - Østdanmark'!J298</f>
        <v>-2027.0655029338463</v>
      </c>
    </row>
    <row r="299" spans="1:10" x14ac:dyDescent="0.25">
      <c r="A299" s="94" t="str">
        <f>'Resultater - Vestdanmark'!A299</f>
        <v>Øvrig mark</v>
      </c>
      <c r="B299" s="94" t="str">
        <f>'Resultater - Vestdanmark'!B299</f>
        <v>Økologisk</v>
      </c>
      <c r="C299" s="94" t="str">
        <f>'Resultater - Vestdanmark'!C299</f>
        <v>OC6</v>
      </c>
      <c r="D299" s="94" t="str">
        <f>'Resultater - Vestdanmark'!D299</f>
        <v>Areal-øvrige</v>
      </c>
      <c r="E299" s="94" t="str">
        <f>'Resultater - Vestdanmark'!E299</f>
        <v>Hektar</v>
      </c>
      <c r="F299" s="94" t="str">
        <f>'Resultater - Vestdanmark'!F299</f>
        <v>CO2 - atmosfære</v>
      </c>
      <c r="G299" s="94" t="str">
        <f>'Resultater - Vestdanmark'!G299</f>
        <v>t CO2-ækvivalenter</v>
      </c>
      <c r="H299" s="254">
        <f>'Resultater - Vestdanmark'!H299+'Resultater - Østdanmark'!H299</f>
        <v>3390.6088165638589</v>
      </c>
      <c r="I299" s="255">
        <f>'Resultater - Vestdanmark'!I299+'Resultater - Østdanmark'!I299</f>
        <v>3087.971064889698</v>
      </c>
      <c r="J299" s="256">
        <f>'Resultater - Vestdanmark'!J299+'Resultater - Østdanmark'!J299</f>
        <v>454.96437874794765</v>
      </c>
    </row>
    <row r="300" spans="1:10" x14ac:dyDescent="0.25">
      <c r="A300" s="94" t="str">
        <f>'Resultater - Vestdanmark'!A300</f>
        <v>Øvrig mark</v>
      </c>
      <c r="B300" s="94" t="str">
        <f>'Resultater - Vestdanmark'!B300</f>
        <v>Økologisk</v>
      </c>
      <c r="C300" s="94" t="str">
        <f>'Resultater - Vestdanmark'!C300</f>
        <v>OC12</v>
      </c>
      <c r="D300" s="94" t="str">
        <f>'Resultater - Vestdanmark'!D300</f>
        <v>Areal-øvrige</v>
      </c>
      <c r="E300" s="94" t="str">
        <f>'Resultater - Vestdanmark'!E300</f>
        <v>Hektar</v>
      </c>
      <c r="F300" s="94" t="str">
        <f>'Resultater - Vestdanmark'!F300</f>
        <v>Øvrige</v>
      </c>
      <c r="G300" s="94" t="str">
        <f>'Resultater - Vestdanmark'!G300</f>
        <v>Ton</v>
      </c>
      <c r="H300" s="254">
        <f>'Resultater - Vestdanmark'!H300+'Resultater - Østdanmark'!H300</f>
        <v>2900.4799759551861</v>
      </c>
      <c r="I300" s="255">
        <f>'Resultater - Vestdanmark'!I300+'Resultater - Østdanmark'!I300</f>
        <v>2574.612718733184</v>
      </c>
      <c r="J300" s="256">
        <f>'Resultater - Vestdanmark'!J300+'Resultater - Østdanmark'!J300</f>
        <v>0</v>
      </c>
    </row>
    <row r="301" spans="1:10" x14ac:dyDescent="0.25">
      <c r="A301" s="94" t="str">
        <f>'Resultater - Vestdanmark'!A301</f>
        <v>Øvrig mark</v>
      </c>
      <c r="B301" s="94" t="str">
        <f>'Resultater - Vestdanmark'!B301</f>
        <v>Økologisk</v>
      </c>
      <c r="C301" s="94" t="str">
        <f>'Resultater - Vestdanmark'!C301</f>
        <v>OC12</v>
      </c>
      <c r="D301" s="94" t="str">
        <f>'Resultater - Vestdanmark'!D301</f>
        <v>Areal-øvrige</v>
      </c>
      <c r="E301" s="94" t="str">
        <f>'Resultater - Vestdanmark'!E301</f>
        <v>Hektar</v>
      </c>
      <c r="F301" s="94" t="str">
        <f>'Resultater - Vestdanmark'!F301</f>
        <v>Gødning</v>
      </c>
      <c r="G301" s="94" t="str">
        <f>'Resultater - Vestdanmark'!G301</f>
        <v>kg N</v>
      </c>
      <c r="H301" s="254">
        <f>'Resultater - Vestdanmark'!H301+'Resultater - Østdanmark'!H301</f>
        <v>-7503.6611863552844</v>
      </c>
      <c r="I301" s="255">
        <f>'Resultater - Vestdanmark'!I301+'Resultater - Østdanmark'!I301</f>
        <v>-6660.6291674510539</v>
      </c>
      <c r="J301" s="256">
        <f>'Resultater - Vestdanmark'!J301+'Resultater - Østdanmark'!J301</f>
        <v>0</v>
      </c>
    </row>
    <row r="302" spans="1:10" x14ac:dyDescent="0.25">
      <c r="A302" s="94" t="str">
        <f>'Resultater - Vestdanmark'!A302</f>
        <v>Øvrig mark</v>
      </c>
      <c r="B302" s="94" t="str">
        <f>'Resultater - Vestdanmark'!B302</f>
        <v>Økologisk</v>
      </c>
      <c r="C302" s="94" t="str">
        <f>'Resultater - Vestdanmark'!C302</f>
        <v>OC12</v>
      </c>
      <c r="D302" s="94" t="str">
        <f>'Resultater - Vestdanmark'!D302</f>
        <v>Areal-øvrige</v>
      </c>
      <c r="E302" s="94" t="str">
        <f>'Resultater - Vestdanmark'!E302</f>
        <v>Hektar</v>
      </c>
      <c r="F302" s="94" t="str">
        <f>'Resultater - Vestdanmark'!F302</f>
        <v>CO2 - atmosfære</v>
      </c>
      <c r="G302" s="94" t="str">
        <f>'Resultater - Vestdanmark'!G302</f>
        <v>t CO2-ækvivalenter</v>
      </c>
      <c r="H302" s="254">
        <f>'Resultater - Vestdanmark'!H302+'Resultater - Østdanmark'!H302</f>
        <v>4995.5316324451924</v>
      </c>
      <c r="I302" s="255">
        <f>'Resultater - Vestdanmark'!I302+'Resultater - Østdanmark'!I302</f>
        <v>4434.2865264883512</v>
      </c>
      <c r="J302" s="256">
        <f>'Resultater - Vestdanmark'!J302+'Resultater - Østdanmark'!J302</f>
        <v>0</v>
      </c>
    </row>
    <row r="303" spans="1:10" x14ac:dyDescent="0.25">
      <c r="A303" s="94" t="str">
        <f>'Resultater - Vestdanmark'!A303</f>
        <v>Majsmark</v>
      </c>
      <c r="B303" s="94" t="str">
        <f>'Resultater - Vestdanmark'!B303</f>
        <v>Konventionel</v>
      </c>
      <c r="C303" s="94" t="str">
        <f>'Resultater - Vestdanmark'!C303</f>
        <v>JB1-10</v>
      </c>
      <c r="D303" s="94" t="str">
        <f>'Resultater - Vestdanmark'!D303</f>
        <v>Areal-majs</v>
      </c>
      <c r="E303" s="94" t="str">
        <f>'Resultater - Vestdanmark'!E303</f>
        <v>Hektar</v>
      </c>
      <c r="F303" s="94" t="str">
        <f>'Resultater - Vestdanmark'!F303</f>
        <v>Majs</v>
      </c>
      <c r="G303" s="94" t="str">
        <f>'Resultater - Vestdanmark'!G303</f>
        <v>Ton</v>
      </c>
      <c r="H303" s="254">
        <f>'Resultater - Vestdanmark'!H303+'Resultater - Østdanmark'!H303</f>
        <v>6824552.1371091604</v>
      </c>
      <c r="I303" s="255">
        <f>'Resultater - Vestdanmark'!I303+'Resultater - Østdanmark'!I303</f>
        <v>5033296.0665565804</v>
      </c>
      <c r="J303" s="256">
        <f>'Resultater - Vestdanmark'!J303+'Resultater - Østdanmark'!J303</f>
        <v>0</v>
      </c>
    </row>
    <row r="304" spans="1:10" x14ac:dyDescent="0.25">
      <c r="A304" s="94" t="str">
        <f>'Resultater - Vestdanmark'!A304</f>
        <v>Majsmark</v>
      </c>
      <c r="B304" s="94" t="str">
        <f>'Resultater - Vestdanmark'!B304</f>
        <v>Konventionel</v>
      </c>
      <c r="C304" s="94" t="str">
        <f>'Resultater - Vestdanmark'!C304</f>
        <v>JB1-10</v>
      </c>
      <c r="D304" s="94" t="str">
        <f>'Resultater - Vestdanmark'!D304</f>
        <v>Areal-majs</v>
      </c>
      <c r="E304" s="94" t="str">
        <f>'Resultater - Vestdanmark'!E304</f>
        <v>Hektar</v>
      </c>
      <c r="F304" s="94" t="str">
        <f>'Resultater - Vestdanmark'!F304</f>
        <v>Gødning</v>
      </c>
      <c r="G304" s="94" t="str">
        <f>'Resultater - Vestdanmark'!G304</f>
        <v>kg N</v>
      </c>
      <c r="H304" s="254">
        <f>'Resultater - Vestdanmark'!H304+'Resultater - Østdanmark'!H304</f>
        <v>-24532202.694618411</v>
      </c>
      <c r="I304" s="255">
        <f>'Resultater - Vestdanmark'!I304+'Resultater - Østdanmark'!I304</f>
        <v>-18093178.40146153</v>
      </c>
      <c r="J304" s="256">
        <f>'Resultater - Vestdanmark'!J304+'Resultater - Østdanmark'!J304</f>
        <v>0</v>
      </c>
    </row>
    <row r="305" spans="1:10" x14ac:dyDescent="0.25">
      <c r="A305" s="94" t="str">
        <f>'Resultater - Vestdanmark'!A305</f>
        <v>Majsmark</v>
      </c>
      <c r="B305" s="94" t="str">
        <f>'Resultater - Vestdanmark'!B305</f>
        <v>Konventionel</v>
      </c>
      <c r="C305" s="94" t="str">
        <f>'Resultater - Vestdanmark'!C305</f>
        <v>JB1-10</v>
      </c>
      <c r="D305" s="94" t="str">
        <f>'Resultater - Vestdanmark'!D305</f>
        <v>Areal-majs</v>
      </c>
      <c r="E305" s="94" t="str">
        <f>'Resultater - Vestdanmark'!E305</f>
        <v>Hektar</v>
      </c>
      <c r="F305" s="94" t="str">
        <f>'Resultater - Vestdanmark'!F305</f>
        <v>CO2 - atmosfære</v>
      </c>
      <c r="G305" s="94" t="str">
        <f>'Resultater - Vestdanmark'!G305</f>
        <v>t CO2-ækvivalenter</v>
      </c>
      <c r="H305" s="254">
        <f>'Resultater - Vestdanmark'!H305+'Resultater - Østdanmark'!H305</f>
        <v>348617.06930478453</v>
      </c>
      <c r="I305" s="255">
        <f>'Resultater - Vestdanmark'!I305+'Resultater - Østdanmark'!I305</f>
        <v>257114.73638320417</v>
      </c>
      <c r="J305" s="256">
        <f>'Resultater - Vestdanmark'!J305+'Resultater - Østdanmark'!J305</f>
        <v>0</v>
      </c>
    </row>
    <row r="306" spans="1:10" x14ac:dyDescent="0.25">
      <c r="A306" s="94" t="str">
        <f>'Resultater - Vestdanmark'!A306</f>
        <v>Majsmark</v>
      </c>
      <c r="B306" s="94" t="str">
        <f>'Resultater - Vestdanmark'!B306</f>
        <v>Konventionel</v>
      </c>
      <c r="C306" s="94" t="str">
        <f>'Resultater - Vestdanmark'!C306</f>
        <v>OC6</v>
      </c>
      <c r="D306" s="94" t="str">
        <f>'Resultater - Vestdanmark'!D306</f>
        <v>Areal-majs</v>
      </c>
      <c r="E306" s="94" t="str">
        <f>'Resultater - Vestdanmark'!E306</f>
        <v>Hektar</v>
      </c>
      <c r="F306" s="94" t="str">
        <f>'Resultater - Vestdanmark'!F306</f>
        <v>Majs</v>
      </c>
      <c r="G306" s="94" t="str">
        <f>'Resultater - Vestdanmark'!G306</f>
        <v>Ton</v>
      </c>
      <c r="H306" s="254">
        <f>'Resultater - Vestdanmark'!H306+'Resultater - Østdanmark'!H306</f>
        <v>263505.94367690803</v>
      </c>
      <c r="I306" s="255">
        <f>'Resultater - Vestdanmark'!I306+'Resultater - Østdanmark'!I306</f>
        <v>196176.04937543895</v>
      </c>
      <c r="J306" s="256">
        <f>'Resultater - Vestdanmark'!J306+'Resultater - Østdanmark'!J306</f>
        <v>21308.948927898775</v>
      </c>
    </row>
    <row r="307" spans="1:10" x14ac:dyDescent="0.25">
      <c r="A307" s="94" t="str">
        <f>'Resultater - Vestdanmark'!A307</f>
        <v>Majsmark</v>
      </c>
      <c r="B307" s="94" t="str">
        <f>'Resultater - Vestdanmark'!B307</f>
        <v>Konventionel</v>
      </c>
      <c r="C307" s="94" t="str">
        <f>'Resultater - Vestdanmark'!C307</f>
        <v>OC6</v>
      </c>
      <c r="D307" s="94" t="str">
        <f>'Resultater - Vestdanmark'!D307</f>
        <v>Areal-majs</v>
      </c>
      <c r="E307" s="94" t="str">
        <f>'Resultater - Vestdanmark'!E307</f>
        <v>Hektar</v>
      </c>
      <c r="F307" s="94" t="str">
        <f>'Resultater - Vestdanmark'!F307</f>
        <v>Gødning</v>
      </c>
      <c r="G307" s="94" t="str">
        <f>'Resultater - Vestdanmark'!G307</f>
        <v>kg N</v>
      </c>
      <c r="H307" s="254">
        <f>'Resultater - Vestdanmark'!H307+'Resultater - Østdanmark'!H307</f>
        <v>-641349.74683588033</v>
      </c>
      <c r="I307" s="255">
        <f>'Resultater - Vestdanmark'!I307+'Resultater - Østdanmark'!I307</f>
        <v>-477474.84495632187</v>
      </c>
      <c r="J307" s="256">
        <f>'Resultater - Vestdanmark'!J307+'Resultater - Østdanmark'!J307</f>
        <v>-51864.063518064118</v>
      </c>
    </row>
    <row r="308" spans="1:10" x14ac:dyDescent="0.25">
      <c r="A308" s="94" t="str">
        <f>'Resultater - Vestdanmark'!A308</f>
        <v>Majsmark</v>
      </c>
      <c r="B308" s="94" t="str">
        <f>'Resultater - Vestdanmark'!B308</f>
        <v>Konventionel</v>
      </c>
      <c r="C308" s="94" t="str">
        <f>'Resultater - Vestdanmark'!C308</f>
        <v>OC6</v>
      </c>
      <c r="D308" s="94" t="str">
        <f>'Resultater - Vestdanmark'!D308</f>
        <v>Areal-majs</v>
      </c>
      <c r="E308" s="94" t="str">
        <f>'Resultater - Vestdanmark'!E308</f>
        <v>Hektar</v>
      </c>
      <c r="F308" s="94" t="str">
        <f>'Resultater - Vestdanmark'!F308</f>
        <v>CO2 - atmosfære</v>
      </c>
      <c r="G308" s="94" t="str">
        <f>'Resultater - Vestdanmark'!G308</f>
        <v>t CO2-ækvivalenter</v>
      </c>
      <c r="H308" s="254">
        <f>'Resultater - Vestdanmark'!H308+'Resultater - Østdanmark'!H308</f>
        <v>78894.37795433517</v>
      </c>
      <c r="I308" s="255">
        <f>'Resultater - Vestdanmark'!I308+'Resultater - Østdanmark'!I308</f>
        <v>58735.629143876962</v>
      </c>
      <c r="J308" s="256">
        <f>'Resultater - Vestdanmark'!J308+'Resultater - Østdanmark'!J308</f>
        <v>6379.9557879748772</v>
      </c>
    </row>
    <row r="309" spans="1:10" x14ac:dyDescent="0.25">
      <c r="A309" s="94" t="str">
        <f>'Resultater - Vestdanmark'!A309</f>
        <v>Majsmark</v>
      </c>
      <c r="B309" s="94" t="str">
        <f>'Resultater - Vestdanmark'!B309</f>
        <v>Konventionel</v>
      </c>
      <c r="C309" s="94" t="str">
        <f>'Resultater - Vestdanmark'!C309</f>
        <v>OC12</v>
      </c>
      <c r="D309" s="94" t="str">
        <f>'Resultater - Vestdanmark'!D309</f>
        <v>Areal-majs</v>
      </c>
      <c r="E309" s="94" t="str">
        <f>'Resultater - Vestdanmark'!E309</f>
        <v>Hektar</v>
      </c>
      <c r="F309" s="94" t="str">
        <f>'Resultater - Vestdanmark'!F309</f>
        <v>Majs</v>
      </c>
      <c r="G309" s="94" t="str">
        <f>'Resultater - Vestdanmark'!G309</f>
        <v>Ton</v>
      </c>
      <c r="H309" s="254">
        <f>'Resultater - Vestdanmark'!H309+'Resultater - Østdanmark'!H309</f>
        <v>104547.38485235954</v>
      </c>
      <c r="I309" s="255">
        <f>'Resultater - Vestdanmark'!I309+'Resultater - Østdanmark'!I309</f>
        <v>75607.510992914336</v>
      </c>
      <c r="J309" s="256">
        <f>'Resultater - Vestdanmark'!J309+'Resultater - Østdanmark'!J309</f>
        <v>0</v>
      </c>
    </row>
    <row r="310" spans="1:10" x14ac:dyDescent="0.25">
      <c r="A310" s="94" t="str">
        <f>'Resultater - Vestdanmark'!A310</f>
        <v>Majsmark</v>
      </c>
      <c r="B310" s="94" t="str">
        <f>'Resultater - Vestdanmark'!B310</f>
        <v>Konventionel</v>
      </c>
      <c r="C310" s="94" t="str">
        <f>'Resultater - Vestdanmark'!C310</f>
        <v>OC12</v>
      </c>
      <c r="D310" s="94" t="str">
        <f>'Resultater - Vestdanmark'!D310</f>
        <v>Areal-majs</v>
      </c>
      <c r="E310" s="94" t="str">
        <f>'Resultater - Vestdanmark'!E310</f>
        <v>Hektar</v>
      </c>
      <c r="F310" s="94" t="str">
        <f>'Resultater - Vestdanmark'!F310</f>
        <v>Gødning</v>
      </c>
      <c r="G310" s="94" t="str">
        <f>'Resultater - Vestdanmark'!G310</f>
        <v>kg N</v>
      </c>
      <c r="H310" s="254">
        <f>'Resultater - Vestdanmark'!H310+'Resultater - Østdanmark'!H310</f>
        <v>-167775.11450454078</v>
      </c>
      <c r="I310" s="255">
        <f>'Resultater - Vestdanmark'!I310+'Resultater - Østdanmark'!I310</f>
        <v>-121333.10490887173</v>
      </c>
      <c r="J310" s="256">
        <f>'Resultater - Vestdanmark'!J310+'Resultater - Østdanmark'!J310</f>
        <v>0</v>
      </c>
    </row>
    <row r="311" spans="1:10" x14ac:dyDescent="0.25">
      <c r="A311" s="94" t="str">
        <f>'Resultater - Vestdanmark'!A311</f>
        <v>Majsmark</v>
      </c>
      <c r="B311" s="94" t="str">
        <f>'Resultater - Vestdanmark'!B311</f>
        <v>Konventionel</v>
      </c>
      <c r="C311" s="94" t="str">
        <f>'Resultater - Vestdanmark'!C311</f>
        <v>OC12</v>
      </c>
      <c r="D311" s="94" t="str">
        <f>'Resultater - Vestdanmark'!D311</f>
        <v>Areal-majs</v>
      </c>
      <c r="E311" s="94" t="str">
        <f>'Resultater - Vestdanmark'!E311</f>
        <v>Hektar</v>
      </c>
      <c r="F311" s="94" t="str">
        <f>'Resultater - Vestdanmark'!F311</f>
        <v>CO2 - atmosfære</v>
      </c>
      <c r="G311" s="94" t="str">
        <f>'Resultater - Vestdanmark'!G311</f>
        <v>t CO2-ækvivalenter</v>
      </c>
      <c r="H311" s="254">
        <f>'Resultater - Vestdanmark'!H311+'Resultater - Østdanmark'!H311</f>
        <v>68706.752116598291</v>
      </c>
      <c r="I311" s="255">
        <f>'Resultater - Vestdanmark'!I311+'Resultater - Østdanmark'!I311</f>
        <v>49687.962288861643</v>
      </c>
      <c r="J311" s="256">
        <f>'Resultater - Vestdanmark'!J311+'Resultater - Østdanmark'!J311</f>
        <v>0</v>
      </c>
    </row>
    <row r="312" spans="1:10" x14ac:dyDescent="0.25">
      <c r="A312" s="94" t="str">
        <f>'Resultater - Vestdanmark'!A312</f>
        <v>Majsmark</v>
      </c>
      <c r="B312" s="94" t="str">
        <f>'Resultater - Vestdanmark'!B312</f>
        <v>Økologisk</v>
      </c>
      <c r="C312" s="94" t="str">
        <f>'Resultater - Vestdanmark'!C312</f>
        <v>JB1-10</v>
      </c>
      <c r="D312" s="94" t="str">
        <f>'Resultater - Vestdanmark'!D312</f>
        <v>Areal-majs</v>
      </c>
      <c r="E312" s="94" t="str">
        <f>'Resultater - Vestdanmark'!E312</f>
        <v>Hektar</v>
      </c>
      <c r="F312" s="94" t="str">
        <f>'Resultater - Vestdanmark'!F312</f>
        <v>Majs</v>
      </c>
      <c r="G312" s="94" t="str">
        <f>'Resultater - Vestdanmark'!G312</f>
        <v>Ton</v>
      </c>
      <c r="H312" s="254">
        <f>'Resultater - Vestdanmark'!H312+'Resultater - Østdanmark'!H312</f>
        <v>724255.98356433213</v>
      </c>
      <c r="I312" s="255">
        <f>'Resultater - Vestdanmark'!I312+'Resultater - Østdanmark'!I312</f>
        <v>653320.88367454254</v>
      </c>
      <c r="J312" s="256">
        <f>'Resultater - Vestdanmark'!J312+'Resultater - Østdanmark'!J312</f>
        <v>0</v>
      </c>
    </row>
    <row r="313" spans="1:10" x14ac:dyDescent="0.25">
      <c r="A313" s="94" t="str">
        <f>'Resultater - Vestdanmark'!A313</f>
        <v>Majsmark</v>
      </c>
      <c r="B313" s="94" t="str">
        <f>'Resultater - Vestdanmark'!B313</f>
        <v>Økologisk</v>
      </c>
      <c r="C313" s="94" t="str">
        <f>'Resultater - Vestdanmark'!C313</f>
        <v>JB1-10</v>
      </c>
      <c r="D313" s="94" t="str">
        <f>'Resultater - Vestdanmark'!D313</f>
        <v>Areal-majs</v>
      </c>
      <c r="E313" s="94" t="str">
        <f>'Resultater - Vestdanmark'!E313</f>
        <v>Hektar</v>
      </c>
      <c r="F313" s="94" t="str">
        <f>'Resultater - Vestdanmark'!F313</f>
        <v>Gødning</v>
      </c>
      <c r="G313" s="94" t="str">
        <f>'Resultater - Vestdanmark'!G313</f>
        <v>kg N</v>
      </c>
      <c r="H313" s="254">
        <f>'Resultater - Vestdanmark'!H313+'Resultater - Østdanmark'!H313</f>
        <v>-2603481.405758102</v>
      </c>
      <c r="I313" s="255">
        <f>'Resultater - Vestdanmark'!I313+'Resultater - Østdanmark'!I313</f>
        <v>-2348491.1567721139</v>
      </c>
      <c r="J313" s="256">
        <f>'Resultater - Vestdanmark'!J313+'Resultater - Østdanmark'!J313</f>
        <v>0</v>
      </c>
    </row>
    <row r="314" spans="1:10" x14ac:dyDescent="0.25">
      <c r="A314" s="94" t="str">
        <f>'Resultater - Vestdanmark'!A314</f>
        <v>Majsmark</v>
      </c>
      <c r="B314" s="94" t="str">
        <f>'Resultater - Vestdanmark'!B314</f>
        <v>Økologisk</v>
      </c>
      <c r="C314" s="94" t="str">
        <f>'Resultater - Vestdanmark'!C314</f>
        <v>JB1-10</v>
      </c>
      <c r="D314" s="94" t="str">
        <f>'Resultater - Vestdanmark'!D314</f>
        <v>Areal-majs</v>
      </c>
      <c r="E314" s="94" t="str">
        <f>'Resultater - Vestdanmark'!E314</f>
        <v>Hektar</v>
      </c>
      <c r="F314" s="94" t="str">
        <f>'Resultater - Vestdanmark'!F314</f>
        <v>CO2 - atmosfære</v>
      </c>
      <c r="G314" s="94" t="str">
        <f>'Resultater - Vestdanmark'!G314</f>
        <v>t CO2-ækvivalenter</v>
      </c>
      <c r="H314" s="254">
        <f>'Resultater - Vestdanmark'!H314+'Resultater - Østdanmark'!H314</f>
        <v>44574.706386485894</v>
      </c>
      <c r="I314" s="255">
        <f>'Resultater - Vestdanmark'!I314+'Resultater - Østdanmark'!I314</f>
        <v>40208.969241281404</v>
      </c>
      <c r="J314" s="256">
        <f>'Resultater - Vestdanmark'!J314+'Resultater - Østdanmark'!J314</f>
        <v>0</v>
      </c>
    </row>
    <row r="315" spans="1:10" x14ac:dyDescent="0.25">
      <c r="A315" s="94" t="str">
        <f>'Resultater - Vestdanmark'!A315</f>
        <v>Majsmark</v>
      </c>
      <c r="B315" s="94" t="str">
        <f>'Resultater - Vestdanmark'!B315</f>
        <v>Økologisk</v>
      </c>
      <c r="C315" s="94" t="str">
        <f>'Resultater - Vestdanmark'!C315</f>
        <v>OC6</v>
      </c>
      <c r="D315" s="94" t="str">
        <f>'Resultater - Vestdanmark'!D315</f>
        <v>Areal-majs</v>
      </c>
      <c r="E315" s="94" t="str">
        <f>'Resultater - Vestdanmark'!E315</f>
        <v>Hektar</v>
      </c>
      <c r="F315" s="94" t="str">
        <f>'Resultater - Vestdanmark'!F315</f>
        <v>Majs</v>
      </c>
      <c r="G315" s="94" t="str">
        <f>'Resultater - Vestdanmark'!G315</f>
        <v>Ton</v>
      </c>
      <c r="H315" s="254">
        <f>'Resultater - Vestdanmark'!H315+'Resultater - Østdanmark'!H315</f>
        <v>27964.583254485577</v>
      </c>
      <c r="I315" s="255">
        <f>'Resultater - Vestdanmark'!I315+'Resultater - Østdanmark'!I315</f>
        <v>25463.61434713384</v>
      </c>
      <c r="J315" s="256">
        <f>'Resultater - Vestdanmark'!J315+'Resultater - Østdanmark'!J315</f>
        <v>3751.6664627603595</v>
      </c>
    </row>
    <row r="316" spans="1:10" x14ac:dyDescent="0.25">
      <c r="A316" s="94" t="str">
        <f>'Resultater - Vestdanmark'!A316</f>
        <v>Majsmark</v>
      </c>
      <c r="B316" s="94" t="str">
        <f>'Resultater - Vestdanmark'!B316</f>
        <v>Økologisk</v>
      </c>
      <c r="C316" s="94" t="str">
        <f>'Resultater - Vestdanmark'!C316</f>
        <v>OC6</v>
      </c>
      <c r="D316" s="94" t="str">
        <f>'Resultater - Vestdanmark'!D316</f>
        <v>Areal-majs</v>
      </c>
      <c r="E316" s="94" t="str">
        <f>'Resultater - Vestdanmark'!E316</f>
        <v>Hektar</v>
      </c>
      <c r="F316" s="94" t="str">
        <f>'Resultater - Vestdanmark'!F316</f>
        <v>Gødning</v>
      </c>
      <c r="G316" s="94" t="str">
        <f>'Resultater - Vestdanmark'!G316</f>
        <v>kg N</v>
      </c>
      <c r="H316" s="254">
        <f>'Resultater - Vestdanmark'!H316+'Resultater - Østdanmark'!H316</f>
        <v>-68063.278347246393</v>
      </c>
      <c r="I316" s="255">
        <f>'Resultater - Vestdanmark'!I316+'Resultater - Østdanmark'!I316</f>
        <v>-61976.145157032108</v>
      </c>
      <c r="J316" s="256">
        <f>'Resultater - Vestdanmark'!J316+'Resultater - Østdanmark'!J316</f>
        <v>-9131.2184557561341</v>
      </c>
    </row>
    <row r="317" spans="1:10" x14ac:dyDescent="0.25">
      <c r="A317" s="94" t="str">
        <f>'Resultater - Vestdanmark'!A317</f>
        <v>Majsmark</v>
      </c>
      <c r="B317" s="94" t="str">
        <f>'Resultater - Vestdanmark'!B317</f>
        <v>Økologisk</v>
      </c>
      <c r="C317" s="94" t="str">
        <f>'Resultater - Vestdanmark'!C317</f>
        <v>OC6</v>
      </c>
      <c r="D317" s="94" t="str">
        <f>'Resultater - Vestdanmark'!D317</f>
        <v>Areal-majs</v>
      </c>
      <c r="E317" s="94" t="str">
        <f>'Resultater - Vestdanmark'!E317</f>
        <v>Hektar</v>
      </c>
      <c r="F317" s="94" t="str">
        <f>'Resultater - Vestdanmark'!F317</f>
        <v>CO2 - atmosfære</v>
      </c>
      <c r="G317" s="94" t="str">
        <f>'Resultater - Vestdanmark'!G317</f>
        <v>t CO2-ækvivalenter</v>
      </c>
      <c r="H317" s="254">
        <f>'Resultater - Vestdanmark'!H317+'Resultater - Østdanmark'!H317</f>
        <v>10087.55463371877</v>
      </c>
      <c r="I317" s="255">
        <f>'Resultater - Vestdanmark'!I317+'Resultater - Østdanmark'!I317</f>
        <v>9185.3899112712861</v>
      </c>
      <c r="J317" s="256">
        <f>'Resultater - Vestdanmark'!J317+'Resultater - Østdanmark'!J317</f>
        <v>1353.3239550249739</v>
      </c>
    </row>
    <row r="318" spans="1:10" x14ac:dyDescent="0.25">
      <c r="A318" s="94" t="str">
        <f>'Resultater - Vestdanmark'!A318</f>
        <v>Majsmark</v>
      </c>
      <c r="B318" s="94" t="str">
        <f>'Resultater - Vestdanmark'!B318</f>
        <v>Økologisk</v>
      </c>
      <c r="C318" s="94" t="str">
        <f>'Resultater - Vestdanmark'!C318</f>
        <v>OC12</v>
      </c>
      <c r="D318" s="94" t="str">
        <f>'Resultater - Vestdanmark'!D318</f>
        <v>Areal-majs</v>
      </c>
      <c r="E318" s="94" t="str">
        <f>'Resultater - Vestdanmark'!E318</f>
        <v>Hektar</v>
      </c>
      <c r="F318" s="94" t="str">
        <f>'Resultater - Vestdanmark'!F318</f>
        <v>Majs</v>
      </c>
      <c r="G318" s="94" t="str">
        <f>'Resultater - Vestdanmark'!G318</f>
        <v>Ton</v>
      </c>
      <c r="H318" s="254">
        <f>'Resultater - Vestdanmark'!H318+'Resultater - Østdanmark'!H318</f>
        <v>11095.097161555068</v>
      </c>
      <c r="I318" s="255">
        <f>'Resultater - Vestdanmark'!I318+'Resultater - Østdanmark'!I318</f>
        <v>9813.8407201062328</v>
      </c>
      <c r="J318" s="256">
        <f>'Resultater - Vestdanmark'!J318+'Resultater - Østdanmark'!J318</f>
        <v>0</v>
      </c>
    </row>
    <row r="319" spans="1:10" x14ac:dyDescent="0.25">
      <c r="A319" s="94" t="str">
        <f>'Resultater - Vestdanmark'!A319</f>
        <v>Majsmark</v>
      </c>
      <c r="B319" s="94" t="str">
        <f>'Resultater - Vestdanmark'!B319</f>
        <v>Økologisk</v>
      </c>
      <c r="C319" s="94" t="str">
        <f>'Resultater - Vestdanmark'!C319</f>
        <v>OC12</v>
      </c>
      <c r="D319" s="94" t="str">
        <f>'Resultater - Vestdanmark'!D319</f>
        <v>Areal-majs</v>
      </c>
      <c r="E319" s="94" t="str">
        <f>'Resultater - Vestdanmark'!E319</f>
        <v>Hektar</v>
      </c>
      <c r="F319" s="94" t="str">
        <f>'Resultater - Vestdanmark'!F319</f>
        <v>Gødning</v>
      </c>
      <c r="G319" s="94" t="str">
        <f>'Resultater - Vestdanmark'!G319</f>
        <v>kg N</v>
      </c>
      <c r="H319" s="254">
        <f>'Resultater - Vestdanmark'!H319+'Resultater - Østdanmark'!H319</f>
        <v>-17805.143565739752</v>
      </c>
      <c r="I319" s="255">
        <f>'Resultater - Vestdanmark'!I319+'Resultater - Østdanmark'!I319</f>
        <v>-15749.014218484181</v>
      </c>
      <c r="J319" s="256">
        <f>'Resultater - Vestdanmark'!J319+'Resultater - Østdanmark'!J319</f>
        <v>0</v>
      </c>
    </row>
    <row r="320" spans="1:10" x14ac:dyDescent="0.25">
      <c r="A320" s="94" t="str">
        <f>'Resultater - Vestdanmark'!A320</f>
        <v>Majsmark</v>
      </c>
      <c r="B320" s="94" t="str">
        <f>'Resultater - Vestdanmark'!B320</f>
        <v>Økologisk</v>
      </c>
      <c r="C320" s="94" t="str">
        <f>'Resultater - Vestdanmark'!C320</f>
        <v>OC12</v>
      </c>
      <c r="D320" s="94" t="str">
        <f>'Resultater - Vestdanmark'!D320</f>
        <v>Areal-majs</v>
      </c>
      <c r="E320" s="94" t="str">
        <f>'Resultater - Vestdanmark'!E320</f>
        <v>Hektar</v>
      </c>
      <c r="F320" s="94" t="str">
        <f>'Resultater - Vestdanmark'!F320</f>
        <v>CO2 - atmosfære</v>
      </c>
      <c r="G320" s="94" t="str">
        <f>'Resultater - Vestdanmark'!G320</f>
        <v>t CO2-ækvivalenter</v>
      </c>
      <c r="H320" s="254">
        <f>'Resultater - Vestdanmark'!H320+'Resultater - Østdanmark'!H320</f>
        <v>8784.9493671490909</v>
      </c>
      <c r="I320" s="255">
        <f>'Resultater - Vestdanmark'!I320+'Resultater - Østdanmark'!I320</f>
        <v>7770.4676730668307</v>
      </c>
      <c r="J320" s="256">
        <f>'Resultater - Vestdanmark'!J320+'Resultater - Østdanmark'!J320</f>
        <v>0</v>
      </c>
    </row>
    <row r="321" spans="1:10" x14ac:dyDescent="0.25">
      <c r="A321" s="94" t="str">
        <f>'Resultater - Vestdanmark'!A321</f>
        <v>Rapsmark</v>
      </c>
      <c r="B321" s="94" t="str">
        <f>'Resultater - Vestdanmark'!B321</f>
        <v>Konventionel</v>
      </c>
      <c r="C321" s="94" t="str">
        <f>'Resultater - Vestdanmark'!C321</f>
        <v>JB1-10</v>
      </c>
      <c r="D321" s="94" t="str">
        <f>'Resultater - Vestdanmark'!D321</f>
        <v>Areal-raps</v>
      </c>
      <c r="E321" s="94" t="str">
        <f>'Resultater - Vestdanmark'!E321</f>
        <v>Hektar</v>
      </c>
      <c r="F321" s="94" t="str">
        <f>'Resultater - Vestdanmark'!F321</f>
        <v>Raps</v>
      </c>
      <c r="G321" s="94" t="str">
        <f>'Resultater - Vestdanmark'!G321</f>
        <v>Ton</v>
      </c>
      <c r="H321" s="254">
        <f>'Resultater - Vestdanmark'!H321+'Resultater - Østdanmark'!H321</f>
        <v>613620.0150142312</v>
      </c>
      <c r="I321" s="255">
        <f>'Resultater - Vestdanmark'!I321+'Resultater - Østdanmark'!I321</f>
        <v>580457.08997230767</v>
      </c>
      <c r="J321" s="256">
        <f>'Resultater - Vestdanmark'!J321+'Resultater - Østdanmark'!J321</f>
        <v>1170640.1519999998</v>
      </c>
    </row>
    <row r="322" spans="1:10" x14ac:dyDescent="0.25">
      <c r="A322" s="94" t="str">
        <f>'Resultater - Vestdanmark'!A322</f>
        <v>Rapsmark</v>
      </c>
      <c r="B322" s="94" t="str">
        <f>'Resultater - Vestdanmark'!B322</f>
        <v>Konventionel</v>
      </c>
      <c r="C322" s="94" t="str">
        <f>'Resultater - Vestdanmark'!C322</f>
        <v>JB1-10</v>
      </c>
      <c r="D322" s="94" t="str">
        <f>'Resultater - Vestdanmark'!D322</f>
        <v>Areal-raps</v>
      </c>
      <c r="E322" s="94" t="str">
        <f>'Resultater - Vestdanmark'!E322</f>
        <v>Hektar</v>
      </c>
      <c r="F322" s="94" t="str">
        <f>'Resultater - Vestdanmark'!F322</f>
        <v>Halm</v>
      </c>
      <c r="G322" s="94" t="str">
        <f>'Resultater - Vestdanmark'!G322</f>
        <v>Ton</v>
      </c>
      <c r="H322" s="254">
        <f>'Resultater - Vestdanmark'!H322+'Resultater - Østdanmark'!H322</f>
        <v>327737.51811917598</v>
      </c>
      <c r="I322" s="255">
        <f>'Resultater - Vestdanmark'!I322+'Resultater - Østdanmark'!I322</f>
        <v>325852.79421378241</v>
      </c>
      <c r="J322" s="256">
        <f>'Resultater - Vestdanmark'!J322+'Resultater - Østdanmark'!J322</f>
        <v>714851.40881879965</v>
      </c>
    </row>
    <row r="323" spans="1:10" x14ac:dyDescent="0.25">
      <c r="A323" s="94" t="str">
        <f>'Resultater - Vestdanmark'!A323</f>
        <v>Rapsmark</v>
      </c>
      <c r="B323" s="94" t="str">
        <f>'Resultater - Vestdanmark'!B323</f>
        <v>Konventionel</v>
      </c>
      <c r="C323" s="94" t="str">
        <f>'Resultater - Vestdanmark'!C323</f>
        <v>JB1-10</v>
      </c>
      <c r="D323" s="94" t="str">
        <f>'Resultater - Vestdanmark'!D323</f>
        <v>Areal-raps</v>
      </c>
      <c r="E323" s="94" t="str">
        <f>'Resultater - Vestdanmark'!E323</f>
        <v>Hektar</v>
      </c>
      <c r="F323" s="94" t="str">
        <f>'Resultater - Vestdanmark'!F323</f>
        <v>Gødning</v>
      </c>
      <c r="G323" s="94" t="str">
        <f>'Resultater - Vestdanmark'!G323</f>
        <v>kg N</v>
      </c>
      <c r="H323" s="254">
        <f>'Resultater - Vestdanmark'!H323+'Resultater - Østdanmark'!H323</f>
        <v>-24405341.506247833</v>
      </c>
      <c r="I323" s="255">
        <f>'Resultater - Vestdanmark'!I323+'Resultater - Østdanmark'!I323</f>
        <v>-23086361.532989509</v>
      </c>
      <c r="J323" s="256">
        <f>'Resultater - Vestdanmark'!J323+'Resultater - Østdanmark'!J323</f>
        <v>-46559551.499999985</v>
      </c>
    </row>
    <row r="324" spans="1:10" x14ac:dyDescent="0.25">
      <c r="A324" s="94" t="str">
        <f>'Resultater - Vestdanmark'!A324</f>
        <v>Rapsmark</v>
      </c>
      <c r="B324" s="94" t="str">
        <f>'Resultater - Vestdanmark'!B324</f>
        <v>Konventionel</v>
      </c>
      <c r="C324" s="94" t="str">
        <f>'Resultater - Vestdanmark'!C324</f>
        <v>JB1-10</v>
      </c>
      <c r="D324" s="94" t="str">
        <f>'Resultater - Vestdanmark'!D324</f>
        <v>Areal-raps</v>
      </c>
      <c r="E324" s="94" t="str">
        <f>'Resultater - Vestdanmark'!E324</f>
        <v>Hektar</v>
      </c>
      <c r="F324" s="94" t="str">
        <f>'Resultater - Vestdanmark'!F324</f>
        <v>CO2 - atmosfære</v>
      </c>
      <c r="G324" s="94" t="str">
        <f>'Resultater - Vestdanmark'!G324</f>
        <v>t CO2-ækvivalenter</v>
      </c>
      <c r="H324" s="254">
        <f>'Resultater - Vestdanmark'!H324+'Resultater - Østdanmark'!H324</f>
        <v>317087.35725322756</v>
      </c>
      <c r="I324" s="255">
        <f>'Resultater - Vestdanmark'!I324+'Resultater - Østdanmark'!I324</f>
        <v>299950.45819023572</v>
      </c>
      <c r="J324" s="256">
        <f>'Resultater - Vestdanmark'!J324+'Resultater - Østdanmark'!J324</f>
        <v>604926.79998970975</v>
      </c>
    </row>
    <row r="325" spans="1:10" x14ac:dyDescent="0.25">
      <c r="A325" s="94" t="str">
        <f>'Resultater - Vestdanmark'!A325</f>
        <v>Rapsmark</v>
      </c>
      <c r="B325" s="94" t="str">
        <f>'Resultater - Vestdanmark'!B325</f>
        <v>Konventionel</v>
      </c>
      <c r="C325" s="94" t="str">
        <f>'Resultater - Vestdanmark'!C325</f>
        <v>OC6</v>
      </c>
      <c r="D325" s="94" t="str">
        <f>'Resultater - Vestdanmark'!D325</f>
        <v>Areal-raps</v>
      </c>
      <c r="E325" s="94" t="str">
        <f>'Resultater - Vestdanmark'!E325</f>
        <v>Hektar</v>
      </c>
      <c r="F325" s="94" t="str">
        <f>'Resultater - Vestdanmark'!F325</f>
        <v>Raps</v>
      </c>
      <c r="G325" s="94" t="str">
        <f>'Resultater - Vestdanmark'!G325</f>
        <v>Ton</v>
      </c>
      <c r="H325" s="254">
        <f>'Resultater - Vestdanmark'!H325+'Resultater - Østdanmark'!H325</f>
        <v>13566.838006498305</v>
      </c>
      <c r="I325" s="255">
        <f>'Resultater - Vestdanmark'!I325+'Resultater - Østdanmark'!I325</f>
        <v>10103.459942572286</v>
      </c>
      <c r="J325" s="256">
        <f>'Resultater - Vestdanmark'!J325+'Resultater - Østdanmark'!J325</f>
        <v>1097.4536014807652</v>
      </c>
    </row>
    <row r="326" spans="1:10" x14ac:dyDescent="0.25">
      <c r="A326" s="94" t="str">
        <f>'Resultater - Vestdanmark'!A326</f>
        <v>Rapsmark</v>
      </c>
      <c r="B326" s="94" t="str">
        <f>'Resultater - Vestdanmark'!B326</f>
        <v>Konventionel</v>
      </c>
      <c r="C326" s="94" t="str">
        <f>'Resultater - Vestdanmark'!C326</f>
        <v>OC6</v>
      </c>
      <c r="D326" s="94" t="str">
        <f>'Resultater - Vestdanmark'!D326</f>
        <v>Areal-raps</v>
      </c>
      <c r="E326" s="94" t="str">
        <f>'Resultater - Vestdanmark'!E326</f>
        <v>Hektar</v>
      </c>
      <c r="F326" s="94" t="str">
        <f>'Resultater - Vestdanmark'!F326</f>
        <v>Halm</v>
      </c>
      <c r="G326" s="94" t="str">
        <f>'Resultater - Vestdanmark'!G326</f>
        <v>Ton</v>
      </c>
      <c r="H326" s="254">
        <f>'Resultater - Vestdanmark'!H326+'Resultater - Østdanmark'!H326</f>
        <v>7246.116013460778</v>
      </c>
      <c r="I326" s="255">
        <f>'Resultater - Vestdanmark'!I326+'Resultater - Østdanmark'!I326</f>
        <v>5671.8071161319895</v>
      </c>
      <c r="J326" s="256">
        <f>'Resultater - Vestdanmark'!J326+'Resultater - Østdanmark'!J326</f>
        <v>670.16004174422915</v>
      </c>
    </row>
    <row r="327" spans="1:10" x14ac:dyDescent="0.25">
      <c r="A327" s="94" t="str">
        <f>'Resultater - Vestdanmark'!A327</f>
        <v>Rapsmark</v>
      </c>
      <c r="B327" s="94" t="str">
        <f>'Resultater - Vestdanmark'!B327</f>
        <v>Konventionel</v>
      </c>
      <c r="C327" s="94" t="str">
        <f>'Resultater - Vestdanmark'!C327</f>
        <v>OC6</v>
      </c>
      <c r="D327" s="94" t="str">
        <f>'Resultater - Vestdanmark'!D327</f>
        <v>Areal-raps</v>
      </c>
      <c r="E327" s="94" t="str">
        <f>'Resultater - Vestdanmark'!E327</f>
        <v>Hektar</v>
      </c>
      <c r="F327" s="94" t="str">
        <f>'Resultater - Vestdanmark'!F327</f>
        <v>Gødning</v>
      </c>
      <c r="G327" s="94" t="str">
        <f>'Resultater - Vestdanmark'!G327</f>
        <v>kg N</v>
      </c>
      <c r="H327" s="254">
        <f>'Resultater - Vestdanmark'!H327+'Resultater - Østdanmark'!H327</f>
        <v>-372574.14979966939</v>
      </c>
      <c r="I327" s="255">
        <f>'Resultater - Vestdanmark'!I327+'Resultater - Østdanmark'!I327</f>
        <v>-277462.44160473131</v>
      </c>
      <c r="J327" s="256">
        <f>'Resultater - Vestdanmark'!J327+'Resultater - Østdanmark'!J327</f>
        <v>-30138.403828543742</v>
      </c>
    </row>
    <row r="328" spans="1:10" x14ac:dyDescent="0.25">
      <c r="A328" s="94" t="str">
        <f>'Resultater - Vestdanmark'!A328</f>
        <v>Rapsmark</v>
      </c>
      <c r="B328" s="94" t="str">
        <f>'Resultater - Vestdanmark'!B328</f>
        <v>Konventionel</v>
      </c>
      <c r="C328" s="94" t="str">
        <f>'Resultater - Vestdanmark'!C328</f>
        <v>OC6</v>
      </c>
      <c r="D328" s="94" t="str">
        <f>'Resultater - Vestdanmark'!D328</f>
        <v>Areal-raps</v>
      </c>
      <c r="E328" s="94" t="str">
        <f>'Resultater - Vestdanmark'!E328</f>
        <v>Hektar</v>
      </c>
      <c r="F328" s="94" t="str">
        <f>'Resultater - Vestdanmark'!F328</f>
        <v>CO2 - atmosfære</v>
      </c>
      <c r="G328" s="94" t="str">
        <f>'Resultater - Vestdanmark'!G328</f>
        <v>t CO2-ækvivalenter</v>
      </c>
      <c r="H328" s="254">
        <f>'Resultater - Vestdanmark'!H328+'Resultater - Østdanmark'!H328</f>
        <v>41090.289191876247</v>
      </c>
      <c r="I328" s="255">
        <f>'Resultater - Vestdanmark'!I328+'Resultater - Østdanmark'!I328</f>
        <v>30600.652169649278</v>
      </c>
      <c r="J328" s="256">
        <f>'Resultater - Vestdanmark'!J328+'Resultater - Østdanmark'!J328</f>
        <v>3323.8906396546568</v>
      </c>
    </row>
    <row r="329" spans="1:10" x14ac:dyDescent="0.25">
      <c r="A329" s="94" t="str">
        <f>'Resultater - Vestdanmark'!A329</f>
        <v>Rapsmark</v>
      </c>
      <c r="B329" s="94" t="str">
        <f>'Resultater - Vestdanmark'!B329</f>
        <v>Konventionel</v>
      </c>
      <c r="C329" s="94" t="str">
        <f>'Resultater - Vestdanmark'!C329</f>
        <v>OC12</v>
      </c>
      <c r="D329" s="94" t="str">
        <f>'Resultater - Vestdanmark'!D329</f>
        <v>Areal-raps</v>
      </c>
      <c r="E329" s="94" t="str">
        <f>'Resultater - Vestdanmark'!E329</f>
        <v>Hektar</v>
      </c>
      <c r="F329" s="94" t="str">
        <f>'Resultater - Vestdanmark'!F329</f>
        <v>Raps</v>
      </c>
      <c r="G329" s="94" t="str">
        <f>'Resultater - Vestdanmark'!G329</f>
        <v>Ton</v>
      </c>
      <c r="H329" s="254">
        <f>'Resultater - Vestdanmark'!H329+'Resultater - Østdanmark'!H329</f>
        <v>6570.1536799285823</v>
      </c>
      <c r="I329" s="255">
        <f>'Resultater - Vestdanmark'!I329+'Resultater - Østdanmark'!I329</f>
        <v>4778.6262470911042</v>
      </c>
      <c r="J329" s="256">
        <f>'Resultater - Vestdanmark'!J329+'Resultater - Østdanmark'!J329</f>
        <v>0</v>
      </c>
    </row>
    <row r="330" spans="1:10" x14ac:dyDescent="0.25">
      <c r="A330" s="94" t="str">
        <f>'Resultater - Vestdanmark'!A330</f>
        <v>Rapsmark</v>
      </c>
      <c r="B330" s="94" t="str">
        <f>'Resultater - Vestdanmark'!B330</f>
        <v>Konventionel</v>
      </c>
      <c r="C330" s="94" t="str">
        <f>'Resultater - Vestdanmark'!C330</f>
        <v>OC12</v>
      </c>
      <c r="D330" s="94" t="str">
        <f>'Resultater - Vestdanmark'!D330</f>
        <v>Areal-raps</v>
      </c>
      <c r="E330" s="94" t="str">
        <f>'Resultater - Vestdanmark'!E330</f>
        <v>Hektar</v>
      </c>
      <c r="F330" s="94" t="str">
        <f>'Resultater - Vestdanmark'!F330</f>
        <v>Halm</v>
      </c>
      <c r="G330" s="94" t="str">
        <f>'Resultater - Vestdanmark'!G330</f>
        <v>Ton</v>
      </c>
      <c r="H330" s="254">
        <f>'Resultater - Vestdanmark'!H330+'Resultater - Østdanmark'!H330</f>
        <v>3509.1519312182554</v>
      </c>
      <c r="I330" s="255">
        <f>'Resultater - Vestdanmark'!I330+'Resultater - Østdanmark'!I330</f>
        <v>2682.5905687399636</v>
      </c>
      <c r="J330" s="256">
        <f>'Resultater - Vestdanmark'!J330+'Resultater - Østdanmark'!J330</f>
        <v>0</v>
      </c>
    </row>
    <row r="331" spans="1:10" x14ac:dyDescent="0.25">
      <c r="A331" s="94" t="str">
        <f>'Resultater - Vestdanmark'!A331</f>
        <v>Rapsmark</v>
      </c>
      <c r="B331" s="94" t="str">
        <f>'Resultater - Vestdanmark'!B331</f>
        <v>Konventionel</v>
      </c>
      <c r="C331" s="94" t="str">
        <f>'Resultater - Vestdanmark'!C331</f>
        <v>OC12</v>
      </c>
      <c r="D331" s="94" t="str">
        <f>'Resultater - Vestdanmark'!D331</f>
        <v>Areal-raps</v>
      </c>
      <c r="E331" s="94" t="str">
        <f>'Resultater - Vestdanmark'!E331</f>
        <v>Hektar</v>
      </c>
      <c r="F331" s="94" t="str">
        <f>'Resultater - Vestdanmark'!F331</f>
        <v>Gødning</v>
      </c>
      <c r="G331" s="94" t="str">
        <f>'Resultater - Vestdanmark'!G331</f>
        <v>kg N</v>
      </c>
      <c r="H331" s="254">
        <f>'Resultater - Vestdanmark'!H331+'Resultater - Østdanmark'!H331</f>
        <v>-122657.08980386153</v>
      </c>
      <c r="I331" s="255">
        <f>'Resultater - Vestdanmark'!I331+'Resultater - Østdanmark'!I331</f>
        <v>-89211.366625889117</v>
      </c>
      <c r="J331" s="256">
        <f>'Resultater - Vestdanmark'!J331+'Resultater - Østdanmark'!J331</f>
        <v>0</v>
      </c>
    </row>
    <row r="332" spans="1:10" x14ac:dyDescent="0.25">
      <c r="A332" s="94" t="str">
        <f>'Resultater - Vestdanmark'!A332</f>
        <v>Rapsmark</v>
      </c>
      <c r="B332" s="94" t="str">
        <f>'Resultater - Vestdanmark'!B332</f>
        <v>Konventionel</v>
      </c>
      <c r="C332" s="94" t="str">
        <f>'Resultater - Vestdanmark'!C332</f>
        <v>OC12</v>
      </c>
      <c r="D332" s="94" t="str">
        <f>'Resultater - Vestdanmark'!D332</f>
        <v>Areal-raps</v>
      </c>
      <c r="E332" s="94" t="str">
        <f>'Resultater - Vestdanmark'!E332</f>
        <v>Hektar</v>
      </c>
      <c r="F332" s="94" t="str">
        <f>'Resultater - Vestdanmark'!F332</f>
        <v>CO2 - atmosfære</v>
      </c>
      <c r="G332" s="94" t="str">
        <f>'Resultater - Vestdanmark'!G332</f>
        <v>t CO2-ækvivalenter</v>
      </c>
      <c r="H332" s="254">
        <f>'Resultater - Vestdanmark'!H332+'Resultater - Østdanmark'!H332</f>
        <v>43678.396988286549</v>
      </c>
      <c r="I332" s="255">
        <f>'Resultater - Vestdanmark'!I332+'Resultater - Østdanmark'!I332</f>
        <v>31768.318436253074</v>
      </c>
      <c r="J332" s="256">
        <f>'Resultater - Vestdanmark'!J332+'Resultater - Østdanmark'!J332</f>
        <v>0</v>
      </c>
    </row>
    <row r="333" spans="1:10" x14ac:dyDescent="0.25">
      <c r="A333" s="94" t="str">
        <f>'Resultater - Vestdanmark'!A333</f>
        <v>Rapsmark</v>
      </c>
      <c r="B333" s="94" t="str">
        <f>'Resultater - Vestdanmark'!B333</f>
        <v>Økologisk</v>
      </c>
      <c r="C333" s="94" t="str">
        <f>'Resultater - Vestdanmark'!C333</f>
        <v>JB1-10</v>
      </c>
      <c r="D333" s="94" t="str">
        <f>'Resultater - Vestdanmark'!D333</f>
        <v>Areal-raps</v>
      </c>
      <c r="E333" s="94" t="str">
        <f>'Resultater - Vestdanmark'!E333</f>
        <v>Hektar</v>
      </c>
      <c r="F333" s="94" t="str">
        <f>'Resultater - Vestdanmark'!F333</f>
        <v>Raps</v>
      </c>
      <c r="G333" s="94" t="str">
        <f>'Resultater - Vestdanmark'!G333</f>
        <v>Ton</v>
      </c>
      <c r="H333" s="254">
        <f>'Resultater - Vestdanmark'!H333+'Resultater - Østdanmark'!H333</f>
        <v>43152.111373008069</v>
      </c>
      <c r="I333" s="255">
        <f>'Resultater - Vestdanmark'!I333+'Resultater - Østdanmark'!I333</f>
        <v>49926.230922008246</v>
      </c>
      <c r="J333" s="256">
        <f>'Resultater - Vestdanmark'!J333+'Resultater - Østdanmark'!J333</f>
        <v>136574.6844</v>
      </c>
    </row>
    <row r="334" spans="1:10" x14ac:dyDescent="0.25">
      <c r="A334" s="94" t="str">
        <f>'Resultater - Vestdanmark'!A334</f>
        <v>Rapsmark</v>
      </c>
      <c r="B334" s="94" t="str">
        <f>'Resultater - Vestdanmark'!B334</f>
        <v>Økologisk</v>
      </c>
      <c r="C334" s="94" t="str">
        <f>'Resultater - Vestdanmark'!C334</f>
        <v>JB1-10</v>
      </c>
      <c r="D334" s="94" t="str">
        <f>'Resultater - Vestdanmark'!D334</f>
        <v>Areal-raps</v>
      </c>
      <c r="E334" s="94" t="str">
        <f>'Resultater - Vestdanmark'!E334</f>
        <v>Hektar</v>
      </c>
      <c r="F334" s="94" t="str">
        <f>'Resultater - Vestdanmark'!F334</f>
        <v>Halm</v>
      </c>
      <c r="G334" s="94" t="str">
        <f>'Resultater - Vestdanmark'!G334</f>
        <v>Ton</v>
      </c>
      <c r="H334" s="254">
        <f>'Resultater - Vestdanmark'!H334+'Resultater - Østdanmark'!H334</f>
        <v>23047.758444880474</v>
      </c>
      <c r="I334" s="255">
        <f>'Resultater - Vestdanmark'!I334+'Resultater - Østdanmark'!I334</f>
        <v>28027.225666715643</v>
      </c>
      <c r="J334" s="256">
        <f>'Resultater - Vestdanmark'!J334+'Resultater - Østdanmark'!J334</f>
        <v>83399.331028859975</v>
      </c>
    </row>
    <row r="335" spans="1:10" x14ac:dyDescent="0.25">
      <c r="A335" s="94" t="str">
        <f>'Resultater - Vestdanmark'!A335</f>
        <v>Rapsmark</v>
      </c>
      <c r="B335" s="94" t="str">
        <f>'Resultater - Vestdanmark'!B335</f>
        <v>Økologisk</v>
      </c>
      <c r="C335" s="94" t="str">
        <f>'Resultater - Vestdanmark'!C335</f>
        <v>JB1-10</v>
      </c>
      <c r="D335" s="94" t="str">
        <f>'Resultater - Vestdanmark'!D335</f>
        <v>Areal-raps</v>
      </c>
      <c r="E335" s="94" t="str">
        <f>'Resultater - Vestdanmark'!E335</f>
        <v>Hektar</v>
      </c>
      <c r="F335" s="94" t="str">
        <f>'Resultater - Vestdanmark'!F335</f>
        <v>Gødning</v>
      </c>
      <c r="G335" s="94" t="str">
        <f>'Resultater - Vestdanmark'!G335</f>
        <v>kg N</v>
      </c>
      <c r="H335" s="254">
        <f>'Resultater - Vestdanmark'!H335+'Resultater - Østdanmark'!H335</f>
        <v>-1716277.1568810029</v>
      </c>
      <c r="I335" s="255">
        <f>'Resultater - Vestdanmark'!I335+'Resultater - Østdanmark'!I335</f>
        <v>-1985702.3662162372</v>
      </c>
      <c r="J335" s="256">
        <f>'Resultater - Vestdanmark'!J335+'Resultater - Østdanmark'!J335</f>
        <v>-5431947.6749999998</v>
      </c>
    </row>
    <row r="336" spans="1:10" x14ac:dyDescent="0.25">
      <c r="A336" s="94" t="str">
        <f>'Resultater - Vestdanmark'!A336</f>
        <v>Rapsmark</v>
      </c>
      <c r="B336" s="94" t="str">
        <f>'Resultater - Vestdanmark'!B336</f>
        <v>Økologisk</v>
      </c>
      <c r="C336" s="94" t="str">
        <f>'Resultater - Vestdanmark'!C336</f>
        <v>JB1-10</v>
      </c>
      <c r="D336" s="94" t="str">
        <f>'Resultater - Vestdanmark'!D336</f>
        <v>Areal-raps</v>
      </c>
      <c r="E336" s="94" t="str">
        <f>'Resultater - Vestdanmark'!E336</f>
        <v>Hektar</v>
      </c>
      <c r="F336" s="94" t="str">
        <f>'Resultater - Vestdanmark'!F336</f>
        <v>CO2 - atmosfære</v>
      </c>
      <c r="G336" s="94" t="str">
        <f>'Resultater - Vestdanmark'!G336</f>
        <v>t CO2-ækvivalenter</v>
      </c>
      <c r="H336" s="254">
        <f>'Resultater - Vestdanmark'!H336+'Resultater - Østdanmark'!H336</f>
        <v>40543.269658642035</v>
      </c>
      <c r="I336" s="255">
        <f>'Resultater - Vestdanmark'!I336+'Resultater - Østdanmark'!I336</f>
        <v>46907.847122788662</v>
      </c>
      <c r="J336" s="256">
        <f>'Resultater - Vestdanmark'!J336+'Resultater - Østdanmark'!J336</f>
        <v>128317.80605842329</v>
      </c>
    </row>
    <row r="337" spans="1:10" x14ac:dyDescent="0.25">
      <c r="A337" s="94" t="str">
        <f>'Resultater - Vestdanmark'!A337</f>
        <v>Rapsmark</v>
      </c>
      <c r="B337" s="94" t="str">
        <f>'Resultater - Vestdanmark'!B337</f>
        <v>Økologisk</v>
      </c>
      <c r="C337" s="94" t="str">
        <f>'Resultater - Vestdanmark'!C337</f>
        <v>OC6</v>
      </c>
      <c r="D337" s="94" t="str">
        <f>'Resultater - Vestdanmark'!D337</f>
        <v>Areal-raps</v>
      </c>
      <c r="E337" s="94" t="str">
        <f>'Resultater - Vestdanmark'!E337</f>
        <v>Hektar</v>
      </c>
      <c r="F337" s="94" t="str">
        <f>'Resultater - Vestdanmark'!F337</f>
        <v>Raps</v>
      </c>
      <c r="G337" s="94" t="str">
        <f>'Resultater - Vestdanmark'!G337</f>
        <v>Ton</v>
      </c>
      <c r="H337" s="254">
        <f>'Resultater - Vestdanmark'!H337+'Resultater - Østdanmark'!H337</f>
        <v>954.07204835454411</v>
      </c>
      <c r="I337" s="255">
        <f>'Resultater - Vestdanmark'!I337+'Resultater - Østdanmark'!I337</f>
        <v>869.01802548090018</v>
      </c>
      <c r="J337" s="256">
        <f>'Resultater - Vestdanmark'!J337+'Resultater - Østdanmark'!J337</f>
        <v>128.03625350608931</v>
      </c>
    </row>
    <row r="338" spans="1:10" x14ac:dyDescent="0.25">
      <c r="A338" s="94" t="str">
        <f>'Resultater - Vestdanmark'!A338</f>
        <v>Rapsmark</v>
      </c>
      <c r="B338" s="94" t="str">
        <f>'Resultater - Vestdanmark'!B338</f>
        <v>Økologisk</v>
      </c>
      <c r="C338" s="94" t="str">
        <f>'Resultater - Vestdanmark'!C338</f>
        <v>OC6</v>
      </c>
      <c r="D338" s="94" t="str">
        <f>'Resultater - Vestdanmark'!D338</f>
        <v>Areal-raps</v>
      </c>
      <c r="E338" s="94" t="str">
        <f>'Resultater - Vestdanmark'!E338</f>
        <v>Hektar</v>
      </c>
      <c r="F338" s="94" t="str">
        <f>'Resultater - Vestdanmark'!F338</f>
        <v>Halm</v>
      </c>
      <c r="G338" s="94" t="str">
        <f>'Resultater - Vestdanmark'!G338</f>
        <v>Ton</v>
      </c>
      <c r="H338" s="254">
        <f>'Resultater - Vestdanmark'!H338+'Resultater - Østdanmark'!H338</f>
        <v>509.57465138640373</v>
      </c>
      <c r="I338" s="255">
        <f>'Resultater - Vestdanmark'!I338+'Resultater - Østdanmark'!I338</f>
        <v>487.84304079842457</v>
      </c>
      <c r="J338" s="256">
        <f>'Resultater - Vestdanmark'!J338+'Resultater - Østdanmark'!J338</f>
        <v>78.185338203493416</v>
      </c>
    </row>
    <row r="339" spans="1:10" x14ac:dyDescent="0.25">
      <c r="A339" s="94" t="str">
        <f>'Resultater - Vestdanmark'!A339</f>
        <v>Rapsmark</v>
      </c>
      <c r="B339" s="94" t="str">
        <f>'Resultater - Vestdanmark'!B339</f>
        <v>Økologisk</v>
      </c>
      <c r="C339" s="94" t="str">
        <f>'Resultater - Vestdanmark'!C339</f>
        <v>OC6</v>
      </c>
      <c r="D339" s="94" t="str">
        <f>'Resultater - Vestdanmark'!D339</f>
        <v>Areal-raps</v>
      </c>
      <c r="E339" s="94" t="str">
        <f>'Resultater - Vestdanmark'!E339</f>
        <v>Hektar</v>
      </c>
      <c r="F339" s="94" t="str">
        <f>'Resultater - Vestdanmark'!F339</f>
        <v>Gødning</v>
      </c>
      <c r="G339" s="94" t="str">
        <f>'Resultater - Vestdanmark'!G339</f>
        <v>kg N</v>
      </c>
      <c r="H339" s="254">
        <f>'Resultater - Vestdanmark'!H339+'Resultater - Østdanmark'!H339</f>
        <v>-26200.842237009252</v>
      </c>
      <c r="I339" s="255">
        <f>'Resultater - Vestdanmark'!I339+'Resultater - Østdanmark'!I339</f>
        <v>-23865.078351274718</v>
      </c>
      <c r="J339" s="256">
        <f>'Resultater - Vestdanmark'!J339+'Resultater - Østdanmark'!J339</f>
        <v>-3516.1471133301034</v>
      </c>
    </row>
    <row r="340" spans="1:10" x14ac:dyDescent="0.25">
      <c r="A340" s="94" t="str">
        <f>'Resultater - Vestdanmark'!A340</f>
        <v>Rapsmark</v>
      </c>
      <c r="B340" s="94" t="str">
        <f>'Resultater - Vestdanmark'!B340</f>
        <v>Økologisk</v>
      </c>
      <c r="C340" s="94" t="str">
        <f>'Resultater - Vestdanmark'!C340</f>
        <v>OC6</v>
      </c>
      <c r="D340" s="94" t="str">
        <f>'Resultater - Vestdanmark'!D340</f>
        <v>Areal-raps</v>
      </c>
      <c r="E340" s="94" t="str">
        <f>'Resultater - Vestdanmark'!E340</f>
        <v>Hektar</v>
      </c>
      <c r="F340" s="94" t="str">
        <f>'Resultater - Vestdanmark'!F340</f>
        <v>CO2 - atmosfære</v>
      </c>
      <c r="G340" s="94" t="str">
        <f>'Resultater - Vestdanmark'!G340</f>
        <v>t CO2-ækvivalenter</v>
      </c>
      <c r="H340" s="254">
        <f>'Resultater - Vestdanmark'!H340+'Resultater - Østdanmark'!H340</f>
        <v>5253.8665984320505</v>
      </c>
      <c r="I340" s="255">
        <f>'Resultater - Vestdanmark'!I340+'Resultater - Østdanmark'!I340</f>
        <v>4785.4926526605532</v>
      </c>
      <c r="J340" s="256">
        <f>'Resultater - Vestdanmark'!J340+'Resultater - Østdanmark'!J340</f>
        <v>705.0677114418969</v>
      </c>
    </row>
    <row r="341" spans="1:10" x14ac:dyDescent="0.25">
      <c r="A341" s="94" t="str">
        <f>'Resultater - Vestdanmark'!A341</f>
        <v>Rapsmark</v>
      </c>
      <c r="B341" s="94" t="str">
        <f>'Resultater - Vestdanmark'!B341</f>
        <v>Økologisk</v>
      </c>
      <c r="C341" s="94" t="str">
        <f>'Resultater - Vestdanmark'!C341</f>
        <v>OC12</v>
      </c>
      <c r="D341" s="94" t="str">
        <f>'Resultater - Vestdanmark'!D341</f>
        <v>Areal-raps</v>
      </c>
      <c r="E341" s="94" t="str">
        <f>'Resultater - Vestdanmark'!E341</f>
        <v>Hektar</v>
      </c>
      <c r="F341" s="94" t="str">
        <f>'Resultater - Vestdanmark'!F341</f>
        <v>Raps</v>
      </c>
      <c r="G341" s="94" t="str">
        <f>'Resultater - Vestdanmark'!G341</f>
        <v>Ton</v>
      </c>
      <c r="H341" s="254">
        <f>'Resultater - Vestdanmark'!H341+'Resultater - Østdanmark'!H341</f>
        <v>462.03838922607775</v>
      </c>
      <c r="I341" s="255">
        <f>'Resultater - Vestdanmark'!I341+'Resultater - Østdanmark'!I341</f>
        <v>411.01883605835911</v>
      </c>
      <c r="J341" s="256">
        <f>'Resultater - Vestdanmark'!J341+'Resultater - Østdanmark'!J341</f>
        <v>0</v>
      </c>
    </row>
    <row r="342" spans="1:10" x14ac:dyDescent="0.25">
      <c r="A342" s="94" t="str">
        <f>'Resultater - Vestdanmark'!A342</f>
        <v>Rapsmark</v>
      </c>
      <c r="B342" s="94" t="str">
        <f>'Resultater - Vestdanmark'!B342</f>
        <v>Økologisk</v>
      </c>
      <c r="C342" s="94" t="str">
        <f>'Resultater - Vestdanmark'!C342</f>
        <v>OC12</v>
      </c>
      <c r="D342" s="94" t="str">
        <f>'Resultater - Vestdanmark'!D342</f>
        <v>Areal-raps</v>
      </c>
      <c r="E342" s="94" t="str">
        <f>'Resultater - Vestdanmark'!E342</f>
        <v>Hektar</v>
      </c>
      <c r="F342" s="94" t="str">
        <f>'Resultater - Vestdanmark'!F342</f>
        <v>Halm</v>
      </c>
      <c r="G342" s="94" t="str">
        <f>'Resultater - Vestdanmark'!G342</f>
        <v>Ton</v>
      </c>
      <c r="H342" s="254">
        <f>'Resultater - Vestdanmark'!H342+'Resultater - Østdanmark'!H342</f>
        <v>246.77701387759424</v>
      </c>
      <c r="I342" s="255">
        <f>'Resultater - Vestdanmark'!I342+'Resultater - Østdanmark'!I342</f>
        <v>230.73477526220313</v>
      </c>
      <c r="J342" s="256">
        <f>'Resultater - Vestdanmark'!J342+'Resultater - Østdanmark'!J342</f>
        <v>0</v>
      </c>
    </row>
    <row r="343" spans="1:10" x14ac:dyDescent="0.25">
      <c r="A343" s="94" t="str">
        <f>'Resultater - Vestdanmark'!A343</f>
        <v>Rapsmark</v>
      </c>
      <c r="B343" s="94" t="str">
        <f>'Resultater - Vestdanmark'!B343</f>
        <v>Økologisk</v>
      </c>
      <c r="C343" s="94" t="str">
        <f>'Resultater - Vestdanmark'!C343</f>
        <v>OC12</v>
      </c>
      <c r="D343" s="94" t="str">
        <f>'Resultater - Vestdanmark'!D343</f>
        <v>Areal-raps</v>
      </c>
      <c r="E343" s="94" t="str">
        <f>'Resultater - Vestdanmark'!E343</f>
        <v>Hektar</v>
      </c>
      <c r="F343" s="94" t="str">
        <f>'Resultater - Vestdanmark'!F343</f>
        <v>Gødning</v>
      </c>
      <c r="G343" s="94" t="str">
        <f>'Resultater - Vestdanmark'!G343</f>
        <v>kg N</v>
      </c>
      <c r="H343" s="254">
        <f>'Resultater - Vestdanmark'!H343+'Resultater - Østdanmark'!H343</f>
        <v>-8625.7166819803479</v>
      </c>
      <c r="I343" s="255">
        <f>'Resultater - Vestdanmark'!I343+'Resultater - Østdanmark'!I343</f>
        <v>-7673.2412575830022</v>
      </c>
      <c r="J343" s="256">
        <f>'Resultater - Vestdanmark'!J343+'Resultater - Østdanmark'!J343</f>
        <v>0</v>
      </c>
    </row>
    <row r="344" spans="1:10" x14ac:dyDescent="0.25">
      <c r="A344" s="94" t="str">
        <f>'Resultater - Vestdanmark'!A344</f>
        <v>Rapsmark</v>
      </c>
      <c r="B344" s="94" t="str">
        <f>'Resultater - Vestdanmark'!B344</f>
        <v>Økologisk</v>
      </c>
      <c r="C344" s="94" t="str">
        <f>'Resultater - Vestdanmark'!C344</f>
        <v>OC12</v>
      </c>
      <c r="D344" s="94" t="str">
        <f>'Resultater - Vestdanmark'!D344</f>
        <v>Areal-raps</v>
      </c>
      <c r="E344" s="94" t="str">
        <f>'Resultater - Vestdanmark'!E344</f>
        <v>Hektar</v>
      </c>
      <c r="F344" s="94" t="str">
        <f>'Resultater - Vestdanmark'!F344</f>
        <v>CO2 - atmosfære</v>
      </c>
      <c r="G344" s="94" t="str">
        <f>'Resultater - Vestdanmark'!G344</f>
        <v>t CO2-ækvivalenter</v>
      </c>
      <c r="H344" s="254">
        <f>'Resultater - Vestdanmark'!H344+'Resultater - Østdanmark'!H344</f>
        <v>5584.7859804107484</v>
      </c>
      <c r="I344" s="255">
        <f>'Resultater - Vestdanmark'!I344+'Resultater - Østdanmark'!I344</f>
        <v>4968.0985104904157</v>
      </c>
      <c r="J344" s="256">
        <f>'Resultater - Vestdanmark'!J344+'Resultater - Østdanmark'!J344</f>
        <v>0</v>
      </c>
    </row>
    <row r="345" spans="1:10" x14ac:dyDescent="0.25">
      <c r="A345" s="94" t="str">
        <f>'Resultater - Vestdanmark'!A345</f>
        <v>Frøgræsmark</v>
      </c>
      <c r="B345" s="94" t="str">
        <f>'Resultater - Vestdanmark'!B345</f>
        <v>Konventionel</v>
      </c>
      <c r="C345" s="94" t="str">
        <f>'Resultater - Vestdanmark'!C345</f>
        <v>JB1-10</v>
      </c>
      <c r="D345" s="94" t="str">
        <f>'Resultater - Vestdanmark'!D345</f>
        <v>Areal-frøgræs</v>
      </c>
      <c r="E345" s="94" t="str">
        <f>'Resultater - Vestdanmark'!E345</f>
        <v>Hektar</v>
      </c>
      <c r="F345" s="94" t="str">
        <f>'Resultater - Vestdanmark'!F345</f>
        <v>Frø</v>
      </c>
      <c r="G345" s="94" t="str">
        <f>'Resultater - Vestdanmark'!G345</f>
        <v>Ton</v>
      </c>
      <c r="H345" s="254">
        <f>'Resultater - Vestdanmark'!H345+'Resultater - Østdanmark'!H345</f>
        <v>1241441.5414695307</v>
      </c>
      <c r="I345" s="255">
        <f>'Resultater - Vestdanmark'!I345+'Resultater - Østdanmark'!I345</f>
        <v>1165561.9902489441</v>
      </c>
      <c r="J345" s="256">
        <f>'Resultater - Vestdanmark'!J345+'Resultater - Østdanmark'!J345</f>
        <v>0</v>
      </c>
    </row>
    <row r="346" spans="1:10" x14ac:dyDescent="0.25">
      <c r="A346" s="94" t="str">
        <f>'Resultater - Vestdanmark'!A346</f>
        <v>Frøgræsmark</v>
      </c>
      <c r="B346" s="94" t="str">
        <f>'Resultater - Vestdanmark'!B346</f>
        <v>Konventionel</v>
      </c>
      <c r="C346" s="94" t="str">
        <f>'Resultater - Vestdanmark'!C346</f>
        <v>JB1-10</v>
      </c>
      <c r="D346" s="94" t="str">
        <f>'Resultater - Vestdanmark'!D346</f>
        <v>Areal-frøgræs</v>
      </c>
      <c r="E346" s="94" t="str">
        <f>'Resultater - Vestdanmark'!E346</f>
        <v>Hektar</v>
      </c>
      <c r="F346" s="94" t="str">
        <f>'Resultater - Vestdanmark'!F346</f>
        <v>Halm</v>
      </c>
      <c r="G346" s="94" t="str">
        <f>'Resultater - Vestdanmark'!G346</f>
        <v>Ton</v>
      </c>
      <c r="H346" s="254">
        <f>'Resultater - Vestdanmark'!H346+'Resultater - Østdanmark'!H346</f>
        <v>206239.95017814124</v>
      </c>
      <c r="I346" s="255">
        <f>'Resultater - Vestdanmark'!I346+'Resultater - Østdanmark'!I346</f>
        <v>203519.76068124958</v>
      </c>
      <c r="J346" s="256">
        <f>'Resultater - Vestdanmark'!J346+'Resultater - Østdanmark'!J346</f>
        <v>0</v>
      </c>
    </row>
    <row r="347" spans="1:10" x14ac:dyDescent="0.25">
      <c r="A347" s="94" t="str">
        <f>'Resultater - Vestdanmark'!A347</f>
        <v>Frøgræsmark</v>
      </c>
      <c r="B347" s="94" t="str">
        <f>'Resultater - Vestdanmark'!B347</f>
        <v>Konventionel</v>
      </c>
      <c r="C347" s="94" t="str">
        <f>'Resultater - Vestdanmark'!C347</f>
        <v>JB1-10</v>
      </c>
      <c r="D347" s="94" t="str">
        <f>'Resultater - Vestdanmark'!D347</f>
        <v>Areal-frøgræs</v>
      </c>
      <c r="E347" s="94" t="str">
        <f>'Resultater - Vestdanmark'!E347</f>
        <v>Hektar</v>
      </c>
      <c r="F347" s="94" t="str">
        <f>'Resultater - Vestdanmark'!F347</f>
        <v>Gødning</v>
      </c>
      <c r="G347" s="94" t="str">
        <f>'Resultater - Vestdanmark'!G347</f>
        <v>kg N</v>
      </c>
      <c r="H347" s="254">
        <f>'Resultater - Vestdanmark'!H347+'Resultater - Østdanmark'!H347</f>
        <v>-13032265.787648994</v>
      </c>
      <c r="I347" s="255">
        <f>'Resultater - Vestdanmark'!I347+'Resultater - Østdanmark'!I347</f>
        <v>-12235705.944659013</v>
      </c>
      <c r="J347" s="256">
        <f>'Resultater - Vestdanmark'!J347+'Resultater - Østdanmark'!J347</f>
        <v>0</v>
      </c>
    </row>
    <row r="348" spans="1:10" x14ac:dyDescent="0.25">
      <c r="A348" s="94" t="str">
        <f>'Resultater - Vestdanmark'!A348</f>
        <v>Frøgræsmark</v>
      </c>
      <c r="B348" s="94" t="str">
        <f>'Resultater - Vestdanmark'!B348</f>
        <v>Konventionel</v>
      </c>
      <c r="C348" s="94" t="str">
        <f>'Resultater - Vestdanmark'!C348</f>
        <v>JB1-10</v>
      </c>
      <c r="D348" s="94" t="str">
        <f>'Resultater - Vestdanmark'!D348</f>
        <v>Areal-frøgræs</v>
      </c>
      <c r="E348" s="94" t="str">
        <f>'Resultater - Vestdanmark'!E348</f>
        <v>Hektar</v>
      </c>
      <c r="F348" s="94" t="str">
        <f>'Resultater - Vestdanmark'!F348</f>
        <v>CO2 - atmosfære</v>
      </c>
      <c r="G348" s="94" t="str">
        <f>'Resultater - Vestdanmark'!G348</f>
        <v>t CO2-ækvivalenter</v>
      </c>
      <c r="H348" s="254">
        <f>'Resultater - Vestdanmark'!H348+'Resultater - Østdanmark'!H348</f>
        <v>197542.59544633992</v>
      </c>
      <c r="I348" s="255">
        <f>'Resultater - Vestdanmark'!I348+'Resultater - Østdanmark'!I348</f>
        <v>185468.37125719711</v>
      </c>
      <c r="J348" s="256">
        <f>'Resultater - Vestdanmark'!J348+'Resultater - Østdanmark'!J348</f>
        <v>0</v>
      </c>
    </row>
    <row r="349" spans="1:10" x14ac:dyDescent="0.25">
      <c r="A349" s="94" t="str">
        <f>'Resultater - Vestdanmark'!A349</f>
        <v>Frøgræsmark</v>
      </c>
      <c r="B349" s="94" t="str">
        <f>'Resultater - Vestdanmark'!B349</f>
        <v>Konventionel</v>
      </c>
      <c r="C349" s="94" t="str">
        <f>'Resultater - Vestdanmark'!C349</f>
        <v>OC6</v>
      </c>
      <c r="D349" s="94" t="str">
        <f>'Resultater - Vestdanmark'!D349</f>
        <v>Areal-frøgræs</v>
      </c>
      <c r="E349" s="94" t="str">
        <f>'Resultater - Vestdanmark'!E349</f>
        <v>Hektar</v>
      </c>
      <c r="F349" s="94" t="str">
        <f>'Resultater - Vestdanmark'!F349</f>
        <v>Frø</v>
      </c>
      <c r="G349" s="94" t="str">
        <f>'Resultater - Vestdanmark'!G349</f>
        <v>Ton</v>
      </c>
      <c r="H349" s="254">
        <f>'Resultater - Vestdanmark'!H349+'Resultater - Østdanmark'!H349</f>
        <v>87728.525972100848</v>
      </c>
      <c r="I349" s="255">
        <f>'Resultater - Vestdanmark'!I349+'Resultater - Østdanmark'!I349</f>
        <v>65346.945504550538</v>
      </c>
      <c r="J349" s="256">
        <f>'Resultater - Vestdanmark'!J349+'Resultater - Østdanmark'!J349</f>
        <v>7098.087298545569</v>
      </c>
    </row>
    <row r="350" spans="1:10" x14ac:dyDescent="0.25">
      <c r="A350" s="94" t="str">
        <f>'Resultater - Vestdanmark'!A350</f>
        <v>Frøgræsmark</v>
      </c>
      <c r="B350" s="94" t="str">
        <f>'Resultater - Vestdanmark'!B350</f>
        <v>Konventionel</v>
      </c>
      <c r="C350" s="94" t="str">
        <f>'Resultater - Vestdanmark'!C350</f>
        <v>OC6</v>
      </c>
      <c r="D350" s="94" t="str">
        <f>'Resultater - Vestdanmark'!D350</f>
        <v>Areal-frøgræs</v>
      </c>
      <c r="E350" s="94" t="str">
        <f>'Resultater - Vestdanmark'!E350</f>
        <v>Hektar</v>
      </c>
      <c r="F350" s="94" t="str">
        <f>'Resultater - Vestdanmark'!F350</f>
        <v>Halm</v>
      </c>
      <c r="G350" s="94" t="str">
        <f>'Resultater - Vestdanmark'!G350</f>
        <v>Ton</v>
      </c>
      <c r="H350" s="254">
        <f>'Resultater - Vestdanmark'!H350+'Resultater - Østdanmark'!H350</f>
        <v>14574.288213579908</v>
      </c>
      <c r="I350" s="255">
        <f>'Resultater - Vestdanmark'!I350+'Resultater - Østdanmark'!I350</f>
        <v>11410.285185686487</v>
      </c>
      <c r="J350" s="256">
        <f>'Resultater - Vestdanmark'!J350+'Resultater - Østdanmark'!J350</f>
        <v>1348.197680172181</v>
      </c>
    </row>
    <row r="351" spans="1:10" x14ac:dyDescent="0.25">
      <c r="A351" s="94" t="str">
        <f>'Resultater - Vestdanmark'!A351</f>
        <v>Frøgræsmark</v>
      </c>
      <c r="B351" s="94" t="str">
        <f>'Resultater - Vestdanmark'!B351</f>
        <v>Konventionel</v>
      </c>
      <c r="C351" s="94" t="str">
        <f>'Resultater - Vestdanmark'!C351</f>
        <v>OC6</v>
      </c>
      <c r="D351" s="94" t="str">
        <f>'Resultater - Vestdanmark'!D351</f>
        <v>Areal-frøgræs</v>
      </c>
      <c r="E351" s="94" t="str">
        <f>'Resultater - Vestdanmark'!E351</f>
        <v>Hektar</v>
      </c>
      <c r="F351" s="94" t="str">
        <f>'Resultater - Vestdanmark'!F351</f>
        <v>Gødning</v>
      </c>
      <c r="G351" s="94" t="str">
        <f>'Resultater - Vestdanmark'!G351</f>
        <v>kg N</v>
      </c>
      <c r="H351" s="254">
        <f>'Resultater - Vestdanmark'!H351+'Resultater - Østdanmark'!H351</f>
        <v>-690710.01096458826</v>
      </c>
      <c r="I351" s="255">
        <f>'Resultater - Vestdanmark'!I351+'Resultater - Østdanmark'!I351</f>
        <v>-514493.8769437935</v>
      </c>
      <c r="J351" s="256">
        <f>'Resultater - Vestdanmark'!J351+'Resultater - Østdanmark'!J351</f>
        <v>-55885.128599620628</v>
      </c>
    </row>
    <row r="352" spans="1:10" x14ac:dyDescent="0.25">
      <c r="A352" s="94" t="str">
        <f>'Resultater - Vestdanmark'!A352</f>
        <v>Frøgræsmark</v>
      </c>
      <c r="B352" s="94" t="str">
        <f>'Resultater - Vestdanmark'!B352</f>
        <v>Konventionel</v>
      </c>
      <c r="C352" s="94" t="str">
        <f>'Resultater - Vestdanmark'!C352</f>
        <v>OC6</v>
      </c>
      <c r="D352" s="94" t="str">
        <f>'Resultater - Vestdanmark'!D352</f>
        <v>Areal-frøgræs</v>
      </c>
      <c r="E352" s="94" t="str">
        <f>'Resultater - Vestdanmark'!E352</f>
        <v>Hektar</v>
      </c>
      <c r="F352" s="94" t="str">
        <f>'Resultater - Vestdanmark'!F352</f>
        <v>CO2 - atmosfære</v>
      </c>
      <c r="G352" s="94" t="str">
        <f>'Resultater - Vestdanmark'!G352</f>
        <v>t CO2-ækvivalenter</v>
      </c>
      <c r="H352" s="254">
        <f>'Resultater - Vestdanmark'!H352+'Resultater - Østdanmark'!H352</f>
        <v>81819.432532653533</v>
      </c>
      <c r="I352" s="255">
        <f>'Resultater - Vestdanmark'!I352+'Resultater - Østdanmark'!I352</f>
        <v>60945.398770576445</v>
      </c>
      <c r="J352" s="256">
        <f>'Resultater - Vestdanmark'!J352+'Resultater - Østdanmark'!J352</f>
        <v>6619.9844166870644</v>
      </c>
    </row>
    <row r="353" spans="1:10" x14ac:dyDescent="0.25">
      <c r="A353" s="94" t="str">
        <f>'Resultater - Vestdanmark'!A353</f>
        <v>Frøgræsmark</v>
      </c>
      <c r="B353" s="94" t="str">
        <f>'Resultater - Vestdanmark'!B353</f>
        <v>Konventionel</v>
      </c>
      <c r="C353" s="94" t="str">
        <f>'Resultater - Vestdanmark'!C353</f>
        <v>OC12</v>
      </c>
      <c r="D353" s="94" t="str">
        <f>'Resultater - Vestdanmark'!D353</f>
        <v>Areal-frøgræs</v>
      </c>
      <c r="E353" s="94" t="str">
        <f>'Resultater - Vestdanmark'!E353</f>
        <v>Hektar</v>
      </c>
      <c r="F353" s="94" t="str">
        <f>'Resultater - Vestdanmark'!F353</f>
        <v>Frø</v>
      </c>
      <c r="G353" s="94" t="str">
        <f>'Resultater - Vestdanmark'!G353</f>
        <v>Ton</v>
      </c>
      <c r="H353" s="254">
        <f>'Resultater - Vestdanmark'!H353+'Resultater - Østdanmark'!H353</f>
        <v>76654.605084511393</v>
      </c>
      <c r="I353" s="255">
        <f>'Resultater - Vestdanmark'!I353+'Resultater - Østdanmark'!I353</f>
        <v>55966.193537820051</v>
      </c>
      <c r="J353" s="256">
        <f>'Resultater - Vestdanmark'!J353+'Resultater - Østdanmark'!J353</f>
        <v>0</v>
      </c>
    </row>
    <row r="354" spans="1:10" x14ac:dyDescent="0.25">
      <c r="A354" s="94" t="str">
        <f>'Resultater - Vestdanmark'!A354</f>
        <v>Frøgræsmark</v>
      </c>
      <c r="B354" s="94" t="str">
        <f>'Resultater - Vestdanmark'!B354</f>
        <v>Konventionel</v>
      </c>
      <c r="C354" s="94" t="str">
        <f>'Resultater - Vestdanmark'!C354</f>
        <v>OC12</v>
      </c>
      <c r="D354" s="94" t="str">
        <f>'Resultater - Vestdanmark'!D354</f>
        <v>Areal-frøgræs</v>
      </c>
      <c r="E354" s="94" t="str">
        <f>'Resultater - Vestdanmark'!E354</f>
        <v>Hektar</v>
      </c>
      <c r="F354" s="94" t="str">
        <f>'Resultater - Vestdanmark'!F354</f>
        <v>Halm</v>
      </c>
      <c r="G354" s="94" t="str">
        <f>'Resultater - Vestdanmark'!G354</f>
        <v>Ton</v>
      </c>
      <c r="H354" s="254">
        <f>'Resultater - Vestdanmark'!H354+'Resultater - Østdanmark'!H354</f>
        <v>12734.584275986817</v>
      </c>
      <c r="I354" s="255">
        <f>'Resultater - Vestdanmark'!I354+'Resultater - Østdanmark'!I354</f>
        <v>9772.3041848892808</v>
      </c>
      <c r="J354" s="256">
        <f>'Resultater - Vestdanmark'!J354+'Resultater - Østdanmark'!J354</f>
        <v>0</v>
      </c>
    </row>
    <row r="355" spans="1:10" x14ac:dyDescent="0.25">
      <c r="A355" s="94" t="str">
        <f>'Resultater - Vestdanmark'!A355</f>
        <v>Frøgræsmark</v>
      </c>
      <c r="B355" s="94" t="str">
        <f>'Resultater - Vestdanmark'!B355</f>
        <v>Konventionel</v>
      </c>
      <c r="C355" s="94" t="str">
        <f>'Resultater - Vestdanmark'!C355</f>
        <v>OC12</v>
      </c>
      <c r="D355" s="94" t="str">
        <f>'Resultater - Vestdanmark'!D355</f>
        <v>Areal-frøgræs</v>
      </c>
      <c r="E355" s="94" t="str">
        <f>'Resultater - Vestdanmark'!E355</f>
        <v>Hektar</v>
      </c>
      <c r="F355" s="94" t="str">
        <f>'Resultater - Vestdanmark'!F355</f>
        <v>Gødning</v>
      </c>
      <c r="G355" s="94" t="str">
        <f>'Resultater - Vestdanmark'!G355</f>
        <v>kg N</v>
      </c>
      <c r="H355" s="254">
        <f>'Resultater - Vestdanmark'!H355+'Resultater - Østdanmark'!H355</f>
        <v>-459826.35229782818</v>
      </c>
      <c r="I355" s="255">
        <f>'Resultater - Vestdanmark'!I355+'Resultater - Østdanmark'!I355</f>
        <v>-335723.21712593315</v>
      </c>
      <c r="J355" s="256">
        <f>'Resultater - Vestdanmark'!J355+'Resultater - Østdanmark'!J355</f>
        <v>0</v>
      </c>
    </row>
    <row r="356" spans="1:10" x14ac:dyDescent="0.25">
      <c r="A356" s="94" t="str">
        <f>'Resultater - Vestdanmark'!A356</f>
        <v>Frøgræsmark</v>
      </c>
      <c r="B356" s="94" t="str">
        <f>'Resultater - Vestdanmark'!B356</f>
        <v>Konventionel</v>
      </c>
      <c r="C356" s="94" t="str">
        <f>'Resultater - Vestdanmark'!C356</f>
        <v>OC12</v>
      </c>
      <c r="D356" s="94" t="str">
        <f>'Resultater - Vestdanmark'!D356</f>
        <v>Areal-frøgræs</v>
      </c>
      <c r="E356" s="94" t="str">
        <f>'Resultater - Vestdanmark'!E356</f>
        <v>Hektar</v>
      </c>
      <c r="F356" s="94" t="str">
        <f>'Resultater - Vestdanmark'!F356</f>
        <v>CO2 - atmosfære</v>
      </c>
      <c r="G356" s="94" t="str">
        <f>'Resultater - Vestdanmark'!G356</f>
        <v>t CO2-ækvivalenter</v>
      </c>
      <c r="H356" s="254">
        <f>'Resultater - Vestdanmark'!H356+'Resultater - Østdanmark'!H356</f>
        <v>156922.23534513626</v>
      </c>
      <c r="I356" s="255">
        <f>'Resultater - Vestdanmark'!I356+'Resultater - Østdanmark'!I356</f>
        <v>114570.28816508477</v>
      </c>
      <c r="J356" s="256">
        <f>'Resultater - Vestdanmark'!J356+'Resultater - Østdanmark'!J356</f>
        <v>0</v>
      </c>
    </row>
    <row r="357" spans="1:10" x14ac:dyDescent="0.25">
      <c r="A357" s="94" t="str">
        <f>'Resultater - Vestdanmark'!A357</f>
        <v>Frøgræsmark</v>
      </c>
      <c r="B357" s="94" t="str">
        <f>'Resultater - Vestdanmark'!B357</f>
        <v>Økologisk</v>
      </c>
      <c r="C357" s="94" t="str">
        <f>'Resultater - Vestdanmark'!C357</f>
        <v>JB1-10</v>
      </c>
      <c r="D357" s="94" t="str">
        <f>'Resultater - Vestdanmark'!D357</f>
        <v>Areal-frøgræs</v>
      </c>
      <c r="E357" s="94" t="str">
        <f>'Resultater - Vestdanmark'!E357</f>
        <v>Hektar</v>
      </c>
      <c r="F357" s="94" t="str">
        <f>'Resultater - Vestdanmark'!F357</f>
        <v>Frø</v>
      </c>
      <c r="G357" s="94" t="str">
        <f>'Resultater - Vestdanmark'!G357</f>
        <v>Ton</v>
      </c>
      <c r="H357" s="254">
        <f>'Resultater - Vestdanmark'!H357+'Resultater - Østdanmark'!H357</f>
        <v>90477.579370643434</v>
      </c>
      <c r="I357" s="255">
        <f>'Resultater - Vestdanmark'!I357+'Resultater - Østdanmark'!I357</f>
        <v>103897.76454734225</v>
      </c>
      <c r="J357" s="256">
        <f>'Resultater - Vestdanmark'!J357+'Resultater - Østdanmark'!J357</f>
        <v>0</v>
      </c>
    </row>
    <row r="358" spans="1:10" x14ac:dyDescent="0.25">
      <c r="A358" s="94" t="str">
        <f>'Resultater - Vestdanmark'!A358</f>
        <v>Frøgræsmark</v>
      </c>
      <c r="B358" s="94" t="str">
        <f>'Resultater - Vestdanmark'!B358</f>
        <v>Økologisk</v>
      </c>
      <c r="C358" s="94" t="str">
        <f>'Resultater - Vestdanmark'!C358</f>
        <v>JB1-10</v>
      </c>
      <c r="D358" s="94" t="str">
        <f>'Resultater - Vestdanmark'!D358</f>
        <v>Areal-frøgræs</v>
      </c>
      <c r="E358" s="94" t="str">
        <f>'Resultater - Vestdanmark'!E358</f>
        <v>Hektar</v>
      </c>
      <c r="F358" s="94" t="str">
        <f>'Resultater - Vestdanmark'!F358</f>
        <v>Halm</v>
      </c>
      <c r="G358" s="94" t="str">
        <f>'Resultater - Vestdanmark'!G358</f>
        <v>Ton</v>
      </c>
      <c r="H358" s="254">
        <f>'Resultater - Vestdanmark'!H358+'Resultater - Østdanmark'!H358</f>
        <v>15030.986831286333</v>
      </c>
      <c r="I358" s="255">
        <f>'Resultater - Vestdanmark'!I358+'Resultater - Østdanmark'!I358</f>
        <v>18141.676163852637</v>
      </c>
      <c r="J358" s="256">
        <f>'Resultater - Vestdanmark'!J358+'Resultater - Østdanmark'!J358</f>
        <v>0</v>
      </c>
    </row>
    <row r="359" spans="1:10" x14ac:dyDescent="0.25">
      <c r="A359" s="94" t="str">
        <f>'Resultater - Vestdanmark'!A359</f>
        <v>Frøgræsmark</v>
      </c>
      <c r="B359" s="94" t="str">
        <f>'Resultater - Vestdanmark'!B359</f>
        <v>Økologisk</v>
      </c>
      <c r="C359" s="94" t="str">
        <f>'Resultater - Vestdanmark'!C359</f>
        <v>JB1-10</v>
      </c>
      <c r="D359" s="94" t="str">
        <f>'Resultater - Vestdanmark'!D359</f>
        <v>Areal-frøgræs</v>
      </c>
      <c r="E359" s="94" t="str">
        <f>'Resultater - Vestdanmark'!E359</f>
        <v>Hektar</v>
      </c>
      <c r="F359" s="94" t="str">
        <f>'Resultater - Vestdanmark'!F359</f>
        <v>Gødning</v>
      </c>
      <c r="G359" s="94" t="str">
        <f>'Resultater - Vestdanmark'!G359</f>
        <v>kg N</v>
      </c>
      <c r="H359" s="254">
        <f>'Resultater - Vestdanmark'!H359+'Resultater - Østdanmark'!H359</f>
        <v>-949805.38574983133</v>
      </c>
      <c r="I359" s="255">
        <f>'Resultater - Vestdanmark'!I359+'Resultater - Østdanmark'!I359</f>
        <v>-1090686.3006378391</v>
      </c>
      <c r="J359" s="256">
        <f>'Resultater - Vestdanmark'!J359+'Resultater - Østdanmark'!J359</f>
        <v>0</v>
      </c>
    </row>
    <row r="360" spans="1:10" x14ac:dyDescent="0.25">
      <c r="A360" s="94" t="str">
        <f>'Resultater - Vestdanmark'!A360</f>
        <v>Frøgræsmark</v>
      </c>
      <c r="B360" s="94" t="str">
        <f>'Resultater - Vestdanmark'!B360</f>
        <v>Økologisk</v>
      </c>
      <c r="C360" s="94" t="str">
        <f>'Resultater - Vestdanmark'!C360</f>
        <v>JB1-10</v>
      </c>
      <c r="D360" s="94" t="str">
        <f>'Resultater - Vestdanmark'!D360</f>
        <v>Areal-frøgræs</v>
      </c>
      <c r="E360" s="94" t="str">
        <f>'Resultater - Vestdanmark'!E360</f>
        <v>Hektar</v>
      </c>
      <c r="F360" s="94" t="str">
        <f>'Resultater - Vestdanmark'!F360</f>
        <v>CO2 - atmosfære</v>
      </c>
      <c r="G360" s="94" t="str">
        <f>'Resultater - Vestdanmark'!G360</f>
        <v>t CO2-ækvivalenter</v>
      </c>
      <c r="H360" s="254">
        <f>'Resultater - Vestdanmark'!H360+'Resultater - Østdanmark'!H360</f>
        <v>25258.095389318682</v>
      </c>
      <c r="I360" s="255">
        <f>'Resultater - Vestdanmark'!I360+'Resultater - Østdanmark'!I360</f>
        <v>29004.529806477298</v>
      </c>
      <c r="J360" s="256">
        <f>'Resultater - Vestdanmark'!J360+'Resultater - Østdanmark'!J360</f>
        <v>0</v>
      </c>
    </row>
    <row r="361" spans="1:10" x14ac:dyDescent="0.25">
      <c r="A361" s="94" t="str">
        <f>'Resultater - Vestdanmark'!A361</f>
        <v>Frøgræsmark</v>
      </c>
      <c r="B361" s="94" t="str">
        <f>'Resultater - Vestdanmark'!B361</f>
        <v>Økologisk</v>
      </c>
      <c r="C361" s="94" t="str">
        <f>'Resultater - Vestdanmark'!C361</f>
        <v>OC6</v>
      </c>
      <c r="D361" s="94" t="str">
        <f>'Resultater - Vestdanmark'!D361</f>
        <v>Areal-frøgræs</v>
      </c>
      <c r="E361" s="94" t="str">
        <f>'Resultater - Vestdanmark'!E361</f>
        <v>Hektar</v>
      </c>
      <c r="F361" s="94" t="str">
        <f>'Resultater - Vestdanmark'!F361</f>
        <v>Frø</v>
      </c>
      <c r="G361" s="94" t="str">
        <f>'Resultater - Vestdanmark'!G361</f>
        <v>Ton</v>
      </c>
      <c r="H361" s="254">
        <f>'Resultater - Vestdanmark'!H361+'Resultater - Østdanmark'!H361</f>
        <v>6393.7482407061234</v>
      </c>
      <c r="I361" s="255">
        <f>'Resultater - Vestdanmark'!I361+'Resultater - Østdanmark'!I361</f>
        <v>5825.0025435967555</v>
      </c>
      <c r="J361" s="256">
        <f>'Resultater - Vestdanmark'!J361+'Resultater - Østdanmark'!J361</f>
        <v>858.22328246050961</v>
      </c>
    </row>
    <row r="362" spans="1:10" x14ac:dyDescent="0.25">
      <c r="A362" s="94" t="str">
        <f>'Resultater - Vestdanmark'!A362</f>
        <v>Frøgræsmark</v>
      </c>
      <c r="B362" s="94" t="str">
        <f>'Resultater - Vestdanmark'!B362</f>
        <v>Økologisk</v>
      </c>
      <c r="C362" s="94" t="str">
        <f>'Resultater - Vestdanmark'!C362</f>
        <v>OC6</v>
      </c>
      <c r="D362" s="94" t="str">
        <f>'Resultater - Vestdanmark'!D362</f>
        <v>Areal-frøgræs</v>
      </c>
      <c r="E362" s="94" t="str">
        <f>'Resultater - Vestdanmark'!E362</f>
        <v>Hektar</v>
      </c>
      <c r="F362" s="94" t="str">
        <f>'Resultater - Vestdanmark'!F362</f>
        <v>Halm</v>
      </c>
      <c r="G362" s="94" t="str">
        <f>'Resultater - Vestdanmark'!G362</f>
        <v>Ton</v>
      </c>
      <c r="H362" s="254">
        <f>'Resultater - Vestdanmark'!H362+'Resultater - Østdanmark'!H362</f>
        <v>1062.1896195401109</v>
      </c>
      <c r="I362" s="255">
        <f>'Resultater - Vestdanmark'!I362+'Resultater - Østdanmark'!I362</f>
        <v>1017.1085995926124</v>
      </c>
      <c r="J362" s="256">
        <f>'Resultater - Vestdanmark'!J362+'Resultater - Østdanmark'!J362</f>
        <v>163.00935587536367</v>
      </c>
    </row>
    <row r="363" spans="1:10" x14ac:dyDescent="0.25">
      <c r="A363" s="94" t="str">
        <f>'Resultater - Vestdanmark'!A363</f>
        <v>Frøgræsmark</v>
      </c>
      <c r="B363" s="94" t="str">
        <f>'Resultater - Vestdanmark'!B363</f>
        <v>Økologisk</v>
      </c>
      <c r="C363" s="94" t="str">
        <f>'Resultater - Vestdanmark'!C363</f>
        <v>OC6</v>
      </c>
      <c r="D363" s="94" t="str">
        <f>'Resultater - Vestdanmark'!D363</f>
        <v>Areal-frøgræs</v>
      </c>
      <c r="E363" s="94" t="str">
        <f>'Resultater - Vestdanmark'!E363</f>
        <v>Hektar</v>
      </c>
      <c r="F363" s="94" t="str">
        <f>'Resultater - Vestdanmark'!F363</f>
        <v>Gødning</v>
      </c>
      <c r="G363" s="94" t="str">
        <f>'Resultater - Vestdanmark'!G363</f>
        <v>kg N</v>
      </c>
      <c r="H363" s="254">
        <f>'Resultater - Vestdanmark'!H363+'Resultater - Østdanmark'!H363</f>
        <v>-50339.679921755182</v>
      </c>
      <c r="I363" s="255">
        <f>'Resultater - Vestdanmark'!I363+'Resultater - Østdanmark'!I363</f>
        <v>-45861.793825602101</v>
      </c>
      <c r="J363" s="256">
        <f>'Resultater - Vestdanmark'!J363+'Resultater - Østdanmark'!J363</f>
        <v>-6757.0200943177651</v>
      </c>
    </row>
    <row r="364" spans="1:10" x14ac:dyDescent="0.25">
      <c r="A364" s="94" t="str">
        <f>'Resultater - Vestdanmark'!A364</f>
        <v>Frøgræsmark</v>
      </c>
      <c r="B364" s="94" t="str">
        <f>'Resultater - Vestdanmark'!B364</f>
        <v>Økologisk</v>
      </c>
      <c r="C364" s="94" t="str">
        <f>'Resultater - Vestdanmark'!C364</f>
        <v>OC6</v>
      </c>
      <c r="D364" s="94" t="str">
        <f>'Resultater - Vestdanmark'!D364</f>
        <v>Areal-frøgræs</v>
      </c>
      <c r="E364" s="94" t="str">
        <f>'Resultater - Vestdanmark'!E364</f>
        <v>Hektar</v>
      </c>
      <c r="F364" s="94" t="str">
        <f>'Resultater - Vestdanmark'!F364</f>
        <v>CO2 - atmosfære</v>
      </c>
      <c r="G364" s="94" t="str">
        <f>'Resultater - Vestdanmark'!G364</f>
        <v>t CO2-ækvivalenter</v>
      </c>
      <c r="H364" s="254">
        <f>'Resultater - Vestdanmark'!H364+'Resultater - Østdanmark'!H364</f>
        <v>10461.556541465279</v>
      </c>
      <c r="I364" s="255">
        <f>'Resultater - Vestdanmark'!I364+'Resultater - Østdanmark'!I364</f>
        <v>9530.9654321463368</v>
      </c>
      <c r="J364" s="256">
        <f>'Resultater - Vestdanmark'!J364+'Resultater - Østdanmark'!J364</f>
        <v>1404.2391186911955</v>
      </c>
    </row>
    <row r="365" spans="1:10" x14ac:dyDescent="0.25">
      <c r="A365" s="94" t="str">
        <f>'Resultater - Vestdanmark'!A365</f>
        <v>Frøgræsmark</v>
      </c>
      <c r="B365" s="94" t="str">
        <f>'Resultater - Vestdanmark'!B365</f>
        <v>Økologisk</v>
      </c>
      <c r="C365" s="94" t="str">
        <f>'Resultater - Vestdanmark'!C365</f>
        <v>OC12</v>
      </c>
      <c r="D365" s="94" t="str">
        <f>'Resultater - Vestdanmark'!D365</f>
        <v>Areal-frøgræs</v>
      </c>
      <c r="E365" s="94" t="str">
        <f>'Resultater - Vestdanmark'!E365</f>
        <v>Hektar</v>
      </c>
      <c r="F365" s="94" t="str">
        <f>'Resultater - Vestdanmark'!F365</f>
        <v>Frø</v>
      </c>
      <c r="G365" s="94" t="str">
        <f>'Resultater - Vestdanmark'!G365</f>
        <v>Ton</v>
      </c>
      <c r="H365" s="254">
        <f>'Resultater - Vestdanmark'!H365+'Resultater - Østdanmark'!H365</f>
        <v>5586.669113270872</v>
      </c>
      <c r="I365" s="255">
        <f>'Resultater - Vestdanmark'!I365+'Resultater - Østdanmark'!I365</f>
        <v>4988.8057842049911</v>
      </c>
      <c r="J365" s="256">
        <f>'Resultater - Vestdanmark'!J365+'Resultater - Østdanmark'!J365</f>
        <v>0</v>
      </c>
    </row>
    <row r="366" spans="1:10" x14ac:dyDescent="0.25">
      <c r="A366" s="94" t="str">
        <f>'Resultater - Vestdanmark'!A366</f>
        <v>Frøgræsmark</v>
      </c>
      <c r="B366" s="94" t="str">
        <f>'Resultater - Vestdanmark'!B366</f>
        <v>Økologisk</v>
      </c>
      <c r="C366" s="94" t="str">
        <f>'Resultater - Vestdanmark'!C366</f>
        <v>OC12</v>
      </c>
      <c r="D366" s="94" t="str">
        <f>'Resultater - Vestdanmark'!D366</f>
        <v>Areal-frøgræs</v>
      </c>
      <c r="E366" s="94" t="str">
        <f>'Resultater - Vestdanmark'!E366</f>
        <v>Hektar</v>
      </c>
      <c r="F366" s="94" t="str">
        <f>'Resultater - Vestdanmark'!F366</f>
        <v>Halm</v>
      </c>
      <c r="G366" s="94" t="str">
        <f>'Resultater - Vestdanmark'!G366</f>
        <v>Ton</v>
      </c>
      <c r="H366" s="254">
        <f>'Resultater - Vestdanmark'!H366+'Resultater - Østdanmark'!H366</f>
        <v>928.11004070224612</v>
      </c>
      <c r="I366" s="255">
        <f>'Resultater - Vestdanmark'!I366+'Resultater - Østdanmark'!I366</f>
        <v>871.09957924226615</v>
      </c>
      <c r="J366" s="256">
        <f>'Resultater - Vestdanmark'!J366+'Resultater - Østdanmark'!J366</f>
        <v>0</v>
      </c>
    </row>
    <row r="367" spans="1:10" x14ac:dyDescent="0.25">
      <c r="A367" s="94" t="str">
        <f>'Resultater - Vestdanmark'!A367</f>
        <v>Frøgræsmark</v>
      </c>
      <c r="B367" s="94" t="str">
        <f>'Resultater - Vestdanmark'!B367</f>
        <v>Økologisk</v>
      </c>
      <c r="C367" s="94" t="str">
        <f>'Resultater - Vestdanmark'!C367</f>
        <v>OC12</v>
      </c>
      <c r="D367" s="94" t="str">
        <f>'Resultater - Vestdanmark'!D367</f>
        <v>Areal-frøgræs</v>
      </c>
      <c r="E367" s="94" t="str">
        <f>'Resultater - Vestdanmark'!E367</f>
        <v>Hektar</v>
      </c>
      <c r="F367" s="94" t="str">
        <f>'Resultater - Vestdanmark'!F367</f>
        <v>Gødning</v>
      </c>
      <c r="G367" s="94" t="str">
        <f>'Resultater - Vestdanmark'!G367</f>
        <v>kg N</v>
      </c>
      <c r="H367" s="254">
        <f>'Resultater - Vestdanmark'!H367+'Resultater - Østdanmark'!H367</f>
        <v>-33512.633416062716</v>
      </c>
      <c r="I367" s="255">
        <f>'Resultater - Vestdanmark'!I367+'Resultater - Østdanmark'!I367</f>
        <v>-29926.243355427621</v>
      </c>
      <c r="J367" s="256">
        <f>'Resultater - Vestdanmark'!J367+'Resultater - Østdanmark'!J367</f>
        <v>0</v>
      </c>
    </row>
    <row r="368" spans="1:10" x14ac:dyDescent="0.25">
      <c r="A368" s="94" t="str">
        <f>'Resultater - Vestdanmark'!A368</f>
        <v>Frøgræsmark</v>
      </c>
      <c r="B368" s="94" t="str">
        <f>'Resultater - Vestdanmark'!B368</f>
        <v>Økologisk</v>
      </c>
      <c r="C368" s="94" t="str">
        <f>'Resultater - Vestdanmark'!C368</f>
        <v>OC12</v>
      </c>
      <c r="D368" s="94" t="str">
        <f>'Resultater - Vestdanmark'!D368</f>
        <v>Areal-frøgræs</v>
      </c>
      <c r="E368" s="94" t="str">
        <f>'Resultater - Vestdanmark'!E368</f>
        <v>Hektar</v>
      </c>
      <c r="F368" s="94" t="str">
        <f>'Resultater - Vestdanmark'!F368</f>
        <v>CO2 - atmosfære</v>
      </c>
      <c r="G368" s="94" t="str">
        <f>'Resultater - Vestdanmark'!G368</f>
        <v>t CO2-ækvivalenter</v>
      </c>
      <c r="H368" s="254">
        <f>'Resultater - Vestdanmark'!H368+'Resultater - Østdanmark'!H368</f>
        <v>20064.314636026029</v>
      </c>
      <c r="I368" s="255">
        <f>'Resultater - Vestdanmark'!I368+'Resultater - Østdanmark'!I368</f>
        <v>17917.110693837196</v>
      </c>
      <c r="J368" s="256">
        <f>'Resultater - Vestdanmark'!J368+'Resultater - Østdanmark'!J368</f>
        <v>0</v>
      </c>
    </row>
    <row r="369" spans="1:10" x14ac:dyDescent="0.25">
      <c r="A369" s="94" t="str">
        <f>'Resultater - Vestdanmark'!A369</f>
        <v>Juletræsmark</v>
      </c>
      <c r="B369" s="94" t="str">
        <f>'Resultater - Vestdanmark'!B369</f>
        <v>Konventionel</v>
      </c>
      <c r="C369" s="94" t="str">
        <f>'Resultater - Vestdanmark'!C369</f>
        <v>JB1-10</v>
      </c>
      <c r="D369" s="94" t="str">
        <f>'Resultater - Vestdanmark'!D369</f>
        <v>Areal-juletræer</v>
      </c>
      <c r="E369" s="94" t="str">
        <f>'Resultater - Vestdanmark'!E369</f>
        <v>Hektar</v>
      </c>
      <c r="F369" s="94" t="str">
        <f>'Resultater - Vestdanmark'!F369</f>
        <v>Juletræer</v>
      </c>
      <c r="G369" s="94" t="str">
        <f>'Resultater - Vestdanmark'!G369</f>
        <v>Ton</v>
      </c>
      <c r="H369" s="254">
        <f>'Resultater - Vestdanmark'!H369+'Resultater - Østdanmark'!H369</f>
        <v>804386.70310434792</v>
      </c>
      <c r="I369" s="255">
        <f>'Resultater - Vestdanmark'!I369+'Resultater - Østdanmark'!I369</f>
        <v>766025.49113725952</v>
      </c>
      <c r="J369" s="256">
        <f>'Resultater - Vestdanmark'!J369+'Resultater - Østdanmark'!J369</f>
        <v>672846.26603224664</v>
      </c>
    </row>
    <row r="370" spans="1:10" x14ac:dyDescent="0.25">
      <c r="A370" s="94" t="str">
        <f>'Resultater - Vestdanmark'!A370</f>
        <v>Juletræsmark</v>
      </c>
      <c r="B370" s="94" t="str">
        <f>'Resultater - Vestdanmark'!B370</f>
        <v>Konventionel</v>
      </c>
      <c r="C370" s="94" t="str">
        <f>'Resultater - Vestdanmark'!C370</f>
        <v>JB1-10</v>
      </c>
      <c r="D370" s="94" t="str">
        <f>'Resultater - Vestdanmark'!D370</f>
        <v>Areal-juletræer</v>
      </c>
      <c r="E370" s="94" t="str">
        <f>'Resultater - Vestdanmark'!E370</f>
        <v>Hektar</v>
      </c>
      <c r="F370" s="94" t="str">
        <f>'Resultater - Vestdanmark'!F370</f>
        <v>Gødning</v>
      </c>
      <c r="G370" s="94" t="str">
        <f>'Resultater - Vestdanmark'!G370</f>
        <v>kg N</v>
      </c>
      <c r="H370" s="254">
        <f>'Resultater - Vestdanmark'!H370+'Resultater - Østdanmark'!H370</f>
        <v>-1769650.7468295656</v>
      </c>
      <c r="I370" s="255">
        <f>'Resultater - Vestdanmark'!I370+'Resultater - Østdanmark'!I370</f>
        <v>-1685256.0805019708</v>
      </c>
      <c r="J370" s="256">
        <f>'Resultater - Vestdanmark'!J370+'Resultater - Østdanmark'!J370</f>
        <v>-1480261.7852709426</v>
      </c>
    </row>
    <row r="371" spans="1:10" x14ac:dyDescent="0.25">
      <c r="A371" s="94" t="str">
        <f>'Resultater - Vestdanmark'!A371</f>
        <v>Juletræsmark</v>
      </c>
      <c r="B371" s="94" t="str">
        <f>'Resultater - Vestdanmark'!B371</f>
        <v>Konventionel</v>
      </c>
      <c r="C371" s="94" t="str">
        <f>'Resultater - Vestdanmark'!C371</f>
        <v>JB1-10</v>
      </c>
      <c r="D371" s="94" t="str">
        <f>'Resultater - Vestdanmark'!D371</f>
        <v>Areal-juletræer</v>
      </c>
      <c r="E371" s="94" t="str">
        <f>'Resultater - Vestdanmark'!E371</f>
        <v>Hektar</v>
      </c>
      <c r="F371" s="94" t="str">
        <f>'Resultater - Vestdanmark'!F371</f>
        <v>CO2 - atmosfære</v>
      </c>
      <c r="G371" s="94" t="str">
        <f>'Resultater - Vestdanmark'!G371</f>
        <v>t CO2-ækvivalenter</v>
      </c>
      <c r="H371" s="254">
        <f>'Resultater - Vestdanmark'!H371+'Resultater - Østdanmark'!H371</f>
        <v>31623.568231448324</v>
      </c>
      <c r="I371" s="255">
        <f>'Resultater - Vestdanmark'!I371+'Resultater - Østdanmark'!I371</f>
        <v>30115.439865575892</v>
      </c>
      <c r="J371" s="256">
        <f>'Resultater - Vestdanmark'!J371+'Resultater - Østdanmark'!J371</f>
        <v>26452.20230646422</v>
      </c>
    </row>
    <row r="372" spans="1:10" x14ac:dyDescent="0.25">
      <c r="A372" s="94" t="str">
        <f>'Resultater - Vestdanmark'!A372</f>
        <v>Juletræsmark</v>
      </c>
      <c r="B372" s="94" t="str">
        <f>'Resultater - Vestdanmark'!B372</f>
        <v>Konventionel</v>
      </c>
      <c r="C372" s="94" t="str">
        <f>'Resultater - Vestdanmark'!C372</f>
        <v>OC6</v>
      </c>
      <c r="D372" s="94" t="str">
        <f>'Resultater - Vestdanmark'!D372</f>
        <v>Areal-juletræer</v>
      </c>
      <c r="E372" s="94" t="str">
        <f>'Resultater - Vestdanmark'!E372</f>
        <v>Hektar</v>
      </c>
      <c r="F372" s="94" t="str">
        <f>'Resultater - Vestdanmark'!F372</f>
        <v>Juletræer</v>
      </c>
      <c r="G372" s="94" t="str">
        <f>'Resultater - Vestdanmark'!G372</f>
        <v>Ton</v>
      </c>
      <c r="H372" s="254">
        <f>'Resultater - Vestdanmark'!H372+'Resultater - Østdanmark'!H372</f>
        <v>27393.452669089784</v>
      </c>
      <c r="I372" s="255">
        <f>'Resultater - Vestdanmark'!I372+'Resultater - Østdanmark'!I372</f>
        <v>20396.911864482605</v>
      </c>
      <c r="J372" s="256">
        <f>'Resultater - Vestdanmark'!J372+'Resultater - Østdanmark'!J372</f>
        <v>2215.5444285418894</v>
      </c>
    </row>
    <row r="373" spans="1:10" x14ac:dyDescent="0.25">
      <c r="A373" s="94" t="str">
        <f>'Resultater - Vestdanmark'!A373</f>
        <v>Juletræsmark</v>
      </c>
      <c r="B373" s="94" t="str">
        <f>'Resultater - Vestdanmark'!B373</f>
        <v>Konventionel</v>
      </c>
      <c r="C373" s="94" t="str">
        <f>'Resultater - Vestdanmark'!C373</f>
        <v>OC6</v>
      </c>
      <c r="D373" s="94" t="str">
        <f>'Resultater - Vestdanmark'!D373</f>
        <v>Areal-juletræer</v>
      </c>
      <c r="E373" s="94" t="str">
        <f>'Resultater - Vestdanmark'!E373</f>
        <v>Hektar</v>
      </c>
      <c r="F373" s="94" t="str">
        <f>'Resultater - Vestdanmark'!F373</f>
        <v>Gødning</v>
      </c>
      <c r="G373" s="94" t="str">
        <f>'Resultater - Vestdanmark'!G373</f>
        <v>kg N</v>
      </c>
      <c r="H373" s="254">
        <f>'Resultater - Vestdanmark'!H373+'Resultater - Østdanmark'!H373</f>
        <v>-45655.75444848297</v>
      </c>
      <c r="I373" s="255">
        <f>'Resultater - Vestdanmark'!I373+'Resultater - Østdanmark'!I373</f>
        <v>-33994.853107471004</v>
      </c>
      <c r="J373" s="256">
        <f>'Resultater - Vestdanmark'!J373+'Resultater - Østdanmark'!J373</f>
        <v>-3692.5740475698162</v>
      </c>
    </row>
    <row r="374" spans="1:10" x14ac:dyDescent="0.25">
      <c r="A374" s="94" t="str">
        <f>'Resultater - Vestdanmark'!A374</f>
        <v>Juletræsmark</v>
      </c>
      <c r="B374" s="94" t="str">
        <f>'Resultater - Vestdanmark'!B374</f>
        <v>Konventionel</v>
      </c>
      <c r="C374" s="94" t="str">
        <f>'Resultater - Vestdanmark'!C374</f>
        <v>OC6</v>
      </c>
      <c r="D374" s="94" t="str">
        <f>'Resultater - Vestdanmark'!D374</f>
        <v>Areal-juletræer</v>
      </c>
      <c r="E374" s="94" t="str">
        <f>'Resultater - Vestdanmark'!E374</f>
        <v>Hektar</v>
      </c>
      <c r="F374" s="94" t="str">
        <f>'Resultater - Vestdanmark'!F374</f>
        <v>CO2 - atmosfære</v>
      </c>
      <c r="G374" s="94" t="str">
        <f>'Resultater - Vestdanmark'!G374</f>
        <v>t CO2-ækvivalenter</v>
      </c>
      <c r="H374" s="254">
        <f>'Resultater - Vestdanmark'!H374+'Resultater - Østdanmark'!H374</f>
        <v>4867.6770004669015</v>
      </c>
      <c r="I374" s="255">
        <f>'Resultater - Vestdanmark'!I374+'Resultater - Østdanmark'!I374</f>
        <v>3624.4273389941923</v>
      </c>
      <c r="J374" s="256">
        <f>'Resultater - Vestdanmark'!J374+'Resultater - Østdanmark'!J374</f>
        <v>393.69095924498106</v>
      </c>
    </row>
    <row r="375" spans="1:10" x14ac:dyDescent="0.25">
      <c r="A375" s="94" t="str">
        <f>'Resultater - Vestdanmark'!A375</f>
        <v>Juletræsmark</v>
      </c>
      <c r="B375" s="94" t="str">
        <f>'Resultater - Vestdanmark'!B375</f>
        <v>Konventionel</v>
      </c>
      <c r="C375" s="94" t="str">
        <f>'Resultater - Vestdanmark'!C375</f>
        <v>OC12</v>
      </c>
      <c r="D375" s="94" t="str">
        <f>'Resultater - Vestdanmark'!D375</f>
        <v>Areal-juletræer</v>
      </c>
      <c r="E375" s="94" t="str">
        <f>'Resultater - Vestdanmark'!E375</f>
        <v>Hektar</v>
      </c>
      <c r="F375" s="94" t="str">
        <f>'Resultater - Vestdanmark'!F375</f>
        <v>Juletræer</v>
      </c>
      <c r="G375" s="94" t="str">
        <f>'Resultater - Vestdanmark'!G375</f>
        <v>Ton</v>
      </c>
      <c r="H375" s="254">
        <f>'Resultater - Vestdanmark'!H375+'Resultater - Østdanmark'!H375</f>
        <v>18360.165184548681</v>
      </c>
      <c r="I375" s="255">
        <f>'Resultater - Vestdanmark'!I375+'Resultater - Østdanmark'!I375</f>
        <v>13312.709280371439</v>
      </c>
      <c r="J375" s="256">
        <f>'Resultater - Vestdanmark'!J375+'Resultater - Østdanmark'!J375</f>
        <v>0</v>
      </c>
    </row>
    <row r="376" spans="1:10" x14ac:dyDescent="0.25">
      <c r="A376" s="94" t="str">
        <f>'Resultater - Vestdanmark'!A376</f>
        <v>Juletræsmark</v>
      </c>
      <c r="B376" s="94" t="str">
        <f>'Resultater - Vestdanmark'!B376</f>
        <v>Konventionel</v>
      </c>
      <c r="C376" s="94" t="str">
        <f>'Resultater - Vestdanmark'!C376</f>
        <v>OC12</v>
      </c>
      <c r="D376" s="94" t="str">
        <f>'Resultater - Vestdanmark'!D376</f>
        <v>Areal-juletræer</v>
      </c>
      <c r="E376" s="94" t="str">
        <f>'Resultater - Vestdanmark'!E376</f>
        <v>Hektar</v>
      </c>
      <c r="F376" s="94" t="str">
        <f>'Resultater - Vestdanmark'!F376</f>
        <v>Gødning</v>
      </c>
      <c r="G376" s="94" t="str">
        <f>'Resultater - Vestdanmark'!G376</f>
        <v>kg N</v>
      </c>
      <c r="H376" s="254">
        <f>'Resultater - Vestdanmark'!H376+'Resultater - Østdanmark'!H376</f>
        <v>-23605.926665848303</v>
      </c>
      <c r="I376" s="255">
        <f>'Resultater - Vestdanmark'!I376+'Resultater - Østdanmark'!I376</f>
        <v>-17116.340503334708</v>
      </c>
      <c r="J376" s="256">
        <f>'Resultater - Vestdanmark'!J376+'Resultater - Østdanmark'!J376</f>
        <v>0</v>
      </c>
    </row>
    <row r="377" spans="1:10" x14ac:dyDescent="0.25">
      <c r="A377" s="94" t="str">
        <f>'Resultater - Vestdanmark'!A377</f>
        <v>Juletræsmark</v>
      </c>
      <c r="B377" s="94" t="str">
        <f>'Resultater - Vestdanmark'!B377</f>
        <v>Konventionel</v>
      </c>
      <c r="C377" s="94" t="str">
        <f>'Resultater - Vestdanmark'!C377</f>
        <v>OC12</v>
      </c>
      <c r="D377" s="94" t="str">
        <f>'Resultater - Vestdanmark'!D377</f>
        <v>Areal-juletræer</v>
      </c>
      <c r="E377" s="94" t="str">
        <f>'Resultater - Vestdanmark'!E377</f>
        <v>Hektar</v>
      </c>
      <c r="F377" s="94" t="str">
        <f>'Resultater - Vestdanmark'!F377</f>
        <v>CO2 - atmosfære</v>
      </c>
      <c r="G377" s="94" t="str">
        <f>'Resultater - Vestdanmark'!G377</f>
        <v>t CO2-ækvivalenter</v>
      </c>
      <c r="H377" s="254">
        <f>'Resultater - Vestdanmark'!H377+'Resultater - Østdanmark'!H377</f>
        <v>7475.6545232364842</v>
      </c>
      <c r="I377" s="255">
        <f>'Resultater - Vestdanmark'!I377+'Resultater - Østdanmark'!I377</f>
        <v>5420.4967301762017</v>
      </c>
      <c r="J377" s="256">
        <f>'Resultater - Vestdanmark'!J377+'Resultater - Østdanmark'!J377</f>
        <v>0</v>
      </c>
    </row>
    <row r="378" spans="1:10" x14ac:dyDescent="0.25">
      <c r="A378" s="94" t="str">
        <f>'Resultater - Vestdanmark'!A378</f>
        <v>Juletræsmark</v>
      </c>
      <c r="B378" s="94" t="str">
        <f>'Resultater - Vestdanmark'!B378</f>
        <v>Økologisk</v>
      </c>
      <c r="C378" s="94" t="str">
        <f>'Resultater - Vestdanmark'!C378</f>
        <v>JB1-10</v>
      </c>
      <c r="D378" s="94" t="str">
        <f>'Resultater - Vestdanmark'!D378</f>
        <v>Areal-juletræer</v>
      </c>
      <c r="E378" s="94" t="str">
        <f>'Resultater - Vestdanmark'!E378</f>
        <v>Hektar</v>
      </c>
      <c r="F378" s="94" t="str">
        <f>'Resultater - Vestdanmark'!F378</f>
        <v>Juletræer</v>
      </c>
      <c r="G378" s="94" t="str">
        <f>'Resultater - Vestdanmark'!G378</f>
        <v>Ton</v>
      </c>
      <c r="H378" s="254">
        <f>'Resultater - Vestdanmark'!H378+'Resultater - Østdanmark'!H378</f>
        <v>58624.558099339294</v>
      </c>
      <c r="I378" s="255">
        <f>'Resultater - Vestdanmark'!I378+'Resultater - Østdanmark'!I378</f>
        <v>68283.228846920843</v>
      </c>
      <c r="J378" s="256">
        <f>'Resultater - Vestdanmark'!J378+'Resultater - Østdanmark'!J378</f>
        <v>81353.230347535267</v>
      </c>
    </row>
    <row r="379" spans="1:10" x14ac:dyDescent="0.25">
      <c r="A379" s="94" t="str">
        <f>'Resultater - Vestdanmark'!A379</f>
        <v>Juletræsmark</v>
      </c>
      <c r="B379" s="94" t="str">
        <f>'Resultater - Vestdanmark'!B379</f>
        <v>Økologisk</v>
      </c>
      <c r="C379" s="94" t="str">
        <f>'Resultater - Vestdanmark'!C379</f>
        <v>JB1-10</v>
      </c>
      <c r="D379" s="94" t="str">
        <f>'Resultater - Vestdanmark'!D379</f>
        <v>Areal-juletræer</v>
      </c>
      <c r="E379" s="94" t="str">
        <f>'Resultater - Vestdanmark'!E379</f>
        <v>Hektar</v>
      </c>
      <c r="F379" s="94" t="str">
        <f>'Resultater - Vestdanmark'!F379</f>
        <v>Gødning</v>
      </c>
      <c r="G379" s="94" t="str">
        <f>'Resultater - Vestdanmark'!G379</f>
        <v>kg N</v>
      </c>
      <c r="H379" s="254">
        <f>'Resultater - Vestdanmark'!H379+'Resultater - Østdanmark'!H379</f>
        <v>-128974.02781854646</v>
      </c>
      <c r="I379" s="255">
        <f>'Resultater - Vestdanmark'!I379+'Resultater - Østdanmark'!I379</f>
        <v>-150223.10346322588</v>
      </c>
      <c r="J379" s="256">
        <f>'Resultater - Vestdanmark'!J379+'Resultater - Østdanmark'!J379</f>
        <v>-178977.10676457762</v>
      </c>
    </row>
    <row r="380" spans="1:10" x14ac:dyDescent="0.25">
      <c r="A380" s="94" t="str">
        <f>'Resultater - Vestdanmark'!A380</f>
        <v>Juletræsmark</v>
      </c>
      <c r="B380" s="94" t="str">
        <f>'Resultater - Vestdanmark'!B380</f>
        <v>Økologisk</v>
      </c>
      <c r="C380" s="94" t="str">
        <f>'Resultater - Vestdanmark'!C380</f>
        <v>JB1-10</v>
      </c>
      <c r="D380" s="94" t="str">
        <f>'Resultater - Vestdanmark'!D380</f>
        <v>Areal-juletræer</v>
      </c>
      <c r="E380" s="94" t="str">
        <f>'Resultater - Vestdanmark'!E380</f>
        <v>Hektar</v>
      </c>
      <c r="F380" s="94" t="str">
        <f>'Resultater - Vestdanmark'!F380</f>
        <v>CO2 - atmosfære</v>
      </c>
      <c r="G380" s="94" t="str">
        <f>'Resultater - Vestdanmark'!G380</f>
        <v>t CO2-ækvivalenter</v>
      </c>
      <c r="H380" s="254">
        <f>'Resultater - Vestdanmark'!H380+'Resultater - Østdanmark'!H380</f>
        <v>4043.4373211296634</v>
      </c>
      <c r="I380" s="255">
        <f>'Resultater - Vestdanmark'!I380+'Resultater - Østdanmark'!I380</f>
        <v>4709.6125732671244</v>
      </c>
      <c r="J380" s="256">
        <f>'Resultater - Vestdanmark'!J380+'Resultater - Østdanmark'!J380</f>
        <v>5611.0732165227137</v>
      </c>
    </row>
    <row r="381" spans="1:10" x14ac:dyDescent="0.25">
      <c r="A381" s="94" t="str">
        <f>'Resultater - Vestdanmark'!A381</f>
        <v>Juletræsmark</v>
      </c>
      <c r="B381" s="94" t="str">
        <f>'Resultater - Vestdanmark'!B381</f>
        <v>Økologisk</v>
      </c>
      <c r="C381" s="94" t="str">
        <f>'Resultater - Vestdanmark'!C381</f>
        <v>OC6</v>
      </c>
      <c r="D381" s="94" t="str">
        <f>'Resultater - Vestdanmark'!D381</f>
        <v>Areal-juletræer</v>
      </c>
      <c r="E381" s="94" t="str">
        <f>'Resultater - Vestdanmark'!E381</f>
        <v>Hektar</v>
      </c>
      <c r="F381" s="94" t="str">
        <f>'Resultater - Vestdanmark'!F381</f>
        <v>Juletræer</v>
      </c>
      <c r="G381" s="94" t="str">
        <f>'Resultater - Vestdanmark'!G381</f>
        <v>Ton</v>
      </c>
      <c r="H381" s="254">
        <f>'Resultater - Vestdanmark'!H381+'Resultater - Østdanmark'!H381</f>
        <v>1996.4639536467182</v>
      </c>
      <c r="I381" s="255">
        <f>'Resultater - Vestdanmark'!I381+'Resultater - Østdanmark'!I381</f>
        <v>1818.1731766461269</v>
      </c>
      <c r="J381" s="256">
        <f>'Resultater - Vestdanmark'!J381+'Resultater - Østdanmark'!J381</f>
        <v>267.87946272370112</v>
      </c>
    </row>
    <row r="382" spans="1:10" x14ac:dyDescent="0.25">
      <c r="A382" s="94" t="str">
        <f>'Resultater - Vestdanmark'!A382</f>
        <v>Juletræsmark</v>
      </c>
      <c r="B382" s="94" t="str">
        <f>'Resultater - Vestdanmark'!B382</f>
        <v>Økologisk</v>
      </c>
      <c r="C382" s="94" t="str">
        <f>'Resultater - Vestdanmark'!C382</f>
        <v>OC6</v>
      </c>
      <c r="D382" s="94" t="str">
        <f>'Resultater - Vestdanmark'!D382</f>
        <v>Areal-juletræer</v>
      </c>
      <c r="E382" s="94" t="str">
        <f>'Resultater - Vestdanmark'!E382</f>
        <v>Hektar</v>
      </c>
      <c r="F382" s="94" t="str">
        <f>'Resultater - Vestdanmark'!F382</f>
        <v>Gødning</v>
      </c>
      <c r="G382" s="94" t="str">
        <f>'Resultater - Vestdanmark'!G382</f>
        <v>kg N</v>
      </c>
      <c r="H382" s="254">
        <f>'Resultater - Vestdanmark'!H382+'Resultater - Østdanmark'!H382</f>
        <v>-3327.4399227445301</v>
      </c>
      <c r="I382" s="255">
        <f>'Resultater - Vestdanmark'!I382+'Resultater - Østdanmark'!I382</f>
        <v>-3030.288627743545</v>
      </c>
      <c r="J382" s="256">
        <f>'Resultater - Vestdanmark'!J382+'Resultater - Østdanmark'!J382</f>
        <v>-446.46577120616854</v>
      </c>
    </row>
    <row r="383" spans="1:10" x14ac:dyDescent="0.25">
      <c r="A383" s="94" t="str">
        <f>'Resultater - Vestdanmark'!A383</f>
        <v>Juletræsmark</v>
      </c>
      <c r="B383" s="94" t="str">
        <f>'Resultater - Vestdanmark'!B383</f>
        <v>Økologisk</v>
      </c>
      <c r="C383" s="94" t="str">
        <f>'Resultater - Vestdanmark'!C383</f>
        <v>OC6</v>
      </c>
      <c r="D383" s="94" t="str">
        <f>'Resultater - Vestdanmark'!D383</f>
        <v>Areal-juletræer</v>
      </c>
      <c r="E383" s="94" t="str">
        <f>'Resultater - Vestdanmark'!E383</f>
        <v>Hektar</v>
      </c>
      <c r="F383" s="94" t="str">
        <f>'Resultater - Vestdanmark'!F383</f>
        <v>CO2 - atmosfære</v>
      </c>
      <c r="G383" s="94" t="str">
        <f>'Resultater - Vestdanmark'!G383</f>
        <v>t CO2-ækvivalenter</v>
      </c>
      <c r="H383" s="254">
        <f>'Resultater - Vestdanmark'!H383+'Resultater - Østdanmark'!H383</f>
        <v>622.38855232406365</v>
      </c>
      <c r="I383" s="255">
        <f>'Resultater - Vestdanmark'!I383+'Resultater - Østdanmark'!I383</f>
        <v>566.80721393453689</v>
      </c>
      <c r="J383" s="256">
        <f>'Resultater - Vestdanmark'!J383+'Resultater - Østdanmark'!J383</f>
        <v>83.510203476208076</v>
      </c>
    </row>
    <row r="384" spans="1:10" x14ac:dyDescent="0.25">
      <c r="A384" s="94" t="str">
        <f>'Resultater - Vestdanmark'!A384</f>
        <v>Juletræsmark</v>
      </c>
      <c r="B384" s="94" t="str">
        <f>'Resultater - Vestdanmark'!B384</f>
        <v>Økologisk</v>
      </c>
      <c r="C384" s="94" t="str">
        <f>'Resultater - Vestdanmark'!C384</f>
        <v>OC12</v>
      </c>
      <c r="D384" s="94" t="str">
        <f>'Resultater - Vestdanmark'!D384</f>
        <v>Areal-juletræer</v>
      </c>
      <c r="E384" s="94" t="str">
        <f>'Resultater - Vestdanmark'!E384</f>
        <v>Hektar</v>
      </c>
      <c r="F384" s="94" t="str">
        <f>'Resultater - Vestdanmark'!F384</f>
        <v>Juletræer</v>
      </c>
      <c r="G384" s="94" t="str">
        <f>'Resultater - Vestdanmark'!G384</f>
        <v>Ton</v>
      </c>
      <c r="H384" s="254">
        <f>'Resultater - Vestdanmark'!H384+'Resultater - Østdanmark'!H384</f>
        <v>1338.1083581082171</v>
      </c>
      <c r="I384" s="255">
        <f>'Resultater - Vestdanmark'!I384+'Resultater - Østdanmark'!I384</f>
        <v>1186.6899794869169</v>
      </c>
      <c r="J384" s="256">
        <f>'Resultater - Vestdanmark'!J384+'Resultater - Østdanmark'!J384</f>
        <v>0</v>
      </c>
    </row>
    <row r="385" spans="1:10" x14ac:dyDescent="0.25">
      <c r="A385" s="94" t="str">
        <f>'Resultater - Vestdanmark'!A385</f>
        <v>Juletræsmark</v>
      </c>
      <c r="B385" s="94" t="str">
        <f>'Resultater - Vestdanmark'!B385</f>
        <v>Økologisk</v>
      </c>
      <c r="C385" s="94" t="str">
        <f>'Resultater - Vestdanmark'!C385</f>
        <v>OC12</v>
      </c>
      <c r="D385" s="94" t="str">
        <f>'Resultater - Vestdanmark'!D385</f>
        <v>Areal-juletræer</v>
      </c>
      <c r="E385" s="94" t="str">
        <f>'Resultater - Vestdanmark'!E385</f>
        <v>Hektar</v>
      </c>
      <c r="F385" s="94" t="str">
        <f>'Resultater - Vestdanmark'!F385</f>
        <v>Gødning</v>
      </c>
      <c r="G385" s="94" t="str">
        <f>'Resultater - Vestdanmark'!G385</f>
        <v>kg N</v>
      </c>
      <c r="H385" s="254">
        <f>'Resultater - Vestdanmark'!H385+'Resultater - Østdanmark'!H385</f>
        <v>-1720.4250318534218</v>
      </c>
      <c r="I385" s="255">
        <f>'Resultater - Vestdanmark'!I385+'Resultater - Østdanmark'!I385</f>
        <v>-1525.7442593403216</v>
      </c>
      <c r="J385" s="256">
        <f>'Resultater - Vestdanmark'!J385+'Resultater - Østdanmark'!J385</f>
        <v>0</v>
      </c>
    </row>
    <row r="386" spans="1:10" x14ac:dyDescent="0.25">
      <c r="A386" s="94" t="str">
        <f>'Resultater - Vestdanmark'!A386</f>
        <v>Juletræsmark</v>
      </c>
      <c r="B386" s="94" t="str">
        <f>'Resultater - Vestdanmark'!B386</f>
        <v>Økologisk</v>
      </c>
      <c r="C386" s="94" t="str">
        <f>'Resultater - Vestdanmark'!C386</f>
        <v>OC12</v>
      </c>
      <c r="D386" s="94" t="str">
        <f>'Resultater - Vestdanmark'!D386</f>
        <v>Areal-juletræer</v>
      </c>
      <c r="E386" s="94" t="str">
        <f>'Resultater - Vestdanmark'!E386</f>
        <v>Hektar</v>
      </c>
      <c r="F386" s="94" t="str">
        <f>'Resultater - Vestdanmark'!F386</f>
        <v>CO2 - atmosfære</v>
      </c>
      <c r="G386" s="94" t="str">
        <f>'Resultater - Vestdanmark'!G386</f>
        <v>t CO2-ækvivalenter</v>
      </c>
      <c r="H386" s="254">
        <f>'Resultater - Vestdanmark'!H386+'Resultater - Østdanmark'!H386</f>
        <v>955.84850760346353</v>
      </c>
      <c r="I386" s="255">
        <f>'Resultater - Vestdanmark'!I386+'Resultater - Østdanmark'!I386</f>
        <v>847.68609283944113</v>
      </c>
      <c r="J386" s="256">
        <f>'Resultater - Vestdanmark'!J386+'Resultater - Østdanmark'!J386</f>
        <v>0</v>
      </c>
    </row>
    <row r="387" spans="1:10" x14ac:dyDescent="0.25">
      <c r="A387" s="94" t="str">
        <f>'Resultater - Vestdanmark'!A387</f>
        <v>Pil- og poppeldyrkning</v>
      </c>
      <c r="B387" s="94" t="str">
        <f>'Resultater - Vestdanmark'!B387</f>
        <v>Konventionel</v>
      </c>
      <c r="C387" s="94" t="str">
        <f>'Resultater - Vestdanmark'!C387</f>
        <v>JB1-10</v>
      </c>
      <c r="D387" s="94" t="str">
        <f>'Resultater - Vestdanmark'!D387</f>
        <v>Areal-pil-poppel</v>
      </c>
      <c r="E387" s="94" t="str">
        <f>'Resultater - Vestdanmark'!E387</f>
        <v>Hektar</v>
      </c>
      <c r="F387" s="94" t="str">
        <f>'Resultater - Vestdanmark'!F387</f>
        <v>Pil &amp; poppel</v>
      </c>
      <c r="G387" s="94" t="str">
        <f>'Resultater - Vestdanmark'!G387</f>
        <v>Ton</v>
      </c>
      <c r="H387" s="254">
        <f>'Resultater - Vestdanmark'!H387+'Resultater - Østdanmark'!H387</f>
        <v>151198.05286083202</v>
      </c>
      <c r="I387" s="255">
        <f>'Resultater - Vestdanmark'!I387+'Resultater - Østdanmark'!I387</f>
        <v>143692.88847300652</v>
      </c>
      <c r="J387" s="256">
        <f>'Resultater - Vestdanmark'!J387+'Resultater - Østdanmark'!J387</f>
        <v>126214.10721059988</v>
      </c>
    </row>
    <row r="388" spans="1:10" x14ac:dyDescent="0.25">
      <c r="A388" s="94" t="str">
        <f>'Resultater - Vestdanmark'!A388</f>
        <v>Pil- og poppeldyrkning</v>
      </c>
      <c r="B388" s="94" t="str">
        <f>'Resultater - Vestdanmark'!B388</f>
        <v>Konventionel</v>
      </c>
      <c r="C388" s="94" t="str">
        <f>'Resultater - Vestdanmark'!C388</f>
        <v>JB1-10</v>
      </c>
      <c r="D388" s="94" t="str">
        <f>'Resultater - Vestdanmark'!D388</f>
        <v>Areal-pil-poppel</v>
      </c>
      <c r="E388" s="94" t="str">
        <f>'Resultater - Vestdanmark'!E388</f>
        <v>Hektar</v>
      </c>
      <c r="F388" s="94" t="str">
        <f>'Resultater - Vestdanmark'!F388</f>
        <v>Gødning</v>
      </c>
      <c r="G388" s="94" t="str">
        <f>'Resultater - Vestdanmark'!G388</f>
        <v>kg N</v>
      </c>
      <c r="H388" s="254">
        <f>'Resultater - Vestdanmark'!H388+'Resultater - Østdanmark'!H388</f>
        <v>-743894.42007529351</v>
      </c>
      <c r="I388" s="255">
        <f>'Resultater - Vestdanmark'!I388+'Resultater - Østdanmark'!I388</f>
        <v>-706969.011287192</v>
      </c>
      <c r="J388" s="256">
        <f>'Resultater - Vestdanmark'!J388+'Resultater - Østdanmark'!J388</f>
        <v>-620973.40747615136</v>
      </c>
    </row>
    <row r="389" spans="1:10" x14ac:dyDescent="0.25">
      <c r="A389" s="94" t="str">
        <f>'Resultater - Vestdanmark'!A389</f>
        <v>Pil- og poppeldyrkning</v>
      </c>
      <c r="B389" s="94" t="str">
        <f>'Resultater - Vestdanmark'!B389</f>
        <v>Konventionel</v>
      </c>
      <c r="C389" s="94" t="str">
        <f>'Resultater - Vestdanmark'!C389</f>
        <v>JB1-10</v>
      </c>
      <c r="D389" s="94" t="str">
        <f>'Resultater - Vestdanmark'!D389</f>
        <v>Areal-pil-poppel</v>
      </c>
      <c r="E389" s="94" t="str">
        <f>'Resultater - Vestdanmark'!E389</f>
        <v>Hektar</v>
      </c>
      <c r="F389" s="94" t="str">
        <f>'Resultater - Vestdanmark'!F389</f>
        <v>CO2 - atmosfære</v>
      </c>
      <c r="G389" s="94" t="str">
        <f>'Resultater - Vestdanmark'!G389</f>
        <v>t CO2-ækvivalenter</v>
      </c>
      <c r="H389" s="254">
        <f>'Resultater - Vestdanmark'!H389+'Resultater - Østdanmark'!H389</f>
        <v>12185.575596215564</v>
      </c>
      <c r="I389" s="255">
        <f>'Resultater - Vestdanmark'!I389+'Resultater - Østdanmark'!I389</f>
        <v>11580.70836228332</v>
      </c>
      <c r="J389" s="256">
        <f>'Resultater - Vestdanmark'!J389+'Resultater - Østdanmark'!J389</f>
        <v>10172.03274528437</v>
      </c>
    </row>
    <row r="390" spans="1:10" x14ac:dyDescent="0.25">
      <c r="A390" s="94" t="str">
        <f>'Resultater - Vestdanmark'!A390</f>
        <v>Pil- og poppeldyrkning</v>
      </c>
      <c r="B390" s="94" t="str">
        <f>'Resultater - Vestdanmark'!B390</f>
        <v>Konventionel</v>
      </c>
      <c r="C390" s="94" t="str">
        <f>'Resultater - Vestdanmark'!C390</f>
        <v>OC6</v>
      </c>
      <c r="D390" s="94" t="str">
        <f>'Resultater - Vestdanmark'!D390</f>
        <v>Areal-pil-poppel</v>
      </c>
      <c r="E390" s="94" t="str">
        <f>'Resultater - Vestdanmark'!E390</f>
        <v>Hektar</v>
      </c>
      <c r="F390" s="94" t="str">
        <f>'Resultater - Vestdanmark'!F390</f>
        <v>Pil &amp; poppel</v>
      </c>
      <c r="G390" s="94" t="str">
        <f>'Resultater - Vestdanmark'!G390</f>
        <v>Ton</v>
      </c>
      <c r="H390" s="254">
        <f>'Resultater - Vestdanmark'!H390+'Resultater - Østdanmark'!H390</f>
        <v>22604.883417166257</v>
      </c>
      <c r="I390" s="255">
        <f>'Resultater - Vestdanmark'!I390+'Resultater - Østdanmark'!I390</f>
        <v>16832.230857183873</v>
      </c>
      <c r="J390" s="256">
        <f>'Resultater - Vestdanmark'!J390+'Resultater - Østdanmark'!J390</f>
        <v>1828.3432091748452</v>
      </c>
    </row>
    <row r="391" spans="1:10" x14ac:dyDescent="0.25">
      <c r="A391" s="94" t="str">
        <f>'Resultater - Vestdanmark'!A391</f>
        <v>Pil- og poppeldyrkning</v>
      </c>
      <c r="B391" s="94" t="str">
        <f>'Resultater - Vestdanmark'!B391</f>
        <v>Konventionel</v>
      </c>
      <c r="C391" s="94" t="str">
        <f>'Resultater - Vestdanmark'!C391</f>
        <v>OC6</v>
      </c>
      <c r="D391" s="94" t="str">
        <f>'Resultater - Vestdanmark'!D391</f>
        <v>Areal-pil-poppel</v>
      </c>
      <c r="E391" s="94" t="str">
        <f>'Resultater - Vestdanmark'!E391</f>
        <v>Hektar</v>
      </c>
      <c r="F391" s="94" t="str">
        <f>'Resultater - Vestdanmark'!F391</f>
        <v>Gødning</v>
      </c>
      <c r="G391" s="94" t="str">
        <f>'Resultater - Vestdanmark'!G391</f>
        <v>kg N</v>
      </c>
      <c r="H391" s="254">
        <f>'Resultater - Vestdanmark'!H391+'Resultater - Østdanmark'!H391</f>
        <v>-92680.022010381668</v>
      </c>
      <c r="I391" s="255">
        <f>'Resultater - Vestdanmark'!I391+'Resultater - Østdanmark'!I391</f>
        <v>-69012.146514453896</v>
      </c>
      <c r="J391" s="256">
        <f>'Resultater - Vestdanmark'!J391+'Resultater - Østdanmark'!J391</f>
        <v>-7496.2071576168664</v>
      </c>
    </row>
    <row r="392" spans="1:10" x14ac:dyDescent="0.25">
      <c r="A392" s="94" t="str">
        <f>'Resultater - Vestdanmark'!A392</f>
        <v>Pil- og poppeldyrkning</v>
      </c>
      <c r="B392" s="94" t="str">
        <f>'Resultater - Vestdanmark'!B392</f>
        <v>Konventionel</v>
      </c>
      <c r="C392" s="94" t="str">
        <f>'Resultater - Vestdanmark'!C392</f>
        <v>OC6</v>
      </c>
      <c r="D392" s="94" t="str">
        <f>'Resultater - Vestdanmark'!D392</f>
        <v>Areal-pil-poppel</v>
      </c>
      <c r="E392" s="94" t="str">
        <f>'Resultater - Vestdanmark'!E392</f>
        <v>Hektar</v>
      </c>
      <c r="F392" s="94" t="str">
        <f>'Resultater - Vestdanmark'!F392</f>
        <v>CO2 - atmosfære</v>
      </c>
      <c r="G392" s="94" t="str">
        <f>'Resultater - Vestdanmark'!G392</f>
        <v>t CO2-ækvivalenter</v>
      </c>
      <c r="H392" s="254">
        <f>'Resultater - Vestdanmark'!H392+'Resultater - Østdanmark'!H392</f>
        <v>8234.3839053876236</v>
      </c>
      <c r="I392" s="255">
        <f>'Resultater - Vestdanmark'!I392+'Resultater - Østdanmark'!I392</f>
        <v>6131.5534481769546</v>
      </c>
      <c r="J392" s="256">
        <f>'Resultater - Vestdanmark'!J392+'Resultater - Østdanmark'!J392</f>
        <v>666.01891358223281</v>
      </c>
    </row>
    <row r="393" spans="1:10" x14ac:dyDescent="0.25">
      <c r="A393" s="94" t="str">
        <f>'Resultater - Vestdanmark'!A393</f>
        <v>Pil- og poppeldyrkning</v>
      </c>
      <c r="B393" s="94" t="str">
        <f>'Resultater - Vestdanmark'!B393</f>
        <v>Konventionel</v>
      </c>
      <c r="C393" s="94" t="str">
        <f>'Resultater - Vestdanmark'!C393</f>
        <v>OC12</v>
      </c>
      <c r="D393" s="94" t="str">
        <f>'Resultater - Vestdanmark'!D393</f>
        <v>Areal-pil-poppel</v>
      </c>
      <c r="E393" s="94" t="str">
        <f>'Resultater - Vestdanmark'!E393</f>
        <v>Hektar</v>
      </c>
      <c r="F393" s="94" t="str">
        <f>'Resultater - Vestdanmark'!F393</f>
        <v>Pil &amp; poppel</v>
      </c>
      <c r="G393" s="94" t="str">
        <f>'Resultater - Vestdanmark'!G393</f>
        <v>Ton</v>
      </c>
      <c r="H393" s="254">
        <f>'Resultater - Vestdanmark'!H393+'Resultater - Østdanmark'!H393</f>
        <v>21807.878272481728</v>
      </c>
      <c r="I393" s="255">
        <f>'Resultater - Vestdanmark'!I393+'Resultater - Østdanmark'!I393</f>
        <v>15827.026345609298</v>
      </c>
      <c r="J393" s="256">
        <f>'Resultater - Vestdanmark'!J393+'Resultater - Østdanmark'!J393</f>
        <v>0</v>
      </c>
    </row>
    <row r="394" spans="1:10" x14ac:dyDescent="0.25">
      <c r="A394" s="94" t="str">
        <f>'Resultater - Vestdanmark'!A394</f>
        <v>Pil- og poppeldyrkning</v>
      </c>
      <c r="B394" s="94" t="str">
        <f>'Resultater - Vestdanmark'!B394</f>
        <v>Konventionel</v>
      </c>
      <c r="C394" s="94" t="str">
        <f>'Resultater - Vestdanmark'!C394</f>
        <v>OC12</v>
      </c>
      <c r="D394" s="94" t="str">
        <f>'Resultater - Vestdanmark'!D394</f>
        <v>Areal-pil-poppel</v>
      </c>
      <c r="E394" s="94" t="str">
        <f>'Resultater - Vestdanmark'!E394</f>
        <v>Hektar</v>
      </c>
      <c r="F394" s="94" t="str">
        <f>'Resultater - Vestdanmark'!F394</f>
        <v>Gødning</v>
      </c>
      <c r="G394" s="94" t="str">
        <f>'Resultater - Vestdanmark'!G394</f>
        <v>kg N</v>
      </c>
      <c r="H394" s="254">
        <f>'Resultater - Vestdanmark'!H394+'Resultater - Østdanmark'!H394</f>
        <v>-76639.115071864377</v>
      </c>
      <c r="I394" s="255">
        <f>'Resultater - Vestdanmark'!I394+'Resultater - Østdanmark'!I394</f>
        <v>-55620.692585998397</v>
      </c>
      <c r="J394" s="256">
        <f>'Resultater - Vestdanmark'!J394+'Resultater - Østdanmark'!J394</f>
        <v>0</v>
      </c>
    </row>
    <row r="395" spans="1:10" x14ac:dyDescent="0.25">
      <c r="A395" s="94" t="str">
        <f>'Resultater - Vestdanmark'!A395</f>
        <v>Pil- og poppeldyrkning</v>
      </c>
      <c r="B395" s="94" t="str">
        <f>'Resultater - Vestdanmark'!B395</f>
        <v>Konventionel</v>
      </c>
      <c r="C395" s="94" t="str">
        <f>'Resultater - Vestdanmark'!C395</f>
        <v>OC12</v>
      </c>
      <c r="D395" s="94" t="str">
        <f>'Resultater - Vestdanmark'!D395</f>
        <v>Areal-pil-poppel</v>
      </c>
      <c r="E395" s="94" t="str">
        <f>'Resultater - Vestdanmark'!E395</f>
        <v>Hektar</v>
      </c>
      <c r="F395" s="94" t="str">
        <f>'Resultater - Vestdanmark'!F395</f>
        <v>CO2 - atmosfære</v>
      </c>
      <c r="G395" s="94" t="str">
        <f>'Resultater - Vestdanmark'!G395</f>
        <v>t CO2-ækvivalenter</v>
      </c>
      <c r="H395" s="254">
        <f>'Resultater - Vestdanmark'!H395+'Resultater - Østdanmark'!H395</f>
        <v>18202.871953106896</v>
      </c>
      <c r="I395" s="255">
        <f>'Resultater - Vestdanmark'!I395+'Resultater - Østdanmark'!I395</f>
        <v>13210.699838283259</v>
      </c>
      <c r="J395" s="256">
        <f>'Resultater - Vestdanmark'!J395+'Resultater - Østdanmark'!J395</f>
        <v>0</v>
      </c>
    </row>
    <row r="396" spans="1:10" x14ac:dyDescent="0.25">
      <c r="A396" s="94" t="str">
        <f>'Resultater - Vestdanmark'!A396</f>
        <v>Pil- og poppeldyrkning</v>
      </c>
      <c r="B396" s="94" t="str">
        <f>'Resultater - Vestdanmark'!B396</f>
        <v>Økologisk</v>
      </c>
      <c r="C396" s="94" t="str">
        <f>'Resultater - Vestdanmark'!C396</f>
        <v>JB1-10</v>
      </c>
      <c r="D396" s="94" t="str">
        <f>'Resultater - Vestdanmark'!D396</f>
        <v>Areal-pil-poppel</v>
      </c>
      <c r="E396" s="94" t="str">
        <f>'Resultater - Vestdanmark'!E396</f>
        <v>Hektar</v>
      </c>
      <c r="F396" s="94" t="str">
        <f>'Resultater - Vestdanmark'!F396</f>
        <v>Pil &amp; poppel</v>
      </c>
      <c r="G396" s="94" t="str">
        <f>'Resultater - Vestdanmark'!G396</f>
        <v>Ton</v>
      </c>
      <c r="H396" s="254">
        <f>'Resultater - Vestdanmark'!H396+'Resultater - Østdanmark'!H396</f>
        <v>11019.474837461308</v>
      </c>
      <c r="I396" s="255">
        <f>'Resultater - Vestdanmark'!I396+'Resultater - Østdanmark'!I396</f>
        <v>12808.730911435499</v>
      </c>
      <c r="J396" s="256">
        <f>'Resultater - Vestdanmark'!J396+'Resultater - Østdanmark'!J396</f>
        <v>15260.432962736164</v>
      </c>
    </row>
    <row r="397" spans="1:10" x14ac:dyDescent="0.25">
      <c r="A397" s="94" t="str">
        <f>'Resultater - Vestdanmark'!A397</f>
        <v>Pil- og poppeldyrkning</v>
      </c>
      <c r="B397" s="94" t="str">
        <f>'Resultater - Vestdanmark'!B397</f>
        <v>Økologisk</v>
      </c>
      <c r="C397" s="94" t="str">
        <f>'Resultater - Vestdanmark'!C397</f>
        <v>JB1-10</v>
      </c>
      <c r="D397" s="94" t="str">
        <f>'Resultater - Vestdanmark'!D397</f>
        <v>Areal-pil-poppel</v>
      </c>
      <c r="E397" s="94" t="str">
        <f>'Resultater - Vestdanmark'!E397</f>
        <v>Hektar</v>
      </c>
      <c r="F397" s="94" t="str">
        <f>'Resultater - Vestdanmark'!F397</f>
        <v>Gødning</v>
      </c>
      <c r="G397" s="94" t="str">
        <f>'Resultater - Vestdanmark'!G397</f>
        <v>kg N</v>
      </c>
      <c r="H397" s="254">
        <f>'Resultater - Vestdanmark'!H397+'Resultater - Østdanmark'!H397</f>
        <v>-54215.816200309637</v>
      </c>
      <c r="I397" s="255">
        <f>'Resultater - Vestdanmark'!I397+'Resultater - Østdanmark'!I397</f>
        <v>-63018.956084262652</v>
      </c>
      <c r="J397" s="256">
        <f>'Resultater - Vestdanmark'!J397+'Resultater - Østdanmark'!J397</f>
        <v>-75081.330176661926</v>
      </c>
    </row>
    <row r="398" spans="1:10" x14ac:dyDescent="0.25">
      <c r="A398" s="94" t="str">
        <f>'Resultater - Vestdanmark'!A398</f>
        <v>Pil- og poppeldyrkning</v>
      </c>
      <c r="B398" s="94" t="str">
        <f>'Resultater - Vestdanmark'!B398</f>
        <v>Økologisk</v>
      </c>
      <c r="C398" s="94" t="str">
        <f>'Resultater - Vestdanmark'!C398</f>
        <v>JB1-10</v>
      </c>
      <c r="D398" s="94" t="str">
        <f>'Resultater - Vestdanmark'!D398</f>
        <v>Areal-pil-poppel</v>
      </c>
      <c r="E398" s="94" t="str">
        <f>'Resultater - Vestdanmark'!E398</f>
        <v>Hektar</v>
      </c>
      <c r="F398" s="94" t="str">
        <f>'Resultater - Vestdanmark'!F398</f>
        <v>CO2 - atmosfære</v>
      </c>
      <c r="G398" s="94" t="str">
        <f>'Resultater - Vestdanmark'!G398</f>
        <v>t CO2-ækvivalenter</v>
      </c>
      <c r="H398" s="254">
        <f>'Resultater - Vestdanmark'!H398+'Resultater - Østdanmark'!H398</f>
        <v>1558.0661481516906</v>
      </c>
      <c r="I398" s="255">
        <f>'Resultater - Vestdanmark'!I398+'Resultater - Østdanmark'!I398</f>
        <v>1811.0527342053906</v>
      </c>
      <c r="J398" s="256">
        <f>'Resultater - Vestdanmark'!J398+'Resultater - Østdanmark'!J398</f>
        <v>2157.7039156663814</v>
      </c>
    </row>
    <row r="399" spans="1:10" x14ac:dyDescent="0.25">
      <c r="A399" s="94" t="str">
        <f>'Resultater - Vestdanmark'!A399</f>
        <v>Pil- og poppeldyrkning</v>
      </c>
      <c r="B399" s="94" t="str">
        <f>'Resultater - Vestdanmark'!B399</f>
        <v>Økologisk</v>
      </c>
      <c r="C399" s="94" t="str">
        <f>'Resultater - Vestdanmark'!C399</f>
        <v>OC6</v>
      </c>
      <c r="D399" s="94" t="str">
        <f>'Resultater - Vestdanmark'!D399</f>
        <v>Areal-pil-poppel</v>
      </c>
      <c r="E399" s="94" t="str">
        <f>'Resultater - Vestdanmark'!E399</f>
        <v>Hektar</v>
      </c>
      <c r="F399" s="94" t="str">
        <f>'Resultater - Vestdanmark'!F399</f>
        <v>Pil &amp; poppel</v>
      </c>
      <c r="G399" s="94" t="str">
        <f>'Resultater - Vestdanmark'!G399</f>
        <v>Ton</v>
      </c>
      <c r="H399" s="254">
        <f>'Resultater - Vestdanmark'!H399+'Resultater - Østdanmark'!H399</f>
        <v>1647.4679356385941</v>
      </c>
      <c r="I399" s="255">
        <f>'Resultater - Vestdanmark'!I399+'Resultater - Østdanmark'!I399</f>
        <v>1500.4188306043495</v>
      </c>
      <c r="J399" s="256">
        <f>'Resultater - Vestdanmark'!J399+'Resultater - Østdanmark'!J399</f>
        <v>221.06331529114038</v>
      </c>
    </row>
    <row r="400" spans="1:10" x14ac:dyDescent="0.25">
      <c r="A400" s="94" t="str">
        <f>'Resultater - Vestdanmark'!A400</f>
        <v>Pil- og poppeldyrkning</v>
      </c>
      <c r="B400" s="94" t="str">
        <f>'Resultater - Vestdanmark'!B400</f>
        <v>Økologisk</v>
      </c>
      <c r="C400" s="94" t="str">
        <f>'Resultater - Vestdanmark'!C400</f>
        <v>OC6</v>
      </c>
      <c r="D400" s="94" t="str">
        <f>'Resultater - Vestdanmark'!D400</f>
        <v>Areal-pil-poppel</v>
      </c>
      <c r="E400" s="94" t="str">
        <f>'Resultater - Vestdanmark'!E400</f>
        <v>Hektar</v>
      </c>
      <c r="F400" s="94" t="str">
        <f>'Resultater - Vestdanmark'!F400</f>
        <v>Gødning</v>
      </c>
      <c r="G400" s="94" t="str">
        <f>'Resultater - Vestdanmark'!G400</f>
        <v>kg N</v>
      </c>
      <c r="H400" s="254">
        <f>'Resultater - Vestdanmark'!H400+'Resultater - Østdanmark'!H400</f>
        <v>-6754.6185361182361</v>
      </c>
      <c r="I400" s="255">
        <f>'Resultater - Vestdanmark'!I400+'Resultater - Østdanmark'!I400</f>
        <v>-6151.717205477833</v>
      </c>
      <c r="J400" s="256">
        <f>'Resultater - Vestdanmark'!J400+'Resultater - Østdanmark'!J400</f>
        <v>-906.35959269367561</v>
      </c>
    </row>
    <row r="401" spans="1:10" x14ac:dyDescent="0.25">
      <c r="A401" s="94" t="str">
        <f>'Resultater - Vestdanmark'!A401</f>
        <v>Pil- og poppeldyrkning</v>
      </c>
      <c r="B401" s="94" t="str">
        <f>'Resultater - Vestdanmark'!B401</f>
        <v>Økologisk</v>
      </c>
      <c r="C401" s="94" t="str">
        <f>'Resultater - Vestdanmark'!C401</f>
        <v>OC6</v>
      </c>
      <c r="D401" s="94" t="str">
        <f>'Resultater - Vestdanmark'!D401</f>
        <v>Areal-pil-poppel</v>
      </c>
      <c r="E401" s="94" t="str">
        <f>'Resultater - Vestdanmark'!E401</f>
        <v>Hektar</v>
      </c>
      <c r="F401" s="94" t="str">
        <f>'Resultater - Vestdanmark'!F401</f>
        <v>CO2 - atmosfære</v>
      </c>
      <c r="G401" s="94" t="str">
        <f>'Resultater - Vestdanmark'!G401</f>
        <v>t CO2-ækvivalenter</v>
      </c>
      <c r="H401" s="254">
        <f>'Resultater - Vestdanmark'!H401+'Resultater - Østdanmark'!H401</f>
        <v>1052.8607953369108</v>
      </c>
      <c r="I401" s="255">
        <f>'Resultater - Vestdanmark'!I401+'Resultater - Østdanmark'!I401</f>
        <v>958.88492222231616</v>
      </c>
      <c r="J401" s="256">
        <f>'Resultater - Vestdanmark'!J401+'Resultater - Østdanmark'!J401</f>
        <v>141.27673924471608</v>
      </c>
    </row>
    <row r="402" spans="1:10" x14ac:dyDescent="0.25">
      <c r="A402" s="94" t="str">
        <f>'Resultater - Vestdanmark'!A402</f>
        <v>Pil- og poppeldyrkning</v>
      </c>
      <c r="B402" s="94" t="str">
        <f>'Resultater - Vestdanmark'!B402</f>
        <v>Økologisk</v>
      </c>
      <c r="C402" s="94" t="str">
        <f>'Resultater - Vestdanmark'!C402</f>
        <v>OC12</v>
      </c>
      <c r="D402" s="94" t="str">
        <f>'Resultater - Vestdanmark'!D402</f>
        <v>Areal-pil-poppel</v>
      </c>
      <c r="E402" s="94" t="str">
        <f>'Resultater - Vestdanmark'!E402</f>
        <v>Hektar</v>
      </c>
      <c r="F402" s="94" t="str">
        <f>'Resultater - Vestdanmark'!F402</f>
        <v>Pil &amp; poppel</v>
      </c>
      <c r="G402" s="94" t="str">
        <f>'Resultater - Vestdanmark'!G402</f>
        <v>Ton</v>
      </c>
      <c r="H402" s="254">
        <f>'Resultater - Vestdanmark'!H402+'Resultater - Østdanmark'!H402</f>
        <v>1589.3813533645339</v>
      </c>
      <c r="I402" s="255">
        <f>'Resultater - Vestdanmark'!I402+'Resultater - Østdanmark'!I402</f>
        <v>1410.8152723730143</v>
      </c>
      <c r="J402" s="256">
        <f>'Resultater - Vestdanmark'!J402+'Resultater - Østdanmark'!J402</f>
        <v>0</v>
      </c>
    </row>
    <row r="403" spans="1:10" x14ac:dyDescent="0.25">
      <c r="A403" s="94" t="str">
        <f>'Resultater - Vestdanmark'!A403</f>
        <v>Pil- og poppeldyrkning</v>
      </c>
      <c r="B403" s="94" t="str">
        <f>'Resultater - Vestdanmark'!B403</f>
        <v>Økologisk</v>
      </c>
      <c r="C403" s="94" t="str">
        <f>'Resultater - Vestdanmark'!C403</f>
        <v>OC12</v>
      </c>
      <c r="D403" s="94" t="str">
        <f>'Resultater - Vestdanmark'!D403</f>
        <v>Areal-pil-poppel</v>
      </c>
      <c r="E403" s="94" t="str">
        <f>'Resultater - Vestdanmark'!E403</f>
        <v>Hektar</v>
      </c>
      <c r="F403" s="94" t="str">
        <f>'Resultater - Vestdanmark'!F403</f>
        <v>Gødning</v>
      </c>
      <c r="G403" s="94" t="str">
        <f>'Resultater - Vestdanmark'!G403</f>
        <v>kg N</v>
      </c>
      <c r="H403" s="254">
        <f>'Resultater - Vestdanmark'!H403+'Resultater - Østdanmark'!H403</f>
        <v>-5585.5401846810773</v>
      </c>
      <c r="I403" s="255">
        <f>'Resultater - Vestdanmark'!I403+'Resultater - Østdanmark'!I403</f>
        <v>-4958.0079571965944</v>
      </c>
      <c r="J403" s="256">
        <f>'Resultater - Vestdanmark'!J403+'Resultater - Østdanmark'!J403</f>
        <v>0</v>
      </c>
    </row>
    <row r="404" spans="1:10" x14ac:dyDescent="0.25">
      <c r="A404" s="94" t="str">
        <f>'Resultater - Vestdanmark'!A404</f>
        <v>Pil- og poppeldyrkning</v>
      </c>
      <c r="B404" s="94" t="str">
        <f>'Resultater - Vestdanmark'!B404</f>
        <v>Økologisk</v>
      </c>
      <c r="C404" s="94" t="str">
        <f>'Resultater - Vestdanmark'!C404</f>
        <v>OC12</v>
      </c>
      <c r="D404" s="94" t="str">
        <f>'Resultater - Vestdanmark'!D404</f>
        <v>Areal-pil-poppel</v>
      </c>
      <c r="E404" s="94" t="str">
        <f>'Resultater - Vestdanmark'!E404</f>
        <v>Hektar</v>
      </c>
      <c r="F404" s="94" t="str">
        <f>'Resultater - Vestdanmark'!F404</f>
        <v>CO2 - atmosfære</v>
      </c>
      <c r="G404" s="94" t="str">
        <f>'Resultater - Vestdanmark'!G404</f>
        <v>t CO2-ækvivalenter</v>
      </c>
      <c r="H404" s="254">
        <f>'Resultater - Vestdanmark'!H404+'Resultater - Østdanmark'!H404</f>
        <v>2327.4467722381351</v>
      </c>
      <c r="I404" s="255">
        <f>'Resultater - Vestdanmark'!I404+'Resultater - Østdanmark'!I404</f>
        <v>2065.9594659002678</v>
      </c>
      <c r="J404" s="256">
        <f>'Resultater - Vestdanmark'!J404+'Resultater - Østdanmark'!J404</f>
        <v>0</v>
      </c>
    </row>
    <row r="405" spans="1:10" x14ac:dyDescent="0.25">
      <c r="A405" s="94" t="str">
        <f>'Resultater - Vestdanmark'!A405</f>
        <v>Permanent græs</v>
      </c>
      <c r="B405" s="94" t="str">
        <f>'Resultater - Vestdanmark'!B405</f>
        <v>Konventionel</v>
      </c>
      <c r="C405" s="94" t="str">
        <f>'Resultater - Vestdanmark'!C405</f>
        <v>JB1-10</v>
      </c>
      <c r="D405" s="94" t="str">
        <f>'Resultater - Vestdanmark'!D405</f>
        <v>Areal-permanent græs</v>
      </c>
      <c r="E405" s="94" t="str">
        <f>'Resultater - Vestdanmark'!E405</f>
        <v>Hektar</v>
      </c>
      <c r="F405" s="94" t="str">
        <f>'Resultater - Vestdanmark'!F405</f>
        <v>Græs</v>
      </c>
      <c r="G405" s="94" t="str">
        <f>'Resultater - Vestdanmark'!G405</f>
        <v>Ton</v>
      </c>
      <c r="H405" s="254">
        <f>'Resultater - Vestdanmark'!H405+'Resultater - Østdanmark'!H405</f>
        <v>2074307.374215838</v>
      </c>
      <c r="I405" s="255">
        <f>'Resultater - Vestdanmark'!I405+'Resultater - Østdanmark'!I405</f>
        <v>3063118.5621849326</v>
      </c>
      <c r="J405" s="256">
        <f>'Resultater - Vestdanmark'!J405+'Resultater - Østdanmark'!J405</f>
        <v>0</v>
      </c>
    </row>
    <row r="406" spans="1:10" x14ac:dyDescent="0.25">
      <c r="A406" s="94" t="str">
        <f>'Resultater - Vestdanmark'!A406</f>
        <v>Permanent græs</v>
      </c>
      <c r="B406" s="94" t="str">
        <f>'Resultater - Vestdanmark'!B406</f>
        <v>Konventionel</v>
      </c>
      <c r="C406" s="94" t="str">
        <f>'Resultater - Vestdanmark'!C406</f>
        <v>JB1-10</v>
      </c>
      <c r="D406" s="94" t="str">
        <f>'Resultater - Vestdanmark'!D406</f>
        <v>Areal-permanent græs</v>
      </c>
      <c r="E406" s="94" t="str">
        <f>'Resultater - Vestdanmark'!E406</f>
        <v>Hektar</v>
      </c>
      <c r="F406" s="94" t="str">
        <f>'Resultater - Vestdanmark'!F406</f>
        <v>Gødning</v>
      </c>
      <c r="G406" s="94" t="str">
        <f>'Resultater - Vestdanmark'!G406</f>
        <v>kg N</v>
      </c>
      <c r="H406" s="254">
        <f>'Resultater - Vestdanmark'!H406+'Resultater - Østdanmark'!H406</f>
        <v>-7521056.4692379907</v>
      </c>
      <c r="I406" s="255">
        <f>'Resultater - Vestdanmark'!I406+'Resultater - Østdanmark'!I406</f>
        <v>-11106303.706254287</v>
      </c>
      <c r="J406" s="256">
        <f>'Resultater - Vestdanmark'!J406+'Resultater - Østdanmark'!J406</f>
        <v>0</v>
      </c>
    </row>
    <row r="407" spans="1:10" x14ac:dyDescent="0.25">
      <c r="A407" s="94" t="str">
        <f>'Resultater - Vestdanmark'!A407</f>
        <v>Permanent græs</v>
      </c>
      <c r="B407" s="94" t="str">
        <f>'Resultater - Vestdanmark'!B407</f>
        <v>Konventionel</v>
      </c>
      <c r="C407" s="94" t="str">
        <f>'Resultater - Vestdanmark'!C407</f>
        <v>JB1-10</v>
      </c>
      <c r="D407" s="94" t="str">
        <f>'Resultater - Vestdanmark'!D407</f>
        <v>Areal-permanent græs</v>
      </c>
      <c r="E407" s="94" t="str">
        <f>'Resultater - Vestdanmark'!E407</f>
        <v>Hektar</v>
      </c>
      <c r="F407" s="94" t="str">
        <f>'Resultater - Vestdanmark'!F407</f>
        <v>CO2 - atmosfære</v>
      </c>
      <c r="G407" s="94" t="str">
        <f>'Resultater - Vestdanmark'!G407</f>
        <v>t CO2-ækvivalenter</v>
      </c>
      <c r="H407" s="254">
        <f>'Resultater - Vestdanmark'!H407+'Resultater - Østdanmark'!H407</f>
        <v>295681.96678242408</v>
      </c>
      <c r="I407" s="255">
        <f>'Resultater - Vestdanmark'!I407+'Resultater - Østdanmark'!I407</f>
        <v>436631.97277933895</v>
      </c>
      <c r="J407" s="256">
        <f>'Resultater - Vestdanmark'!J407+'Resultater - Østdanmark'!J407</f>
        <v>0</v>
      </c>
    </row>
    <row r="408" spans="1:10" x14ac:dyDescent="0.25">
      <c r="A408" s="94" t="str">
        <f>'Resultater - Vestdanmark'!A408</f>
        <v>Permanent græs</v>
      </c>
      <c r="B408" s="94" t="str">
        <f>'Resultater - Vestdanmark'!B408</f>
        <v>Konventionel</v>
      </c>
      <c r="C408" s="94" t="str">
        <f>'Resultater - Vestdanmark'!C408</f>
        <v>OC6</v>
      </c>
      <c r="D408" s="94" t="str">
        <f>'Resultater - Vestdanmark'!D408</f>
        <v>Areal-permanent græs</v>
      </c>
      <c r="E408" s="94" t="str">
        <f>'Resultater - Vestdanmark'!E408</f>
        <v>Hektar</v>
      </c>
      <c r="F408" s="94" t="str">
        <f>'Resultater - Vestdanmark'!F408</f>
        <v>Græs</v>
      </c>
      <c r="G408" s="94" t="str">
        <f>'Resultater - Vestdanmark'!G408</f>
        <v>Ton</v>
      </c>
      <c r="H408" s="254">
        <f>'Resultater - Vestdanmark'!H408+'Resultater - Østdanmark'!H408</f>
        <v>362795.13500095531</v>
      </c>
      <c r="I408" s="255">
        <f>'Resultater - Vestdanmark'!I408+'Resultater - Østdanmark'!I408</f>
        <v>269871.84367810137</v>
      </c>
      <c r="J408" s="256">
        <f>'Resultater - Vestdanmark'!J408+'Resultater - Østdanmark'!J408</f>
        <v>29313.901224552461</v>
      </c>
    </row>
    <row r="409" spans="1:10" x14ac:dyDescent="0.25">
      <c r="A409" s="94" t="str">
        <f>'Resultater - Vestdanmark'!A409</f>
        <v>Permanent græs</v>
      </c>
      <c r="B409" s="94" t="str">
        <f>'Resultater - Vestdanmark'!B409</f>
        <v>Konventionel</v>
      </c>
      <c r="C409" s="94" t="str">
        <f>'Resultater - Vestdanmark'!C409</f>
        <v>OC6</v>
      </c>
      <c r="D409" s="94" t="str">
        <f>'Resultater - Vestdanmark'!D409</f>
        <v>Areal-permanent græs</v>
      </c>
      <c r="E409" s="94" t="str">
        <f>'Resultater - Vestdanmark'!E409</f>
        <v>Hektar</v>
      </c>
      <c r="F409" s="94" t="str">
        <f>'Resultater - Vestdanmark'!F409</f>
        <v>Gødning</v>
      </c>
      <c r="G409" s="94" t="str">
        <f>'Resultater - Vestdanmark'!G409</f>
        <v>kg N</v>
      </c>
      <c r="H409" s="254">
        <f>'Resultater - Vestdanmark'!H409+'Resultater - Østdanmark'!H409</f>
        <v>-1096190.2797950064</v>
      </c>
      <c r="I409" s="255">
        <f>'Resultater - Vestdanmark'!I409+'Resultater - Østdanmark'!I409</f>
        <v>-815421.33091038605</v>
      </c>
      <c r="J409" s="256">
        <f>'Resultater - Vestdanmark'!J409+'Resultater - Østdanmark'!J409</f>
        <v>-88572.338725382098</v>
      </c>
    </row>
    <row r="410" spans="1:10" x14ac:dyDescent="0.25">
      <c r="A410" s="94" t="str">
        <f>'Resultater - Vestdanmark'!A410</f>
        <v>Permanent græs</v>
      </c>
      <c r="B410" s="94" t="str">
        <f>'Resultater - Vestdanmark'!B410</f>
        <v>Konventionel</v>
      </c>
      <c r="C410" s="94" t="str">
        <f>'Resultater - Vestdanmark'!C410</f>
        <v>OC6</v>
      </c>
      <c r="D410" s="94" t="str">
        <f>'Resultater - Vestdanmark'!D410</f>
        <v>Areal-permanent græs</v>
      </c>
      <c r="E410" s="94" t="str">
        <f>'Resultater - Vestdanmark'!E410</f>
        <v>Hektar</v>
      </c>
      <c r="F410" s="94" t="str">
        <f>'Resultater - Vestdanmark'!F410</f>
        <v>CO2 - atmosfære</v>
      </c>
      <c r="G410" s="94" t="str">
        <f>'Resultater - Vestdanmark'!G410</f>
        <v>t CO2-ækvivalenter</v>
      </c>
      <c r="H410" s="254">
        <f>'Resultater - Vestdanmark'!H410+'Resultater - Østdanmark'!H410</f>
        <v>233744.91463565463</v>
      </c>
      <c r="I410" s="255">
        <f>'Resultater - Vestdanmark'!I410+'Resultater - Østdanmark'!I410</f>
        <v>173875.46021789522</v>
      </c>
      <c r="J410" s="256">
        <f>'Resultater - Vestdanmark'!J410+'Resultater - Østdanmark'!J410</f>
        <v>18886.624098068416</v>
      </c>
    </row>
    <row r="411" spans="1:10" x14ac:dyDescent="0.25">
      <c r="A411" s="94" t="str">
        <f>'Resultater - Vestdanmark'!A411</f>
        <v>Permanent græs</v>
      </c>
      <c r="B411" s="94" t="str">
        <f>'Resultater - Vestdanmark'!B411</f>
        <v>Konventionel</v>
      </c>
      <c r="C411" s="94" t="str">
        <f>'Resultater - Vestdanmark'!C411</f>
        <v>OC12</v>
      </c>
      <c r="D411" s="94" t="str">
        <f>'Resultater - Vestdanmark'!D411</f>
        <v>Areal-permanent græs</v>
      </c>
      <c r="E411" s="94" t="str">
        <f>'Resultater - Vestdanmark'!E411</f>
        <v>Hektar</v>
      </c>
      <c r="F411" s="94" t="str">
        <f>'Resultater - Vestdanmark'!F411</f>
        <v>Græs</v>
      </c>
      <c r="G411" s="94" t="str">
        <f>'Resultater - Vestdanmark'!G411</f>
        <v>Ton</v>
      </c>
      <c r="H411" s="254">
        <f>'Resultater - Vestdanmark'!H411+'Resultater - Østdanmark'!H411</f>
        <v>458081.74348965334</v>
      </c>
      <c r="I411" s="255">
        <f>'Resultater - Vestdanmark'!I411+'Resultater - Østdanmark'!I411</f>
        <v>328211.74815561355</v>
      </c>
      <c r="J411" s="256">
        <f>'Resultater - Vestdanmark'!J411+'Resultater - Østdanmark'!J411</f>
        <v>0</v>
      </c>
    </row>
    <row r="412" spans="1:10" x14ac:dyDescent="0.25">
      <c r="A412" s="94" t="str">
        <f>'Resultater - Vestdanmark'!A412</f>
        <v>Permanent græs</v>
      </c>
      <c r="B412" s="94" t="str">
        <f>'Resultater - Vestdanmark'!B412</f>
        <v>Konventionel</v>
      </c>
      <c r="C412" s="94" t="str">
        <f>'Resultater - Vestdanmark'!C412</f>
        <v>OC12</v>
      </c>
      <c r="D412" s="94" t="str">
        <f>'Resultater - Vestdanmark'!D412</f>
        <v>Areal-permanent græs</v>
      </c>
      <c r="E412" s="94" t="str">
        <f>'Resultater - Vestdanmark'!E412</f>
        <v>Hektar</v>
      </c>
      <c r="F412" s="94" t="str">
        <f>'Resultater - Vestdanmark'!F412</f>
        <v>Gødning</v>
      </c>
      <c r="G412" s="94" t="str">
        <f>'Resultater - Vestdanmark'!G412</f>
        <v>kg N</v>
      </c>
      <c r="H412" s="254">
        <f>'Resultater - Vestdanmark'!H412+'Resultater - Østdanmark'!H412</f>
        <v>-1186371.4479686453</v>
      </c>
      <c r="I412" s="255">
        <f>'Resultater - Vestdanmark'!I412+'Resultater - Østdanmark'!I412</f>
        <v>-850025.24644051981</v>
      </c>
      <c r="J412" s="256">
        <f>'Resultater - Vestdanmark'!J412+'Resultater - Østdanmark'!J412</f>
        <v>0</v>
      </c>
    </row>
    <row r="413" spans="1:10" x14ac:dyDescent="0.25">
      <c r="A413" s="94" t="str">
        <f>'Resultater - Vestdanmark'!A413</f>
        <v>Permanent græs</v>
      </c>
      <c r="B413" s="94" t="str">
        <f>'Resultater - Vestdanmark'!B413</f>
        <v>Konventionel</v>
      </c>
      <c r="C413" s="94" t="str">
        <f>'Resultater - Vestdanmark'!C413</f>
        <v>OC12</v>
      </c>
      <c r="D413" s="94" t="str">
        <f>'Resultater - Vestdanmark'!D413</f>
        <v>Areal-permanent græs</v>
      </c>
      <c r="E413" s="94" t="str">
        <f>'Resultater - Vestdanmark'!E413</f>
        <v>Hektar</v>
      </c>
      <c r="F413" s="94" t="str">
        <f>'Resultater - Vestdanmark'!F413</f>
        <v>CO2 - atmosfære</v>
      </c>
      <c r="G413" s="94" t="str">
        <f>'Resultater - Vestdanmark'!G413</f>
        <v>t CO2-ækvivalenter</v>
      </c>
      <c r="H413" s="254">
        <f>'Resultater - Vestdanmark'!H413+'Resultater - Østdanmark'!H413</f>
        <v>676271.92832627031</v>
      </c>
      <c r="I413" s="255">
        <f>'Resultater - Vestdanmark'!I413+'Resultater - Østdanmark'!I413</f>
        <v>484543.19557388418</v>
      </c>
      <c r="J413" s="256">
        <f>'Resultater - Vestdanmark'!J413+'Resultater - Østdanmark'!J413</f>
        <v>0</v>
      </c>
    </row>
    <row r="414" spans="1:10" x14ac:dyDescent="0.25">
      <c r="A414" s="94" t="str">
        <f>'Resultater - Vestdanmark'!A414</f>
        <v>Permanent græs</v>
      </c>
      <c r="B414" s="94" t="str">
        <f>'Resultater - Vestdanmark'!B414</f>
        <v>Økologisk</v>
      </c>
      <c r="C414" s="94" t="str">
        <f>'Resultater - Vestdanmark'!C414</f>
        <v>JB1-10</v>
      </c>
      <c r="D414" s="94" t="str">
        <f>'Resultater - Vestdanmark'!D414</f>
        <v>Areal-permanent græs</v>
      </c>
      <c r="E414" s="94" t="str">
        <f>'Resultater - Vestdanmark'!E414</f>
        <v>Hektar</v>
      </c>
      <c r="F414" s="94" t="str">
        <f>'Resultater - Vestdanmark'!F414</f>
        <v>Græs</v>
      </c>
      <c r="G414" s="94" t="str">
        <f>'Resultater - Vestdanmark'!G414</f>
        <v>Ton</v>
      </c>
      <c r="H414" s="254">
        <f>'Resultater - Vestdanmark'!H414+'Resultater - Østdanmark'!H414</f>
        <v>265224.08195726445</v>
      </c>
      <c r="I414" s="255">
        <f>'Resultater - Vestdanmark'!I414+'Resultater - Østdanmark'!I414</f>
        <v>479026.76362247468</v>
      </c>
      <c r="J414" s="256">
        <f>'Resultater - Vestdanmark'!J414+'Resultater - Østdanmark'!J414</f>
        <v>0</v>
      </c>
    </row>
    <row r="415" spans="1:10" x14ac:dyDescent="0.25">
      <c r="A415" s="94" t="str">
        <f>'Resultater - Vestdanmark'!A415</f>
        <v>Permanent græs</v>
      </c>
      <c r="B415" s="94" t="str">
        <f>'Resultater - Vestdanmark'!B415</f>
        <v>Økologisk</v>
      </c>
      <c r="C415" s="94" t="str">
        <f>'Resultater - Vestdanmark'!C415</f>
        <v>JB1-10</v>
      </c>
      <c r="D415" s="94" t="str">
        <f>'Resultater - Vestdanmark'!D415</f>
        <v>Areal-permanent græs</v>
      </c>
      <c r="E415" s="94" t="str">
        <f>'Resultater - Vestdanmark'!E415</f>
        <v>Hektar</v>
      </c>
      <c r="F415" s="94" t="str">
        <f>'Resultater - Vestdanmark'!F415</f>
        <v>Gødning</v>
      </c>
      <c r="G415" s="94" t="str">
        <f>'Resultater - Vestdanmark'!G415</f>
        <v>kg N</v>
      </c>
      <c r="H415" s="254">
        <f>'Resultater - Vestdanmark'!H415+'Resultater - Østdanmark'!H415</f>
        <v>-961653.66917064704</v>
      </c>
      <c r="I415" s="255">
        <f>'Resultater - Vestdanmark'!I415+'Resultater - Østdanmark'!I415</f>
        <v>-1736862.8122642301</v>
      </c>
      <c r="J415" s="256">
        <f>'Resultater - Vestdanmark'!J415+'Resultater - Østdanmark'!J415</f>
        <v>0</v>
      </c>
    </row>
    <row r="416" spans="1:10" x14ac:dyDescent="0.25">
      <c r="A416" s="94" t="str">
        <f>'Resultater - Vestdanmark'!A416</f>
        <v>Permanent græs</v>
      </c>
      <c r="B416" s="94" t="str">
        <f>'Resultater - Vestdanmark'!B416</f>
        <v>Økologisk</v>
      </c>
      <c r="C416" s="94" t="str">
        <f>'Resultater - Vestdanmark'!C416</f>
        <v>JB1-10</v>
      </c>
      <c r="D416" s="94" t="str">
        <f>'Resultater - Vestdanmark'!D416</f>
        <v>Areal-permanent græs</v>
      </c>
      <c r="E416" s="94" t="str">
        <f>'Resultater - Vestdanmark'!E416</f>
        <v>Hektar</v>
      </c>
      <c r="F416" s="94" t="str">
        <f>'Resultater - Vestdanmark'!F416</f>
        <v>CO2 - atmosfære</v>
      </c>
      <c r="G416" s="94" t="str">
        <f>'Resultater - Vestdanmark'!G416</f>
        <v>t CO2-ækvivalenter</v>
      </c>
      <c r="H416" s="254">
        <f>'Resultater - Vestdanmark'!H416+'Resultater - Østdanmark'!H416</f>
        <v>37806.344019209348</v>
      </c>
      <c r="I416" s="255">
        <f>'Resultater - Vestdanmark'!I416+'Resultater - Østdanmark'!I416</f>
        <v>68282.828943255081</v>
      </c>
      <c r="J416" s="256">
        <f>'Resultater - Vestdanmark'!J416+'Resultater - Østdanmark'!J416</f>
        <v>0</v>
      </c>
    </row>
    <row r="417" spans="1:10" x14ac:dyDescent="0.25">
      <c r="A417" s="94" t="str">
        <f>'Resultater - Vestdanmark'!A417</f>
        <v>Permanent græs</v>
      </c>
      <c r="B417" s="94" t="str">
        <f>'Resultater - Vestdanmark'!B417</f>
        <v>Økologisk</v>
      </c>
      <c r="C417" s="94" t="str">
        <f>'Resultater - Vestdanmark'!C417</f>
        <v>OC6</v>
      </c>
      <c r="D417" s="94" t="str">
        <f>'Resultater - Vestdanmark'!D417</f>
        <v>Areal-permanent græs</v>
      </c>
      <c r="E417" s="94" t="str">
        <f>'Resultater - Vestdanmark'!E417</f>
        <v>Hektar</v>
      </c>
      <c r="F417" s="94" t="str">
        <f>'Resultater - Vestdanmark'!F417</f>
        <v>Græs</v>
      </c>
      <c r="G417" s="94" t="str">
        <f>'Resultater - Vestdanmark'!G417</f>
        <v>Ton</v>
      </c>
      <c r="H417" s="254">
        <f>'Resultater - Vestdanmark'!H417+'Resultater - Østdanmark'!H417</f>
        <v>46387.535336013323</v>
      </c>
      <c r="I417" s="255">
        <f>'Resultater - Vestdanmark'!I417+'Resultater - Østdanmark'!I417</f>
        <v>42203.993494048242</v>
      </c>
      <c r="J417" s="256">
        <f>'Resultater - Vestdanmark'!J417+'Resultater - Østdanmark'!J417</f>
        <v>6218.1002597535526</v>
      </c>
    </row>
    <row r="418" spans="1:10" x14ac:dyDescent="0.25">
      <c r="A418" s="94" t="str">
        <f>'Resultater - Vestdanmark'!A418</f>
        <v>Permanent græs</v>
      </c>
      <c r="B418" s="94" t="str">
        <f>'Resultater - Vestdanmark'!B418</f>
        <v>Økologisk</v>
      </c>
      <c r="C418" s="94" t="str">
        <f>'Resultater - Vestdanmark'!C418</f>
        <v>OC6</v>
      </c>
      <c r="D418" s="94" t="str">
        <f>'Resultater - Vestdanmark'!D418</f>
        <v>Areal-permanent græs</v>
      </c>
      <c r="E418" s="94" t="str">
        <f>'Resultater - Vestdanmark'!E418</f>
        <v>Hektar</v>
      </c>
      <c r="F418" s="94" t="str">
        <f>'Resultater - Vestdanmark'!F418</f>
        <v>Gødning</v>
      </c>
      <c r="G418" s="94" t="str">
        <f>'Resultater - Vestdanmark'!G418</f>
        <v>kg N</v>
      </c>
      <c r="H418" s="254">
        <f>'Resultater - Vestdanmark'!H418+'Resultater - Østdanmark'!H418</f>
        <v>-140160.5491177584</v>
      </c>
      <c r="I418" s="255">
        <f>'Resultater - Vestdanmark'!I418+'Resultater - Østdanmark'!I418</f>
        <v>-127519.92232912809</v>
      </c>
      <c r="J418" s="256">
        <f>'Resultater - Vestdanmark'!J418+'Resultater - Østdanmark'!J418</f>
        <v>-18788.071850838624</v>
      </c>
    </row>
    <row r="419" spans="1:10" x14ac:dyDescent="0.25">
      <c r="A419" s="94" t="str">
        <f>'Resultater - Vestdanmark'!A419</f>
        <v>Permanent græs</v>
      </c>
      <c r="B419" s="94" t="str">
        <f>'Resultater - Vestdanmark'!B419</f>
        <v>Økologisk</v>
      </c>
      <c r="C419" s="94" t="str">
        <f>'Resultater - Vestdanmark'!C419</f>
        <v>OC6</v>
      </c>
      <c r="D419" s="94" t="str">
        <f>'Resultater - Vestdanmark'!D419</f>
        <v>Areal-permanent græs</v>
      </c>
      <c r="E419" s="94" t="str">
        <f>'Resultater - Vestdanmark'!E419</f>
        <v>Hektar</v>
      </c>
      <c r="F419" s="94" t="str">
        <f>'Resultater - Vestdanmark'!F419</f>
        <v>CO2 - atmosfære</v>
      </c>
      <c r="G419" s="94" t="str">
        <f>'Resultater - Vestdanmark'!G419</f>
        <v>t CO2-ækvivalenter</v>
      </c>
      <c r="H419" s="254">
        <f>'Resultater - Vestdanmark'!H419+'Resultater - Østdanmark'!H419</f>
        <v>29886.978741449482</v>
      </c>
      <c r="I419" s="255">
        <f>'Resultater - Vestdanmark'!I419+'Resultater - Østdanmark'!I419</f>
        <v>27191.568752772975</v>
      </c>
      <c r="J419" s="256">
        <f>'Resultater - Vestdanmark'!J419+'Resultater - Østdanmark'!J419</f>
        <v>4006.2535965599664</v>
      </c>
    </row>
    <row r="420" spans="1:10" x14ac:dyDescent="0.25">
      <c r="A420" s="94" t="str">
        <f>'Resultater - Vestdanmark'!A420</f>
        <v>Permanent græs</v>
      </c>
      <c r="B420" s="94" t="str">
        <f>'Resultater - Vestdanmark'!B420</f>
        <v>Økologisk</v>
      </c>
      <c r="C420" s="94" t="str">
        <f>'Resultater - Vestdanmark'!C420</f>
        <v>OC12</v>
      </c>
      <c r="D420" s="94" t="str">
        <f>'Resultater - Vestdanmark'!D420</f>
        <v>Areal-permanent græs</v>
      </c>
      <c r="E420" s="94" t="str">
        <f>'Resultater - Vestdanmark'!E420</f>
        <v>Hektar</v>
      </c>
      <c r="F420" s="94" t="str">
        <f>'Resultater - Vestdanmark'!F420</f>
        <v>Græs</v>
      </c>
      <c r="G420" s="94" t="str">
        <f>'Resultater - Vestdanmark'!G420</f>
        <v>Ton</v>
      </c>
      <c r="H420" s="254">
        <f>'Resultater - Vestdanmark'!H420+'Resultater - Østdanmark'!H420</f>
        <v>58571.025388344671</v>
      </c>
      <c r="I420" s="255">
        <f>'Resultater - Vestdanmark'!I420+'Resultater - Østdanmark'!I420</f>
        <v>51327.497878407667</v>
      </c>
      <c r="J420" s="256">
        <f>'Resultater - Vestdanmark'!J420+'Resultater - Østdanmark'!J420</f>
        <v>0</v>
      </c>
    </row>
    <row r="421" spans="1:10" x14ac:dyDescent="0.25">
      <c r="A421" s="94" t="str">
        <f>'Resultater - Vestdanmark'!A421</f>
        <v>Permanent græs</v>
      </c>
      <c r="B421" s="94" t="str">
        <f>'Resultater - Vestdanmark'!B421</f>
        <v>Økologisk</v>
      </c>
      <c r="C421" s="94" t="str">
        <f>'Resultater - Vestdanmark'!C421</f>
        <v>OC12</v>
      </c>
      <c r="D421" s="94" t="str">
        <f>'Resultater - Vestdanmark'!D421</f>
        <v>Areal-permanent græs</v>
      </c>
      <c r="E421" s="94" t="str">
        <f>'Resultater - Vestdanmark'!E421</f>
        <v>Hektar</v>
      </c>
      <c r="F421" s="94" t="str">
        <f>'Resultater - Vestdanmark'!F421</f>
        <v>Gødning</v>
      </c>
      <c r="G421" s="94" t="str">
        <f>'Resultater - Vestdanmark'!G421</f>
        <v>kg N</v>
      </c>
      <c r="H421" s="254">
        <f>'Resultater - Vestdanmark'!H421+'Resultater - Østdanmark'!H421</f>
        <v>-151691.24984032079</v>
      </c>
      <c r="I421" s="255">
        <f>'Resultater - Vestdanmark'!I421+'Resultater - Østdanmark'!I421</f>
        <v>-132931.46658657325</v>
      </c>
      <c r="J421" s="256">
        <f>'Resultater - Vestdanmark'!J421+'Resultater - Østdanmark'!J421</f>
        <v>0</v>
      </c>
    </row>
    <row r="422" spans="1:10" x14ac:dyDescent="0.25">
      <c r="A422" s="94" t="str">
        <f>'Resultater - Vestdanmark'!A422</f>
        <v>Permanent græs</v>
      </c>
      <c r="B422" s="94" t="str">
        <f>'Resultater - Vestdanmark'!B422</f>
        <v>Økologisk</v>
      </c>
      <c r="C422" s="94" t="str">
        <f>'Resultater - Vestdanmark'!C422</f>
        <v>OC12</v>
      </c>
      <c r="D422" s="94" t="str">
        <f>'Resultater - Vestdanmark'!D422</f>
        <v>Areal-permanent græs</v>
      </c>
      <c r="E422" s="94" t="str">
        <f>'Resultater - Vestdanmark'!E422</f>
        <v>Hektar</v>
      </c>
      <c r="F422" s="94" t="str">
        <f>'Resultater - Vestdanmark'!F422</f>
        <v>CO2 - atmosfære</v>
      </c>
      <c r="G422" s="94" t="str">
        <f>'Resultater - Vestdanmark'!G422</f>
        <v>t CO2-ækvivalenter</v>
      </c>
      <c r="H422" s="254">
        <f>'Resultater - Vestdanmark'!H422+'Resultater - Østdanmark'!H422</f>
        <v>86469.152823414028</v>
      </c>
      <c r="I422" s="255">
        <f>'Resultater - Vestdanmark'!I422+'Resultater - Østdanmark'!I422</f>
        <v>75775.440649442346</v>
      </c>
      <c r="J422" s="256">
        <f>'Resultater - Vestdanmark'!J422+'Resultater - Østdanmark'!J422</f>
        <v>0</v>
      </c>
    </row>
    <row r="423" spans="1:10" x14ac:dyDescent="0.25">
      <c r="A423" s="94" t="str">
        <f>'Resultater - Vestdanmark'!A423</f>
        <v>Tømmerproduktion</v>
      </c>
      <c r="B423" s="94" t="str">
        <f>'Resultater - Vestdanmark'!B423</f>
        <v/>
      </c>
      <c r="C423" s="94" t="str">
        <f>'Resultater - Vestdanmark'!C423</f>
        <v/>
      </c>
      <c r="D423" s="94" t="str">
        <f>'Resultater - Vestdanmark'!D423</f>
        <v>Træer</v>
      </c>
      <c r="E423" s="94" t="str">
        <f>'Resultater - Vestdanmark'!E423</f>
        <v>m3</v>
      </c>
      <c r="F423" s="94" t="str">
        <f>'Resultater - Vestdanmark'!F423</f>
        <v>Træmaterialer</v>
      </c>
      <c r="G423" s="94" t="str">
        <f>'Resultater - Vestdanmark'!G423</f>
        <v>m3</v>
      </c>
      <c r="H423" s="254">
        <f ca="1">'Resultater - Vestdanmark'!H423+'Resultater - Østdanmark'!H423</f>
        <v>827707.93518034508</v>
      </c>
      <c r="I423" s="255">
        <f ca="1">'Resultater - Vestdanmark'!I423+'Resultater - Østdanmark'!I423</f>
        <v>788679.64758670493</v>
      </c>
      <c r="J423" s="256">
        <f ca="1">'Resultater - Vestdanmark'!J423+'Resultater - Østdanmark'!J423</f>
        <v>840705.04818703001</v>
      </c>
    </row>
    <row r="424" spans="1:10" x14ac:dyDescent="0.25">
      <c r="A424" s="94" t="str">
        <f>'Resultater - Vestdanmark'!A424</f>
        <v>Tømmerproduktion</v>
      </c>
      <c r="B424" s="94" t="str">
        <f>'Resultater - Vestdanmark'!B424</f>
        <v/>
      </c>
      <c r="C424" s="94" t="str">
        <f>'Resultater - Vestdanmark'!C424</f>
        <v/>
      </c>
      <c r="D424" s="94" t="str">
        <f>'Resultater - Vestdanmark'!D424</f>
        <v>Træer</v>
      </c>
      <c r="E424" s="94" t="str">
        <f>'Resultater - Vestdanmark'!E424</f>
        <v>m3</v>
      </c>
      <c r="F424" s="94" t="str">
        <f>'Resultater - Vestdanmark'!F424</f>
        <v>Træ til energi</v>
      </c>
      <c r="G424" s="94" t="str">
        <f>'Resultater - Vestdanmark'!G424</f>
        <v>m3</v>
      </c>
      <c r="H424" s="254">
        <f ca="1">'Resultater - Vestdanmark'!H424+'Resultater - Østdanmark'!H424</f>
        <v>896683.59644537373</v>
      </c>
      <c r="I424" s="255">
        <f ca="1">'Resultater - Vestdanmark'!I424+'Resultater - Østdanmark'!I424</f>
        <v>854402.95155226393</v>
      </c>
      <c r="J424" s="256">
        <f ca="1">'Resultater - Vestdanmark'!J424+'Resultater - Østdanmark'!J424</f>
        <v>910763.802202616</v>
      </c>
    </row>
    <row r="425" spans="1:10" x14ac:dyDescent="0.25">
      <c r="A425" s="94" t="str">
        <f>'Resultater - Vestdanmark'!A425</f>
        <v>Tømmerproduktion</v>
      </c>
      <c r="B425" s="94" t="str">
        <f>'Resultater - Vestdanmark'!B425</f>
        <v/>
      </c>
      <c r="C425" s="94" t="str">
        <f>'Resultater - Vestdanmark'!C425</f>
        <v/>
      </c>
      <c r="D425" s="94" t="str">
        <f>'Resultater - Vestdanmark'!D425</f>
        <v>CO2 - HWP</v>
      </c>
      <c r="E425" s="94" t="str">
        <f>'Resultater - Vestdanmark'!E425</f>
        <v>t CO2-ækvivalenter</v>
      </c>
      <c r="F425" s="94" t="str">
        <f>'Resultater - Vestdanmark'!F425</f>
        <v>CO2 - atmosfære</v>
      </c>
      <c r="G425" s="94" t="str">
        <f>'Resultater - Vestdanmark'!G425</f>
        <v>t CO2-ækvivalenter</v>
      </c>
      <c r="H425" s="254">
        <f ca="1">'Resultater - Vestdanmark'!H425+'Resultater - Østdanmark'!H425</f>
        <v>-606450.26032409817</v>
      </c>
      <c r="I425" s="255">
        <f ca="1">'Resultater - Vestdanmark'!I425+'Resultater - Østdanmark'!I425</f>
        <v>-608453.5670373945</v>
      </c>
      <c r="J425" s="256">
        <f ca="1">'Resultater - Vestdanmark'!J425+'Resultater - Østdanmark'!J425</f>
        <v>-1366687.5910038012</v>
      </c>
    </row>
    <row r="426" spans="1:10" x14ac:dyDescent="0.25">
      <c r="A426" s="94" t="str">
        <f>'Resultater - Vestdanmark'!A426</f>
        <v>Mejeri</v>
      </c>
      <c r="B426" s="94" t="str">
        <f>'Resultater - Vestdanmark'!B426</f>
        <v/>
      </c>
      <c r="C426" s="94" t="str">
        <f>'Resultater - Vestdanmark'!C426</f>
        <v/>
      </c>
      <c r="D426" s="94" t="str">
        <f>'Resultater - Vestdanmark'!D426</f>
        <v>Råmælk</v>
      </c>
      <c r="E426" s="94" t="str">
        <f>'Resultater - Vestdanmark'!E426</f>
        <v>Ton</v>
      </c>
      <c r="F426" s="94" t="str">
        <f>'Resultater - Vestdanmark'!F426</f>
        <v>Mejeriprodukter</v>
      </c>
      <c r="G426" s="94" t="str">
        <f>'Resultater - Vestdanmark'!G426</f>
        <v>Ton</v>
      </c>
      <c r="H426" s="254">
        <f>'Resultater - Vestdanmark'!H426+'Resultater - Østdanmark'!H426</f>
        <v>3383628.2</v>
      </c>
      <c r="I426" s="255">
        <f>'Resultater - Vestdanmark'!I426+'Resultater - Østdanmark'!I426</f>
        <v>1983844.8145560268</v>
      </c>
      <c r="J426" s="256">
        <f>'Resultater - Vestdanmark'!J426+'Resultater - Østdanmark'!J426</f>
        <v>206197.22808631693</v>
      </c>
    </row>
    <row r="427" spans="1:10" x14ac:dyDescent="0.25">
      <c r="A427" s="94" t="str">
        <f>'Resultater - Vestdanmark'!A427</f>
        <v>Mejeri</v>
      </c>
      <c r="B427" s="94" t="str">
        <f>'Resultater - Vestdanmark'!B427</f>
        <v/>
      </c>
      <c r="C427" s="94" t="str">
        <f>'Resultater - Vestdanmark'!C427</f>
        <v/>
      </c>
      <c r="D427" s="94" t="str">
        <f>'Resultater - Vestdanmark'!D427</f>
        <v>Råmælk</v>
      </c>
      <c r="E427" s="94" t="str">
        <f>'Resultater - Vestdanmark'!E427</f>
        <v>Ton</v>
      </c>
      <c r="F427" s="94" t="str">
        <f>'Resultater - Vestdanmark'!F427</f>
        <v>Spildevandsslam</v>
      </c>
      <c r="G427" s="94" t="str">
        <f>'Resultater - Vestdanmark'!G427</f>
        <v>Ton</v>
      </c>
      <c r="H427" s="254">
        <f>'Resultater - Vestdanmark'!H427+'Resultater - Østdanmark'!H427</f>
        <v>131725</v>
      </c>
      <c r="I427" s="255">
        <f>'Resultater - Vestdanmark'!I427+'Resultater - Østdanmark'!I427</f>
        <v>77231.286285352704</v>
      </c>
      <c r="J427" s="256">
        <f>'Resultater - Vestdanmark'!J427+'Resultater - Østdanmark'!J427</f>
        <v>8027.2796726514161</v>
      </c>
    </row>
    <row r="428" spans="1:10" x14ac:dyDescent="0.25">
      <c r="A428" s="94" t="str">
        <f>'Resultater - Vestdanmark'!A428</f>
        <v>Mejeri</v>
      </c>
      <c r="B428" s="94" t="str">
        <f>'Resultater - Vestdanmark'!B428</f>
        <v/>
      </c>
      <c r="C428" s="94" t="str">
        <f>'Resultater - Vestdanmark'!C428</f>
        <v/>
      </c>
      <c r="D428" s="94" t="str">
        <f>'Resultater - Vestdanmark'!D428</f>
        <v>Råmælk</v>
      </c>
      <c r="E428" s="94" t="str">
        <f>'Resultater - Vestdanmark'!E428</f>
        <v>Ton</v>
      </c>
      <c r="F428" s="94" t="str">
        <f>'Resultater - Vestdanmark'!F428</f>
        <v>Industriaffald</v>
      </c>
      <c r="G428" s="94" t="str">
        <f>'Resultater - Vestdanmark'!G428</f>
        <v>Ton</v>
      </c>
      <c r="H428" s="254">
        <f>'Resultater - Vestdanmark'!H428+'Resultater - Østdanmark'!H428</f>
        <v>17308.665000000001</v>
      </c>
      <c r="I428" s="255">
        <f>'Resultater - Vestdanmark'!I428+'Resultater - Østdanmark'!I428</f>
        <v>10148.191017895344</v>
      </c>
      <c r="J428" s="256">
        <f>'Resultater - Vestdanmark'!J428+'Resultater - Østdanmark'!J428</f>
        <v>1054.7845489863962</v>
      </c>
    </row>
    <row r="429" spans="1:10" x14ac:dyDescent="0.25">
      <c r="A429" s="94" t="str">
        <f>'Resultater - Vestdanmark'!A429</f>
        <v>Mejeri</v>
      </c>
      <c r="B429" s="94" t="str">
        <f>'Resultater - Vestdanmark'!B429</f>
        <v/>
      </c>
      <c r="C429" s="94" t="str">
        <f>'Resultater - Vestdanmark'!C429</f>
        <v/>
      </c>
      <c r="D429" s="94" t="str">
        <f>'Resultater - Vestdanmark'!D429</f>
        <v>Råmælk</v>
      </c>
      <c r="E429" s="94" t="str">
        <f>'Resultater - Vestdanmark'!E429</f>
        <v>Ton</v>
      </c>
      <c r="F429" s="94" t="str">
        <f>'Resultater - Vestdanmark'!F429</f>
        <v>Mælk til foder</v>
      </c>
      <c r="G429" s="94" t="str">
        <f>'Resultater - Vestdanmark'!G429</f>
        <v>Ton</v>
      </c>
      <c r="H429" s="254">
        <f>'Resultater - Vestdanmark'!H429+'Resultater - Østdanmark'!H429</f>
        <v>1753646.8000000003</v>
      </c>
      <c r="I429" s="255">
        <f>'Resultater - Vestdanmark'!I429+'Resultater - Østdanmark'!I429</f>
        <v>1028175.3505727286</v>
      </c>
      <c r="J429" s="256">
        <f>'Resultater - Vestdanmark'!J429+'Resultater - Østdanmark'!J429</f>
        <v>106866.67914708829</v>
      </c>
    </row>
    <row r="430" spans="1:10" x14ac:dyDescent="0.25">
      <c r="A430" s="94" t="str">
        <f>'Resultater - Vestdanmark'!A430</f>
        <v>Slagteri</v>
      </c>
      <c r="B430" s="94" t="str">
        <f>'Resultater - Vestdanmark'!B430</f>
        <v/>
      </c>
      <c r="C430" s="94" t="str">
        <f>'Resultater - Vestdanmark'!C430</f>
        <v/>
      </c>
      <c r="D430" s="94" t="str">
        <f>'Resultater - Vestdanmark'!D430</f>
        <v>Slagtesvin</v>
      </c>
      <c r="E430" s="94" t="str">
        <f>'Resultater - Vestdanmark'!E430</f>
        <v>Antal</v>
      </c>
      <c r="F430" s="94" t="str">
        <f>'Resultater - Vestdanmark'!F430</f>
        <v>Svinekød</v>
      </c>
      <c r="G430" s="94" t="str">
        <f>'Resultater - Vestdanmark'!G430</f>
        <v>Ton</v>
      </c>
      <c r="H430" s="254">
        <f>'Resultater - Vestdanmark'!H430+'Resultater - Østdanmark'!H430</f>
        <v>1601127.6966659406</v>
      </c>
      <c r="I430" s="255">
        <f>'Resultater - Vestdanmark'!I430+'Resultater - Østdanmark'!I430</f>
        <v>824107.32783310371</v>
      </c>
      <c r="J430" s="256">
        <f>'Resultater - Vestdanmark'!J430+'Resultater - Østdanmark'!J430</f>
        <v>37593.267629410817</v>
      </c>
    </row>
    <row r="431" spans="1:10" x14ac:dyDescent="0.25">
      <c r="A431" s="94" t="str">
        <f>'Resultater - Vestdanmark'!A431</f>
        <v>Slagteri</v>
      </c>
      <c r="B431" s="94" t="str">
        <f>'Resultater - Vestdanmark'!B431</f>
        <v/>
      </c>
      <c r="C431" s="94" t="str">
        <f>'Resultater - Vestdanmark'!C431</f>
        <v/>
      </c>
      <c r="D431" s="94" t="str">
        <f>'Resultater - Vestdanmark'!D431</f>
        <v>Slagtesvin</v>
      </c>
      <c r="E431" s="94" t="str">
        <f>'Resultater - Vestdanmark'!E431</f>
        <v>Antal</v>
      </c>
      <c r="F431" s="94" t="str">
        <f>'Resultater - Vestdanmark'!F431</f>
        <v>Industriaffald</v>
      </c>
      <c r="G431" s="94" t="str">
        <f>'Resultater - Vestdanmark'!G431</f>
        <v>Ton</v>
      </c>
      <c r="H431" s="254">
        <f>'Resultater - Vestdanmark'!H431+'Resultater - Østdanmark'!H431</f>
        <v>22728.326432774025</v>
      </c>
      <c r="I431" s="255">
        <f>'Resultater - Vestdanmark'!I431+'Resultater - Østdanmark'!I431</f>
        <v>15788.602406155816</v>
      </c>
      <c r="J431" s="256">
        <f>'Resultater - Vestdanmark'!J431+'Resultater - Østdanmark'!J431</f>
        <v>720.2279796608949</v>
      </c>
    </row>
    <row r="432" spans="1:10" x14ac:dyDescent="0.25">
      <c r="A432" s="94" t="str">
        <f>'Resultater - Vestdanmark'!A432</f>
        <v>Slagteri</v>
      </c>
      <c r="B432" s="94" t="str">
        <f>'Resultater - Vestdanmark'!B432</f>
        <v/>
      </c>
      <c r="C432" s="94" t="str">
        <f>'Resultater - Vestdanmark'!C432</f>
        <v/>
      </c>
      <c r="D432" s="94" t="str">
        <f>'Resultater - Vestdanmark'!D432</f>
        <v>Slagtesvin</v>
      </c>
      <c r="E432" s="94" t="str">
        <f>'Resultater - Vestdanmark'!E432</f>
        <v>Antal</v>
      </c>
      <c r="F432" s="94" t="str">
        <f>'Resultater - Vestdanmark'!F432</f>
        <v>Slagteriaffald til foder</v>
      </c>
      <c r="G432" s="94" t="str">
        <f>'Resultater - Vestdanmark'!G432</f>
        <v>Ton</v>
      </c>
      <c r="H432" s="254">
        <f>'Resultater - Vestdanmark'!H432+'Resultater - Østdanmark'!H432</f>
        <v>142794.72651993899</v>
      </c>
      <c r="I432" s="255">
        <f>'Resultater - Vestdanmark'!I432+'Resultater - Østdanmark'!I432</f>
        <v>73497.0613187501</v>
      </c>
      <c r="J432" s="256">
        <f>'Resultater - Vestdanmark'!J432+'Resultater - Østdanmark'!J432</f>
        <v>3352.7122048483293</v>
      </c>
    </row>
    <row r="433" spans="1:10" x14ac:dyDescent="0.25">
      <c r="A433" s="94" t="str">
        <f>'Resultater - Vestdanmark'!A433</f>
        <v>Slagteri</v>
      </c>
      <c r="B433" s="94" t="str">
        <f>'Resultater - Vestdanmark'!B433</f>
        <v/>
      </c>
      <c r="C433" s="94" t="str">
        <f>'Resultater - Vestdanmark'!C433</f>
        <v/>
      </c>
      <c r="D433" s="94" t="str">
        <f>'Resultater - Vestdanmark'!D433</f>
        <v>Slagtesvin</v>
      </c>
      <c r="E433" s="94" t="str">
        <f>'Resultater - Vestdanmark'!E433</f>
        <v>Antal</v>
      </c>
      <c r="F433" s="94" t="str">
        <f>'Resultater - Vestdanmark'!F433</f>
        <v>Slagteriaffald til andet</v>
      </c>
      <c r="G433" s="94" t="str">
        <f>'Resultater - Vestdanmark'!G433</f>
        <v>Ton</v>
      </c>
      <c r="H433" s="254">
        <f>'Resultater - Vestdanmark'!H433+'Resultater - Østdanmark'!H433</f>
        <v>140895.61996077577</v>
      </c>
      <c r="I433" s="255">
        <f>'Resultater - Vestdanmark'!I433+'Resultater - Østdanmark'!I433</f>
        <v>72519.58298582182</v>
      </c>
      <c r="J433" s="256">
        <f>'Resultater - Vestdanmark'!J433+'Resultater - Østdanmark'!J433</f>
        <v>3308.1226188433793</v>
      </c>
    </row>
    <row r="434" spans="1:10" x14ac:dyDescent="0.25">
      <c r="A434" s="94" t="str">
        <f>'Resultater - Vestdanmark'!A434</f>
        <v>Slagteri</v>
      </c>
      <c r="B434" s="94" t="str">
        <f>'Resultater - Vestdanmark'!B434</f>
        <v/>
      </c>
      <c r="C434" s="94" t="str">
        <f>'Resultater - Vestdanmark'!C434</f>
        <v/>
      </c>
      <c r="D434" s="94" t="str">
        <f>'Resultater - Vestdanmark'!D434</f>
        <v>Slagtekøer</v>
      </c>
      <c r="E434" s="94" t="str">
        <f>'Resultater - Vestdanmark'!E434</f>
        <v>Antal</v>
      </c>
      <c r="F434" s="94" t="str">
        <f>'Resultater - Vestdanmark'!F434</f>
        <v>Oksekød</v>
      </c>
      <c r="G434" s="94" t="str">
        <f>'Resultater - Vestdanmark'!G434</f>
        <v>Ton</v>
      </c>
      <c r="H434" s="254">
        <f>'Resultater - Vestdanmark'!H434+'Resultater - Østdanmark'!H434</f>
        <v>115671.91919191919</v>
      </c>
      <c r="I434" s="255">
        <f>'Resultater - Vestdanmark'!I434+'Resultater - Østdanmark'!I434</f>
        <v>60160.637598397458</v>
      </c>
      <c r="J434" s="256">
        <f>'Resultater - Vestdanmark'!J434+'Resultater - Østdanmark'!J434</f>
        <v>3877.9934653468558</v>
      </c>
    </row>
    <row r="435" spans="1:10" x14ac:dyDescent="0.25">
      <c r="A435" s="94" t="str">
        <f>'Resultater - Vestdanmark'!A435</f>
        <v>Slagteri</v>
      </c>
      <c r="B435" s="94" t="str">
        <f>'Resultater - Vestdanmark'!B435</f>
        <v/>
      </c>
      <c r="C435" s="94" t="str">
        <f>'Resultater - Vestdanmark'!C435</f>
        <v/>
      </c>
      <c r="D435" s="94" t="str">
        <f>'Resultater - Vestdanmark'!D435</f>
        <v>Slagtekøer</v>
      </c>
      <c r="E435" s="94" t="str">
        <f>'Resultater - Vestdanmark'!E435</f>
        <v>Antal</v>
      </c>
      <c r="F435" s="94" t="str">
        <f>'Resultater - Vestdanmark'!F435</f>
        <v>Industriaffald</v>
      </c>
      <c r="G435" s="94" t="str">
        <f>'Resultater - Vestdanmark'!G435</f>
        <v>Ton</v>
      </c>
      <c r="H435" s="254">
        <f>'Resultater - Vestdanmark'!H435+'Resultater - Østdanmark'!H435</f>
        <v>50006.545454545456</v>
      </c>
      <c r="I435" s="255">
        <f>'Resultater - Vestdanmark'!I435+'Resultater - Østdanmark'!I435</f>
        <v>29178.396760649015</v>
      </c>
      <c r="J435" s="256">
        <f>'Resultater - Vestdanmark'!J435+'Resultater - Østdanmark'!J435</f>
        <v>1880.8582568963482</v>
      </c>
    </row>
    <row r="436" spans="1:10" x14ac:dyDescent="0.25">
      <c r="A436" s="94" t="str">
        <f>'Resultater - Vestdanmark'!A436</f>
        <v>Slagteri</v>
      </c>
      <c r="B436" s="94" t="str">
        <f>'Resultater - Vestdanmark'!B436</f>
        <v/>
      </c>
      <c r="C436" s="94" t="str">
        <f>'Resultater - Vestdanmark'!C436</f>
        <v/>
      </c>
      <c r="D436" s="94" t="str">
        <f>'Resultater - Vestdanmark'!D436</f>
        <v>Slagtekøer</v>
      </c>
      <c r="E436" s="94" t="str">
        <f>'Resultater - Vestdanmark'!E436</f>
        <v>Antal</v>
      </c>
      <c r="F436" s="94" t="str">
        <f>'Resultater - Vestdanmark'!F436</f>
        <v>Slagteriaffald til foder</v>
      </c>
      <c r="G436" s="94" t="str">
        <f>'Resultater - Vestdanmark'!G436</f>
        <v>Ton</v>
      </c>
      <c r="H436" s="254">
        <f>'Resultater - Vestdanmark'!H436+'Resultater - Østdanmark'!H436</f>
        <v>7405.2525252525256</v>
      </c>
      <c r="I436" s="255">
        <f>'Resultater - Vestdanmark'!I436+'Resultater - Østdanmark'!I436</f>
        <v>3851.4508673204209</v>
      </c>
      <c r="J436" s="256">
        <f>'Resultater - Vestdanmark'!J436+'Resultater - Østdanmark'!J436</f>
        <v>248.26700466969342</v>
      </c>
    </row>
    <row r="437" spans="1:10" x14ac:dyDescent="0.25">
      <c r="A437" s="94" t="str">
        <f>'Resultater - Vestdanmark'!A437</f>
        <v>Slagteri</v>
      </c>
      <c r="B437" s="94" t="str">
        <f>'Resultater - Vestdanmark'!B437</f>
        <v/>
      </c>
      <c r="C437" s="94" t="str">
        <f>'Resultater - Vestdanmark'!C437</f>
        <v/>
      </c>
      <c r="D437" s="94" t="str">
        <f>'Resultater - Vestdanmark'!D437</f>
        <v>Slagtekøer</v>
      </c>
      <c r="E437" s="94" t="str">
        <f>'Resultater - Vestdanmark'!E437</f>
        <v>Antal</v>
      </c>
      <c r="F437" s="94" t="str">
        <f>'Resultater - Vestdanmark'!F437</f>
        <v>Slagteriaffald til andet</v>
      </c>
      <c r="G437" s="94" t="str">
        <f>'Resultater - Vestdanmark'!G437</f>
        <v>Ton</v>
      </c>
      <c r="H437" s="254">
        <f>'Resultater - Vestdanmark'!H437+'Resultater - Østdanmark'!H437</f>
        <v>76114.747474747448</v>
      </c>
      <c r="I437" s="255">
        <f>'Resultater - Vestdanmark'!I437+'Resultater - Østdanmark'!I437</f>
        <v>39587.064610939</v>
      </c>
      <c r="J437" s="256">
        <f>'Resultater - Vestdanmark'!J437+'Resultater - Østdanmark'!J437</f>
        <v>2551.8076935669746</v>
      </c>
    </row>
    <row r="438" spans="1:10" x14ac:dyDescent="0.25">
      <c r="A438" s="94" t="str">
        <f>'Resultater - Vestdanmark'!A438</f>
        <v>Slagteri</v>
      </c>
      <c r="B438" s="94" t="str">
        <f>'Resultater - Vestdanmark'!B438</f>
        <v/>
      </c>
      <c r="C438" s="94" t="str">
        <f>'Resultater - Vestdanmark'!C438</f>
        <v/>
      </c>
      <c r="D438" s="94" t="str">
        <f>'Resultater - Vestdanmark'!D438</f>
        <v>Slagtefjerkræ</v>
      </c>
      <c r="E438" s="94" t="str">
        <f>'Resultater - Vestdanmark'!E438</f>
        <v>Antal</v>
      </c>
      <c r="F438" s="94" t="str">
        <f>'Resultater - Vestdanmark'!F438</f>
        <v>Fjerkrækød</v>
      </c>
      <c r="G438" s="94" t="str">
        <f>'Resultater - Vestdanmark'!G438</f>
        <v>Ton</v>
      </c>
      <c r="H438" s="254">
        <f>'Resultater - Vestdanmark'!H438+'Resultater - Østdanmark'!H438</f>
        <v>201545.30567673693</v>
      </c>
      <c r="I438" s="255">
        <f>'Resultater - Vestdanmark'!I438+'Resultater - Østdanmark'!I438</f>
        <v>106887.81651997143</v>
      </c>
      <c r="J438" s="256">
        <f>'Resultater - Vestdanmark'!J438+'Resultater - Østdanmark'!J438</f>
        <v>6505.3390543143432</v>
      </c>
    </row>
    <row r="439" spans="1:10" ht="15.75" thickBot="1" x14ac:dyDescent="0.3">
      <c r="A439" s="94" t="str">
        <f>'Resultater - Vestdanmark'!A439</f>
        <v>Slagteri</v>
      </c>
      <c r="B439" s="94" t="str">
        <f>'Resultater - Vestdanmark'!B439</f>
        <v/>
      </c>
      <c r="C439" s="94" t="str">
        <f>'Resultater - Vestdanmark'!C439</f>
        <v/>
      </c>
      <c r="D439" s="94" t="str">
        <f>'Resultater - Vestdanmark'!D439</f>
        <v>Slagtefjerkræ</v>
      </c>
      <c r="E439" s="94" t="str">
        <f>'Resultater - Vestdanmark'!E439</f>
        <v>Antal</v>
      </c>
      <c r="F439" s="94" t="str">
        <f>'Resultater - Vestdanmark'!F439</f>
        <v>Industriaffald</v>
      </c>
      <c r="G439" s="94" t="str">
        <f>'Resultater - Vestdanmark'!G439</f>
        <v>Ton</v>
      </c>
      <c r="H439" s="257">
        <f>'Resultater - Vestdanmark'!H439+'Resultater - Østdanmark'!H439</f>
        <v>550.81037157810442</v>
      </c>
      <c r="I439" s="258">
        <f>'Resultater - Vestdanmark'!I439+'Resultater - Østdanmark'!I439</f>
        <v>394.25394887590943</v>
      </c>
      <c r="J439" s="259">
        <f>'Resultater - Vestdanmark'!J439+'Resultater - Østdanmark'!J439</f>
        <v>23.994835842314107</v>
      </c>
    </row>
    <row r="440" spans="1:10" x14ac:dyDescent="0.25">
      <c r="A440" s="94" t="str">
        <f>'Resultater - Vestdanmark'!A440</f>
        <v>Foderproduktion</v>
      </c>
      <c r="B440" s="94" t="str">
        <f>'Resultater - Vestdanmark'!B440</f>
        <v/>
      </c>
      <c r="C440" s="94" t="str">
        <f>'Resultater - Vestdanmark'!C440</f>
        <v/>
      </c>
      <c r="D440" s="94" t="str">
        <f>'Resultater - Vestdanmark'!D440</f>
        <v>Korn</v>
      </c>
      <c r="E440" s="94" t="str">
        <f>'Resultater - Vestdanmark'!E440</f>
        <v>Ton</v>
      </c>
      <c r="F440" s="94" t="str">
        <f>'Resultater - Vestdanmark'!F440</f>
        <v>Foder</v>
      </c>
      <c r="G440" s="94" t="str">
        <f>'Resultater - Vestdanmark'!G440</f>
        <v>FE</v>
      </c>
      <c r="H440" s="251">
        <f>'Resultater - Vestdanmark'!H440+'Resultater - Østdanmark'!H440</f>
        <v>5940049093.1121235</v>
      </c>
      <c r="I440" s="252">
        <f>'Resultater - Vestdanmark'!I440+'Resultater - Østdanmark'!I440</f>
        <v>4012008661.4358048</v>
      </c>
      <c r="J440" s="253">
        <f>'Resultater - Vestdanmark'!J440+'Resultater - Østdanmark'!J440</f>
        <v>506480603.84249818</v>
      </c>
    </row>
    <row r="441" spans="1:10" x14ac:dyDescent="0.25">
      <c r="A441" s="94" t="str">
        <f>'Resultater - Vestdanmark'!A441</f>
        <v>Foderproduktion</v>
      </c>
      <c r="B441" s="94" t="str">
        <f>'Resultater - Vestdanmark'!B441</f>
        <v/>
      </c>
      <c r="C441" s="94" t="str">
        <f>'Resultater - Vestdanmark'!C441</f>
        <v/>
      </c>
      <c r="D441" s="94" t="str">
        <f>'Resultater - Vestdanmark'!D441</f>
        <v>Halm</v>
      </c>
      <c r="E441" s="94" t="str">
        <f>'Resultater - Vestdanmark'!E441</f>
        <v>Ton</v>
      </c>
      <c r="F441" s="94" t="str">
        <f>'Resultater - Vestdanmark'!F441</f>
        <v>Foder</v>
      </c>
      <c r="G441" s="94" t="str">
        <f>'Resultater - Vestdanmark'!G441</f>
        <v>FE</v>
      </c>
      <c r="H441" s="254">
        <f>'Resultater - Vestdanmark'!H441+'Resultater - Østdanmark'!H441</f>
        <v>164945487.85478973</v>
      </c>
      <c r="I441" s="255">
        <f>'Resultater - Vestdanmark'!I441+'Resultater - Østdanmark'!I441</f>
        <v>111406945.55968034</v>
      </c>
      <c r="J441" s="256">
        <f>'Resultater - Vestdanmark'!J441+'Resultater - Østdanmark'!J441</f>
        <v>14064141.386754101</v>
      </c>
    </row>
    <row r="442" spans="1:10" x14ac:dyDescent="0.25">
      <c r="A442" s="94" t="str">
        <f>'Resultater - Vestdanmark'!A442</f>
        <v>Foderproduktion</v>
      </c>
      <c r="B442" s="94" t="str">
        <f>'Resultater - Vestdanmark'!B442</f>
        <v/>
      </c>
      <c r="C442" s="94" t="str">
        <f>'Resultater - Vestdanmark'!C442</f>
        <v/>
      </c>
      <c r="D442" s="94" t="str">
        <f>'Resultater - Vestdanmark'!D442</f>
        <v>Kartofler</v>
      </c>
      <c r="E442" s="94" t="str">
        <f>'Resultater - Vestdanmark'!E442</f>
        <v>Ton</v>
      </c>
      <c r="F442" s="94" t="str">
        <f>'Resultater - Vestdanmark'!F442</f>
        <v>Foder</v>
      </c>
      <c r="G442" s="94" t="str">
        <f>'Resultater - Vestdanmark'!G442</f>
        <v>FE</v>
      </c>
      <c r="H442" s="254">
        <f>'Resultater - Vestdanmark'!H442+'Resultater - Østdanmark'!H442</f>
        <v>0</v>
      </c>
      <c r="I442" s="255">
        <f>'Resultater - Vestdanmark'!I442+'Resultater - Østdanmark'!I442</f>
        <v>0</v>
      </c>
      <c r="J442" s="256">
        <f>'Resultater - Vestdanmark'!J442+'Resultater - Østdanmark'!J442</f>
        <v>0</v>
      </c>
    </row>
    <row r="443" spans="1:10" x14ac:dyDescent="0.25">
      <c r="A443" s="94" t="str">
        <f>'Resultater - Vestdanmark'!A443</f>
        <v>Foderproduktion</v>
      </c>
      <c r="B443" s="94" t="str">
        <f>'Resultater - Vestdanmark'!B443</f>
        <v/>
      </c>
      <c r="C443" s="94" t="str">
        <f>'Resultater - Vestdanmark'!C443</f>
        <v/>
      </c>
      <c r="D443" s="94" t="str">
        <f>'Resultater - Vestdanmark'!D443</f>
        <v>Bælgsæd</v>
      </c>
      <c r="E443" s="94" t="str">
        <f>'Resultater - Vestdanmark'!E443</f>
        <v>Ton</v>
      </c>
      <c r="F443" s="94" t="str">
        <f>'Resultater - Vestdanmark'!F443</f>
        <v>Foder</v>
      </c>
      <c r="G443" s="94" t="str">
        <f>'Resultater - Vestdanmark'!G443</f>
        <v>FE</v>
      </c>
      <c r="H443" s="254">
        <f>'Resultater - Vestdanmark'!H443+'Resultater - Østdanmark'!H443</f>
        <v>78449683.248009756</v>
      </c>
      <c r="I443" s="255">
        <f>'Resultater - Vestdanmark'!I443+'Resultater - Østdanmark'!I443</f>
        <v>52986230.205213815</v>
      </c>
      <c r="J443" s="256">
        <f>'Resultater - Vestdanmark'!J443+'Resultater - Østdanmark'!J443</f>
        <v>6689042.8546757298</v>
      </c>
    </row>
    <row r="444" spans="1:10" x14ac:dyDescent="0.25">
      <c r="A444" s="94" t="str">
        <f>'Resultater - Vestdanmark'!A444</f>
        <v>Foderproduktion</v>
      </c>
      <c r="B444" s="94" t="str">
        <f>'Resultater - Vestdanmark'!B444</f>
        <v/>
      </c>
      <c r="C444" s="94" t="str">
        <f>'Resultater - Vestdanmark'!C444</f>
        <v/>
      </c>
      <c r="D444" s="94" t="str">
        <f>'Resultater - Vestdanmark'!D444</f>
        <v>Roer</v>
      </c>
      <c r="E444" s="94" t="str">
        <f>'Resultater - Vestdanmark'!E444</f>
        <v>Ton</v>
      </c>
      <c r="F444" s="94" t="str">
        <f>'Resultater - Vestdanmark'!F444</f>
        <v>Foder</v>
      </c>
      <c r="G444" s="94" t="str">
        <f>'Resultater - Vestdanmark'!G444</f>
        <v>FE</v>
      </c>
      <c r="H444" s="254">
        <f>'Resultater - Vestdanmark'!H444+'Resultater - Østdanmark'!H444</f>
        <v>143824419.28801787</v>
      </c>
      <c r="I444" s="255">
        <f>'Resultater - Vestdanmark'!I444+'Resultater - Østdanmark'!I444</f>
        <v>97141422.042891979</v>
      </c>
      <c r="J444" s="256">
        <f>'Resultater - Vestdanmark'!J444+'Resultater - Østdanmark'!J444</f>
        <v>12263245.233572174</v>
      </c>
    </row>
    <row r="445" spans="1:10" x14ac:dyDescent="0.25">
      <c r="A445" s="94" t="str">
        <f>'Resultater - Vestdanmark'!A445</f>
        <v>Foderproduktion</v>
      </c>
      <c r="B445" s="94" t="str">
        <f>'Resultater - Vestdanmark'!B445</f>
        <v/>
      </c>
      <c r="C445" s="94" t="str">
        <f>'Resultater - Vestdanmark'!C445</f>
        <v/>
      </c>
      <c r="D445" s="94" t="str">
        <f>'Resultater - Vestdanmark'!D445</f>
        <v>Majs</v>
      </c>
      <c r="E445" s="94" t="str">
        <f>'Resultater - Vestdanmark'!E445</f>
        <v>Ton</v>
      </c>
      <c r="F445" s="94" t="str">
        <f>'Resultater - Vestdanmark'!F445</f>
        <v>Foder</v>
      </c>
      <c r="G445" s="94" t="str">
        <f>'Resultater - Vestdanmark'!G445</f>
        <v>FE</v>
      </c>
      <c r="H445" s="254">
        <f>'Resultater - Vestdanmark'!H445+'Resultater - Østdanmark'!H445</f>
        <v>1682645129.1528244</v>
      </c>
      <c r="I445" s="255">
        <f>'Resultater - Vestdanmark'!I445+'Resultater - Østdanmark'!I445</f>
        <v>1136486706.8374705</v>
      </c>
      <c r="J445" s="256">
        <f>'Resultater - Vestdanmark'!J445+'Resultater - Østdanmark'!J445</f>
        <v>143471393.53682688</v>
      </c>
    </row>
    <row r="446" spans="1:10" x14ac:dyDescent="0.25">
      <c r="A446" s="94" t="str">
        <f>'Resultater - Vestdanmark'!A446</f>
        <v>Foderproduktion</v>
      </c>
      <c r="B446" s="94" t="str">
        <f>'Resultater - Vestdanmark'!B446</f>
        <v/>
      </c>
      <c r="C446" s="94" t="str">
        <f>'Resultater - Vestdanmark'!C446</f>
        <v/>
      </c>
      <c r="D446" s="94" t="str">
        <f>'Resultater - Vestdanmark'!D446</f>
        <v>Rapskage</v>
      </c>
      <c r="E446" s="94" t="str">
        <f>'Resultater - Vestdanmark'!E446</f>
        <v>Ton</v>
      </c>
      <c r="F446" s="94" t="str">
        <f>'Resultater - Vestdanmark'!F446</f>
        <v>Foder</v>
      </c>
      <c r="G446" s="94" t="str">
        <f>'Resultater - Vestdanmark'!G446</f>
        <v>FE</v>
      </c>
      <c r="H446" s="254">
        <f>'Resultater - Vestdanmark'!H446+'Resultater - Østdanmark'!H446</f>
        <v>242389405.93295321</v>
      </c>
      <c r="I446" s="255">
        <f>'Resultater - Vestdanmark'!I446+'Resultater - Østdanmark'!I446</f>
        <v>163713865.12123755</v>
      </c>
      <c r="J446" s="256">
        <f>'Resultater - Vestdanmark'!J446+'Resultater - Østdanmark'!J446</f>
        <v>20667427.281754501</v>
      </c>
    </row>
    <row r="447" spans="1:10" x14ac:dyDescent="0.25">
      <c r="A447" s="94" t="str">
        <f>'Resultater - Vestdanmark'!A447</f>
        <v>Foderproduktion</v>
      </c>
      <c r="B447" s="94" t="str">
        <f>'Resultater - Vestdanmark'!B447</f>
        <v/>
      </c>
      <c r="C447" s="94" t="str">
        <f>'Resultater - Vestdanmark'!C447</f>
        <v/>
      </c>
      <c r="D447" s="94" t="str">
        <f>'Resultater - Vestdanmark'!D447</f>
        <v>Tang</v>
      </c>
      <c r="E447" s="94" t="str">
        <f>'Resultater - Vestdanmark'!E447</f>
        <v>Ton</v>
      </c>
      <c r="F447" s="94" t="str">
        <f>'Resultater - Vestdanmark'!F447</f>
        <v>Foder</v>
      </c>
      <c r="G447" s="94" t="str">
        <f>'Resultater - Vestdanmark'!G447</f>
        <v>FE</v>
      </c>
      <c r="H447" s="254">
        <f>'Resultater - Vestdanmark'!H447+'Resultater - Østdanmark'!H447</f>
        <v>0</v>
      </c>
      <c r="I447" s="255">
        <f>'Resultater - Vestdanmark'!I447+'Resultater - Østdanmark'!I447</f>
        <v>0</v>
      </c>
      <c r="J447" s="256">
        <f>'Resultater - Vestdanmark'!J447+'Resultater - Østdanmark'!J447</f>
        <v>0</v>
      </c>
    </row>
    <row r="448" spans="1:10" x14ac:dyDescent="0.25">
      <c r="A448" s="94" t="str">
        <f>'Resultater - Vestdanmark'!A448</f>
        <v>Foderproduktion</v>
      </c>
      <c r="B448" s="94" t="str">
        <f>'Resultater - Vestdanmark'!B448</f>
        <v/>
      </c>
      <c r="C448" s="94" t="str">
        <f>'Resultater - Vestdanmark'!C448</f>
        <v/>
      </c>
      <c r="D448" s="94" t="str">
        <f>'Resultater - Vestdanmark'!D448</f>
        <v>Muslinger</v>
      </c>
      <c r="E448" s="94" t="str">
        <f>'Resultater - Vestdanmark'!E448</f>
        <v>Ton</v>
      </c>
      <c r="F448" s="94" t="str">
        <f>'Resultater - Vestdanmark'!F448</f>
        <v>Foder</v>
      </c>
      <c r="G448" s="94" t="str">
        <f>'Resultater - Vestdanmark'!G448</f>
        <v>FE</v>
      </c>
      <c r="H448" s="254">
        <f>'Resultater - Vestdanmark'!H448+'Resultater - Østdanmark'!H448</f>
        <v>0</v>
      </c>
      <c r="I448" s="255">
        <f>'Resultater - Vestdanmark'!I448+'Resultater - Østdanmark'!I448</f>
        <v>0</v>
      </c>
      <c r="J448" s="256">
        <f>'Resultater - Vestdanmark'!J448+'Resultater - Østdanmark'!J448</f>
        <v>0</v>
      </c>
    </row>
    <row r="449" spans="1:10" x14ac:dyDescent="0.25">
      <c r="A449" s="94" t="str">
        <f>'Resultater - Vestdanmark'!A449</f>
        <v>Foderproduktion</v>
      </c>
      <c r="B449" s="94" t="str">
        <f>'Resultater - Vestdanmark'!B449</f>
        <v/>
      </c>
      <c r="C449" s="94" t="str">
        <f>'Resultater - Vestdanmark'!C449</f>
        <v/>
      </c>
      <c r="D449" s="94" t="str">
        <f>'Resultater - Vestdanmark'!D449</f>
        <v>Græs</v>
      </c>
      <c r="E449" s="94" t="str">
        <f>'Resultater - Vestdanmark'!E449</f>
        <v>Ton</v>
      </c>
      <c r="F449" s="94" t="str">
        <f>'Resultater - Vestdanmark'!F449</f>
        <v>Foder</v>
      </c>
      <c r="G449" s="94" t="str">
        <f>'Resultater - Vestdanmark'!G449</f>
        <v>FE</v>
      </c>
      <c r="H449" s="254">
        <f>'Resultater - Vestdanmark'!H449+'Resultater - Østdanmark'!H449</f>
        <v>2285098465.8907456</v>
      </c>
      <c r="I449" s="255">
        <f>'Resultater - Vestdanmark'!I449+'Resultater - Østdanmark'!I449</f>
        <v>1543393782.3877664</v>
      </c>
      <c r="J449" s="256">
        <f>'Resultater - Vestdanmark'!J449+'Resultater - Østdanmark'!J449</f>
        <v>194839812.38234943</v>
      </c>
    </row>
    <row r="450" spans="1:10" x14ac:dyDescent="0.25">
      <c r="A450" s="94" t="str">
        <f>'Resultater - Vestdanmark'!A450</f>
        <v>Foderproduktion</v>
      </c>
      <c r="B450" s="94" t="str">
        <f>'Resultater - Vestdanmark'!B450</f>
        <v/>
      </c>
      <c r="C450" s="94" t="str">
        <f>'Resultater - Vestdanmark'!C450</f>
        <v/>
      </c>
      <c r="D450" s="94" t="str">
        <f>'Resultater - Vestdanmark'!D450</f>
        <v>Mælk til foder</v>
      </c>
      <c r="E450" s="94" t="str">
        <f>'Resultater - Vestdanmark'!E450</f>
        <v>Ton</v>
      </c>
      <c r="F450" s="94" t="str">
        <f>'Resultater - Vestdanmark'!F450</f>
        <v>Foder</v>
      </c>
      <c r="G450" s="94" t="str">
        <f>'Resultater - Vestdanmark'!G450</f>
        <v>FE</v>
      </c>
      <c r="H450" s="254">
        <f>'Resultater - Vestdanmark'!H450+'Resultater - Østdanmark'!H450</f>
        <v>163939722.68494347</v>
      </c>
      <c r="I450" s="255">
        <f>'Resultater - Vestdanmark'!I450+'Resultater - Østdanmark'!I450</f>
        <v>110727634.91602375</v>
      </c>
      <c r="J450" s="256">
        <f>'Resultater - Vestdanmark'!J450+'Resultater - Østdanmark'!J450</f>
        <v>13978384.427078769</v>
      </c>
    </row>
    <row r="451" spans="1:10" x14ac:dyDescent="0.25">
      <c r="A451" s="94" t="str">
        <f>'Resultater - Vestdanmark'!A451</f>
        <v>Foderproduktion</v>
      </c>
      <c r="B451" s="94" t="str">
        <f>'Resultater - Vestdanmark'!B451</f>
        <v/>
      </c>
      <c r="C451" s="94" t="str">
        <f>'Resultater - Vestdanmark'!C451</f>
        <v/>
      </c>
      <c r="D451" s="94" t="str">
        <f>'Resultater - Vestdanmark'!D451</f>
        <v>Fiberfraktion</v>
      </c>
      <c r="E451" s="94" t="str">
        <f>'Resultater - Vestdanmark'!E451</f>
        <v>Ton</v>
      </c>
      <c r="F451" s="94" t="str">
        <f>'Resultater - Vestdanmark'!F451</f>
        <v>Foder</v>
      </c>
      <c r="G451" s="94" t="str">
        <f>'Resultater - Vestdanmark'!G451</f>
        <v>FE</v>
      </c>
      <c r="H451" s="254">
        <f>'Resultater - Vestdanmark'!H451+'Resultater - Østdanmark'!H451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>'Resultater - Vestdanmark'!J451+'Resultater - Østdanmark'!J451</f>
        <v>0</v>
      </c>
    </row>
    <row r="452" spans="1:10" x14ac:dyDescent="0.25">
      <c r="A452" s="94" t="str">
        <f>'Resultater - Vestdanmark'!A452</f>
        <v>Foderproduktion</v>
      </c>
      <c r="B452" s="94" t="str">
        <f>'Resultater - Vestdanmark'!B452</f>
        <v/>
      </c>
      <c r="C452" s="94" t="str">
        <f>'Resultater - Vestdanmark'!C452</f>
        <v/>
      </c>
      <c r="D452" s="94" t="str">
        <f>'Resultater - Vestdanmark'!D452</f>
        <v>Græsprotein</v>
      </c>
      <c r="E452" s="94" t="str">
        <f>'Resultater - Vestdanmark'!E452</f>
        <v>Ton</v>
      </c>
      <c r="F452" s="94" t="str">
        <f>'Resultater - Vestdanmark'!F452</f>
        <v>Foder</v>
      </c>
      <c r="G452" s="94" t="str">
        <f>'Resultater - Vestdanmark'!G452</f>
        <v>FE</v>
      </c>
      <c r="H452" s="254">
        <f>'Resultater - Vestdanmark'!H452+'Resultater - Østdanmark'!H452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>'Resultater - Vestdanmark'!J452+'Resultater - Østdanmark'!J452</f>
        <v>0</v>
      </c>
    </row>
    <row r="453" spans="1:10" x14ac:dyDescent="0.25">
      <c r="A453" s="94" t="str">
        <f>'Resultater - Vestdanmark'!A453</f>
        <v>Foderproduktion</v>
      </c>
      <c r="B453" s="94" t="str">
        <f>'Resultater - Vestdanmark'!B453</f>
        <v/>
      </c>
      <c r="C453" s="94" t="str">
        <f>'Resultater - Vestdanmark'!C453</f>
        <v/>
      </c>
      <c r="D453" s="94" t="str">
        <f>'Resultater - Vestdanmark'!D453</f>
        <v>Slagteriaffald til foder</v>
      </c>
      <c r="E453" s="94" t="str">
        <f>'Resultater - Vestdanmark'!E453</f>
        <v>Ton</v>
      </c>
      <c r="F453" s="94" t="str">
        <f>'Resultater - Vestdanmark'!F453</f>
        <v>Foder</v>
      </c>
      <c r="G453" s="94" t="str">
        <f>'Resultater - Vestdanmark'!G453</f>
        <v>FE</v>
      </c>
      <c r="H453" s="254">
        <f>'Resultater - Vestdanmark'!H453+'Resultater - Østdanmark'!H453</f>
        <v>121697585.55139975</v>
      </c>
      <c r="I453" s="255">
        <f>'Resultater - Vestdanmark'!I453+'Resultater - Østdanmark'!I453</f>
        <v>82196587.882447079</v>
      </c>
      <c r="J453" s="256">
        <f>'Resultater - Vestdanmark'!J453+'Resultater - Østdanmark'!J453</f>
        <v>10376592.120714916</v>
      </c>
    </row>
    <row r="454" spans="1:10" x14ac:dyDescent="0.25">
      <c r="A454" s="94" t="str">
        <f>'Resultater - Vestdanmark'!A454</f>
        <v>Foderproduktion</v>
      </c>
      <c r="B454" s="94" t="str">
        <f>'Resultater - Vestdanmark'!B454</f>
        <v/>
      </c>
      <c r="C454" s="94" t="str">
        <f>'Resultater - Vestdanmark'!C454</f>
        <v/>
      </c>
      <c r="D454" s="94" t="str">
        <f>'Resultater - Vestdanmark'!D454</f>
        <v>Import af foder</v>
      </c>
      <c r="E454" s="94" t="str">
        <f>'Resultater - Vestdanmark'!E454</f>
        <v>Ton</v>
      </c>
      <c r="F454" s="94" t="str">
        <f>'Resultater - Vestdanmark'!F454</f>
        <v>Foder</v>
      </c>
      <c r="G454" s="94" t="str">
        <f>'Resultater - Vestdanmark'!G454</f>
        <v>FE</v>
      </c>
      <c r="H454" s="254">
        <f>'Resultater - Vestdanmark'!H454+'Resultater - Østdanmark'!H454</f>
        <v>4029095270.4041944</v>
      </c>
      <c r="I454" s="255">
        <f>'Resultater - Vestdanmark'!I454+'Resultater - Østdanmark'!I454</f>
        <v>2721318438.4882894</v>
      </c>
      <c r="J454" s="256">
        <f>'Resultater - Vestdanmark'!J454+'Resultater - Østdanmark'!J454</f>
        <v>343542380.45937151</v>
      </c>
    </row>
    <row r="455" spans="1:10" x14ac:dyDescent="0.25">
      <c r="A455" s="94" t="str">
        <f>'Resultater - Vestdanmark'!A455</f>
        <v>Biogasanlæg</v>
      </c>
      <c r="B455" s="94" t="str">
        <f>'Resultater - Vestdanmark'!B455</f>
        <v/>
      </c>
      <c r="C455" s="94" t="str">
        <f>'Resultater - Vestdanmark'!C455</f>
        <v/>
      </c>
      <c r="D455" s="94" t="str">
        <f>'Resultater - Vestdanmark'!D455</f>
        <v>Halm</v>
      </c>
      <c r="E455" s="94" t="str">
        <f>'Resultater - Vestdanmark'!E455</f>
        <v>Ton</v>
      </c>
      <c r="F455" s="94" t="str">
        <f>'Resultater - Vestdanmark'!F455</f>
        <v>Biogas</v>
      </c>
      <c r="G455" s="94" t="str">
        <f>'Resultater - Vestdanmark'!G455</f>
        <v>Nm3 CH4</v>
      </c>
      <c r="H455" s="254">
        <f>'Resultater - Vestdanmark'!H455+'Resultater - Østdanmark'!H455</f>
        <v>12195000.399999995</v>
      </c>
      <c r="I455" s="255">
        <f>'Resultater - Vestdanmark'!I455+'Resultater - Østdanmark'!I455</f>
        <v>0</v>
      </c>
      <c r="J455" s="256">
        <f>'Resultater - Vestdanmark'!J455+'Resultater - Østdanmark'!J455</f>
        <v>0</v>
      </c>
    </row>
    <row r="456" spans="1:10" x14ac:dyDescent="0.25">
      <c r="A456" s="94" t="str">
        <f>'Resultater - Vestdanmark'!A456</f>
        <v>Biogasanlæg</v>
      </c>
      <c r="B456" s="94" t="str">
        <f>'Resultater - Vestdanmark'!B456</f>
        <v/>
      </c>
      <c r="C456" s="94" t="str">
        <f>'Resultater - Vestdanmark'!C456</f>
        <v/>
      </c>
      <c r="D456" s="94" t="str">
        <f>'Resultater - Vestdanmark'!D456</f>
        <v>Korn</v>
      </c>
      <c r="E456" s="94" t="str">
        <f>'Resultater - Vestdanmark'!E456</f>
        <v>Ton</v>
      </c>
      <c r="F456" s="94" t="str">
        <f>'Resultater - Vestdanmark'!F456</f>
        <v>Biogas</v>
      </c>
      <c r="G456" s="94" t="str">
        <f>'Resultater - Vestdanmark'!G456</f>
        <v>Nm3 CH4</v>
      </c>
      <c r="H456" s="254">
        <f>'Resultater - Vestdanmark'!H456+'Resultater - Østdanmark'!H456</f>
        <v>361184.4</v>
      </c>
      <c r="I456" s="255">
        <f>'Resultater - Vestdanmark'!I456+'Resultater - Østdanmark'!I456</f>
        <v>0</v>
      </c>
      <c r="J456" s="256">
        <f>'Resultater - Vestdanmark'!J456+'Resultater - Østdanmark'!J456</f>
        <v>0</v>
      </c>
    </row>
    <row r="457" spans="1:10" x14ac:dyDescent="0.25">
      <c r="A457" s="94" t="str">
        <f>'Resultater - Vestdanmark'!A457</f>
        <v>Biogasanlæg</v>
      </c>
      <c r="B457" s="94" t="str">
        <f>'Resultater - Vestdanmark'!B457</f>
        <v/>
      </c>
      <c r="C457" s="94" t="str">
        <f>'Resultater - Vestdanmark'!C457</f>
        <v/>
      </c>
      <c r="D457" s="94" t="str">
        <f>'Resultater - Vestdanmark'!D457</f>
        <v>Græs</v>
      </c>
      <c r="E457" s="94" t="str">
        <f>'Resultater - Vestdanmark'!E457</f>
        <v>Ton</v>
      </c>
      <c r="F457" s="94" t="str">
        <f>'Resultater - Vestdanmark'!F457</f>
        <v>Biogas</v>
      </c>
      <c r="G457" s="94" t="str">
        <f>'Resultater - Vestdanmark'!G457</f>
        <v>Nm3 CH4</v>
      </c>
      <c r="H457" s="254">
        <f>'Resultater - Vestdanmark'!H457+'Resultater - Østdanmark'!H457</f>
        <v>4390946.2499999981</v>
      </c>
      <c r="I457" s="255">
        <f>'Resultater - Vestdanmark'!I457+'Resultater - Østdanmark'!I457</f>
        <v>0</v>
      </c>
      <c r="J457" s="256">
        <f>'Resultater - Vestdanmark'!J457+'Resultater - Østdanmark'!J457</f>
        <v>0</v>
      </c>
    </row>
    <row r="458" spans="1:10" x14ac:dyDescent="0.25">
      <c r="A458" s="94" t="str">
        <f>'Resultater - Vestdanmark'!A458</f>
        <v>Biogasanlæg</v>
      </c>
      <c r="B458" s="94" t="str">
        <f>'Resultater - Vestdanmark'!B458</f>
        <v/>
      </c>
      <c r="C458" s="94" t="str">
        <f>'Resultater - Vestdanmark'!C458</f>
        <v/>
      </c>
      <c r="D458" s="94" t="str">
        <f>'Resultater - Vestdanmark'!D458</f>
        <v>Svinegylle</v>
      </c>
      <c r="E458" s="94" t="str">
        <f>'Resultater - Vestdanmark'!E458</f>
        <v>Ton</v>
      </c>
      <c r="F458" s="94" t="str">
        <f>'Resultater - Vestdanmark'!F458</f>
        <v>Biogas</v>
      </c>
      <c r="G458" s="94" t="str">
        <f>'Resultater - Vestdanmark'!G458</f>
        <v>Nm3 CH4</v>
      </c>
      <c r="H458" s="254">
        <f>'Resultater - Vestdanmark'!H458+'Resultater - Østdanmark'!H458</f>
        <v>34978432</v>
      </c>
      <c r="I458" s="255">
        <f>'Resultater - Vestdanmark'!I458+'Resultater - Østdanmark'!I458</f>
        <v>68584093.21201916</v>
      </c>
      <c r="J458" s="256">
        <f>'Resultater - Vestdanmark'!J458+'Resultater - Østdanmark'!J458</f>
        <v>0</v>
      </c>
    </row>
    <row r="459" spans="1:10" x14ac:dyDescent="0.25">
      <c r="A459" s="94" t="str">
        <f>'Resultater - Vestdanmark'!A459</f>
        <v>Biogasanlæg</v>
      </c>
      <c r="B459" s="94" t="str">
        <f>'Resultater - Vestdanmark'!B459</f>
        <v/>
      </c>
      <c r="C459" s="94" t="str">
        <f>'Resultater - Vestdanmark'!C459</f>
        <v/>
      </c>
      <c r="D459" s="94" t="str">
        <f>'Resultater - Vestdanmark'!D459</f>
        <v>Svinegylle</v>
      </c>
      <c r="E459" s="94" t="str">
        <f>'Resultater - Vestdanmark'!E459</f>
        <v>Ton</v>
      </c>
      <c r="F459" s="94" t="str">
        <f>'Resultater - Vestdanmark'!F459</f>
        <v>CO2 - atmosfære</v>
      </c>
      <c r="G459" s="94" t="str">
        <f>'Resultater - Vestdanmark'!G459</f>
        <v>t CO2-ækvivalenter</v>
      </c>
      <c r="H459" s="260">
        <f>'Resultater - Vestdanmark'!H459+'Resultater - Østdanmark'!H459</f>
        <v>-37099.291058504961</v>
      </c>
      <c r="I459" s="261">
        <f>'Resultater - Vestdanmark'!I459+'Resultater - Østdanmark'!I459</f>
        <v>-72742.575655087479</v>
      </c>
      <c r="J459" s="262">
        <f>'Resultater - Vestdanmark'!J459+'Resultater - Østdanmark'!J459</f>
        <v>0</v>
      </c>
    </row>
    <row r="460" spans="1:10" x14ac:dyDescent="0.25">
      <c r="A460" s="94" t="str">
        <f>'Resultater - Vestdanmark'!A460</f>
        <v>Biogasanlæg</v>
      </c>
      <c r="B460" s="94" t="str">
        <f>'Resultater - Vestdanmark'!B460</f>
        <v/>
      </c>
      <c r="C460" s="94" t="str">
        <f>'Resultater - Vestdanmark'!C460</f>
        <v/>
      </c>
      <c r="D460" s="94" t="str">
        <f>'Resultater - Vestdanmark'!D460</f>
        <v>Kvæggylle</v>
      </c>
      <c r="E460" s="94" t="str">
        <f>'Resultater - Vestdanmark'!E460</f>
        <v>Ton</v>
      </c>
      <c r="F460" s="94" t="str">
        <f>'Resultater - Vestdanmark'!F460</f>
        <v>Biogas</v>
      </c>
      <c r="G460" s="94" t="str">
        <f>'Resultater - Vestdanmark'!G460</f>
        <v>Nm3 CH4</v>
      </c>
      <c r="H460" s="254">
        <f>'Resultater - Vestdanmark'!H460+'Resultater - Østdanmark'!H460</f>
        <v>61384486.300000004</v>
      </c>
      <c r="I460" s="255">
        <f>'Resultater - Vestdanmark'!I460+'Resultater - Østdanmark'!I460</f>
        <v>86714787.420565188</v>
      </c>
      <c r="J460" s="256">
        <f>'Resultater - Vestdanmark'!J460+'Resultater - Østdanmark'!J460</f>
        <v>10667476.886426445</v>
      </c>
    </row>
    <row r="461" spans="1:10" x14ac:dyDescent="0.25">
      <c r="A461" s="94" t="str">
        <f>'Resultater - Vestdanmark'!A461</f>
        <v>Biogasanlæg</v>
      </c>
      <c r="B461" s="94" t="str">
        <f>'Resultater - Vestdanmark'!B461</f>
        <v/>
      </c>
      <c r="C461" s="94" t="str">
        <f>'Resultater - Vestdanmark'!C461</f>
        <v/>
      </c>
      <c r="D461" s="94" t="str">
        <f>'Resultater - Vestdanmark'!D461</f>
        <v>Kvæggylle</v>
      </c>
      <c r="E461" s="94" t="str">
        <f>'Resultater - Vestdanmark'!E461</f>
        <v>Ton</v>
      </c>
      <c r="F461" s="94" t="str">
        <f>'Resultater - Vestdanmark'!F461</f>
        <v>CO2 - atmosfære</v>
      </c>
      <c r="G461" s="94" t="str">
        <f>'Resultater - Vestdanmark'!G461</f>
        <v>t CO2-ækvivalenter</v>
      </c>
      <c r="H461" s="260">
        <f>'Resultater - Vestdanmark'!H461+'Resultater - Østdanmark'!H461</f>
        <v>-128107.91983655478</v>
      </c>
      <c r="I461" s="261">
        <f>'Resultater - Vestdanmark'!I461+'Resultater - Østdanmark'!I461</f>
        <v>-180971.6380328763</v>
      </c>
      <c r="J461" s="262">
        <f>'Resultater - Vestdanmark'!J461+'Resultater - Østdanmark'!J461</f>
        <v>-22262.763056218977</v>
      </c>
    </row>
    <row r="462" spans="1:10" x14ac:dyDescent="0.25">
      <c r="A462" s="94" t="str">
        <f>'Resultater - Vestdanmark'!A462</f>
        <v>Biogasanlæg</v>
      </c>
      <c r="B462" s="94" t="str">
        <f>'Resultater - Vestdanmark'!B462</f>
        <v/>
      </c>
      <c r="C462" s="94" t="str">
        <f>'Resultater - Vestdanmark'!C462</f>
        <v/>
      </c>
      <c r="D462" s="94" t="str">
        <f>'Resultater - Vestdanmark'!D462</f>
        <v>Fjerkrægylle</v>
      </c>
      <c r="E462" s="94" t="str">
        <f>'Resultater - Vestdanmark'!E462</f>
        <v>Ton</v>
      </c>
      <c r="F462" s="94" t="str">
        <f>'Resultater - Vestdanmark'!F462</f>
        <v>Biogas</v>
      </c>
      <c r="G462" s="94" t="str">
        <f>'Resultater - Vestdanmark'!G462</f>
        <v>Nm3 CH4</v>
      </c>
      <c r="H462" s="254">
        <f>'Resultater - Vestdanmark'!H462+'Resultater - Østdanmark'!H462</f>
        <v>58183.649999999994</v>
      </c>
      <c r="I462" s="255">
        <f>'Resultater - Vestdanmark'!I462+'Resultater - Østdanmark'!I462</f>
        <v>86096.767844558548</v>
      </c>
      <c r="J462" s="256">
        <f>'Resultater - Vestdanmark'!J462+'Resultater - Østdanmark'!J462</f>
        <v>71800.707180841913</v>
      </c>
    </row>
    <row r="463" spans="1:10" x14ac:dyDescent="0.25">
      <c r="A463" s="94" t="str">
        <f>'Resultater - Vestdanmark'!A463</f>
        <v>Biogasanlæg</v>
      </c>
      <c r="B463" s="94" t="str">
        <f>'Resultater - Vestdanmark'!B463</f>
        <v/>
      </c>
      <c r="C463" s="94" t="str">
        <f>'Resultater - Vestdanmark'!C463</f>
        <v/>
      </c>
      <c r="D463" s="94" t="str">
        <f>'Resultater - Vestdanmark'!D463</f>
        <v>Dybstrøelse</v>
      </c>
      <c r="E463" s="94" t="str">
        <f>'Resultater - Vestdanmark'!E463</f>
        <v>Ton</v>
      </c>
      <c r="F463" s="94" t="str">
        <f>'Resultater - Vestdanmark'!F463</f>
        <v>Biogas</v>
      </c>
      <c r="G463" s="94" t="str">
        <f>'Resultater - Vestdanmark'!G463</f>
        <v>Nm3 CH4</v>
      </c>
      <c r="H463" s="254">
        <f>'Resultater - Vestdanmark'!H463+'Resultater - Østdanmark'!H463</f>
        <v>45425220.000000007</v>
      </c>
      <c r="I463" s="255">
        <f>'Resultater - Vestdanmark'!I463+'Resultater - Østdanmark'!I463</f>
        <v>126368636.94628483</v>
      </c>
      <c r="J463" s="256">
        <f>'Resultater - Vestdanmark'!J463+'Resultater - Østdanmark'!J463</f>
        <v>24426122.518420938</v>
      </c>
    </row>
    <row r="464" spans="1:10" x14ac:dyDescent="0.25">
      <c r="A464" s="94" t="str">
        <f>'Resultater - Vestdanmark'!A464</f>
        <v>Biogasanlæg</v>
      </c>
      <c r="B464" s="94" t="str">
        <f>'Resultater - Vestdanmark'!B464</f>
        <v/>
      </c>
      <c r="C464" s="94" t="str">
        <f>'Resultater - Vestdanmark'!C464</f>
        <v/>
      </c>
      <c r="D464" s="94" t="str">
        <f>'Resultater - Vestdanmark'!D464</f>
        <v>Majs</v>
      </c>
      <c r="E464" s="94" t="str">
        <f>'Resultater - Vestdanmark'!E464</f>
        <v>Ton</v>
      </c>
      <c r="F464" s="94" t="str">
        <f>'Resultater - Vestdanmark'!F464</f>
        <v>Biogas</v>
      </c>
      <c r="G464" s="94" t="str">
        <f>'Resultater - Vestdanmark'!G464</f>
        <v>Nm3 CH4</v>
      </c>
      <c r="H464" s="254">
        <f>'Resultater - Vestdanmark'!H464+'Resultater - Østdanmark'!H464</f>
        <v>33002600</v>
      </c>
      <c r="I464" s="255">
        <f>'Resultater - Vestdanmark'!I464+'Resultater - Østdanmark'!I464</f>
        <v>0</v>
      </c>
      <c r="J464" s="256">
        <f>'Resultater - Vestdanmark'!J464+'Resultater - Østdanmark'!J464</f>
        <v>0</v>
      </c>
    </row>
    <row r="465" spans="1:12" x14ac:dyDescent="0.25">
      <c r="A465" s="94" t="str">
        <f>'Resultater - Vestdanmark'!A465</f>
        <v>Biogasanlæg</v>
      </c>
      <c r="B465" s="94" t="str">
        <f>'Resultater - Vestdanmark'!B465</f>
        <v/>
      </c>
      <c r="C465" s="94" t="str">
        <f>'Resultater - Vestdanmark'!C465</f>
        <v/>
      </c>
      <c r="D465" s="94" t="str">
        <f>'Resultater - Vestdanmark'!D465</f>
        <v>Roer</v>
      </c>
      <c r="E465" s="94" t="str">
        <f>'Resultater - Vestdanmark'!E465</f>
        <v>Ton</v>
      </c>
      <c r="F465" s="94" t="str">
        <f>'Resultater - Vestdanmark'!F465</f>
        <v>Biogas</v>
      </c>
      <c r="G465" s="94" t="str">
        <f>'Resultater - Vestdanmark'!G465</f>
        <v>Nm3 CH4</v>
      </c>
      <c r="H465" s="254">
        <f>'Resultater - Vestdanmark'!H465+'Resultater - Østdanmark'!H465</f>
        <v>2165561.9999999995</v>
      </c>
      <c r="I465" s="255">
        <f>'Resultater - Vestdanmark'!I465+'Resultater - Østdanmark'!I465</f>
        <v>0</v>
      </c>
      <c r="J465" s="256">
        <f>'Resultater - Vestdanmark'!J465+'Resultater - Østdanmark'!J465</f>
        <v>0</v>
      </c>
    </row>
    <row r="466" spans="1:12" x14ac:dyDescent="0.25">
      <c r="A466" s="94" t="str">
        <f>'Resultater - Vestdanmark'!A466</f>
        <v>Biogasanlæg</v>
      </c>
      <c r="B466" s="94" t="str">
        <f>'Resultater - Vestdanmark'!B466</f>
        <v/>
      </c>
      <c r="C466" s="94" t="str">
        <f>'Resultater - Vestdanmark'!C466</f>
        <v/>
      </c>
      <c r="D466" s="94" t="str">
        <f>'Resultater - Vestdanmark'!D466</f>
        <v>Bioaffald</v>
      </c>
      <c r="E466" s="94" t="str">
        <f>'Resultater - Vestdanmark'!E466</f>
        <v>Ton</v>
      </c>
      <c r="F466" s="94" t="str">
        <f>'Resultater - Vestdanmark'!F466</f>
        <v>Biogas</v>
      </c>
      <c r="G466" s="94" t="str">
        <f>'Resultater - Vestdanmark'!G466</f>
        <v>Nm3 CH4</v>
      </c>
      <c r="H466" s="254">
        <f ca="1">'Resultater - Vestdanmark'!H466+'Resultater - Østdanmark'!H466</f>
        <v>69194816.600000009</v>
      </c>
      <c r="I466" s="255">
        <f ca="1">'Resultater - Vestdanmark'!I466+'Resultater - Østdanmark'!I466</f>
        <v>0</v>
      </c>
      <c r="J466" s="256">
        <f ca="1">'Resultater - Vestdanmark'!J466+'Resultater - Østdanmark'!J466</f>
        <v>0</v>
      </c>
    </row>
    <row r="467" spans="1:12" x14ac:dyDescent="0.25">
      <c r="A467" s="94" t="str">
        <f>'Resultater - Vestdanmark'!A467</f>
        <v>Biogasanlæg</v>
      </c>
      <c r="B467" s="94" t="str">
        <f>'Resultater - Vestdanmark'!B467</f>
        <v/>
      </c>
      <c r="C467" s="94" t="str">
        <f>'Resultater - Vestdanmark'!C467</f>
        <v/>
      </c>
      <c r="D467" s="94" t="str">
        <f>'Resultater - Vestdanmark'!D467</f>
        <v>Industriaffald</v>
      </c>
      <c r="E467" s="94" t="str">
        <f>'Resultater - Vestdanmark'!E467</f>
        <v>Ton</v>
      </c>
      <c r="F467" s="94" t="str">
        <f>'Resultater - Vestdanmark'!F467</f>
        <v>Biogas</v>
      </c>
      <c r="G467" s="94" t="str">
        <f>'Resultater - Vestdanmark'!G467</f>
        <v>Nm3 CH4</v>
      </c>
      <c r="H467" s="254">
        <f>'Resultater - Vestdanmark'!H467+'Resultater - Østdanmark'!H467</f>
        <v>102149122.13</v>
      </c>
      <c r="I467" s="255">
        <f>'Resultater - Vestdanmark'!I467+'Resultater - Østdanmark'!I467</f>
        <v>0</v>
      </c>
      <c r="J467" s="256">
        <f>'Resultater - Vestdanmark'!J467+'Resultater - Østdanmark'!J467</f>
        <v>0</v>
      </c>
    </row>
    <row r="468" spans="1:12" x14ac:dyDescent="0.25">
      <c r="A468" s="94" t="str">
        <f>'Resultater - Vestdanmark'!A468</f>
        <v>Biogasanlæg</v>
      </c>
      <c r="B468" s="94" t="str">
        <f>'Resultater - Vestdanmark'!B468</f>
        <v/>
      </c>
      <c r="C468" s="94" t="str">
        <f>'Resultater - Vestdanmark'!C468</f>
        <v/>
      </c>
      <c r="D468" s="94" t="str">
        <f>'Resultater - Vestdanmark'!D468</f>
        <v>Muslinger</v>
      </c>
      <c r="E468" s="94" t="str">
        <f>'Resultater - Vestdanmark'!E468</f>
        <v>Ton</v>
      </c>
      <c r="F468" s="94" t="str">
        <f>'Resultater - Vestdanmark'!F468</f>
        <v>Biogas</v>
      </c>
      <c r="G468" s="94" t="str">
        <f>'Resultater - Vestdanmark'!G468</f>
        <v>Nm3 CH4</v>
      </c>
      <c r="H468" s="254">
        <f>'Resultater - Vestdanmark'!H468+'Resultater - Østdanmark'!H468</f>
        <v>0</v>
      </c>
      <c r="I468" s="255">
        <f>'Resultater - Vestdanmark'!I468+'Resultater - Østdanmark'!I468</f>
        <v>0</v>
      </c>
      <c r="J468" s="256">
        <f>'Resultater - Vestdanmark'!J468+'Resultater - Østdanmark'!J468</f>
        <v>0</v>
      </c>
    </row>
    <row r="469" spans="1:12" x14ac:dyDescent="0.25">
      <c r="A469" s="94" t="str">
        <f>'Resultater - Vestdanmark'!A469</f>
        <v>Biogasanlæg</v>
      </c>
      <c r="B469" s="94" t="str">
        <f>'Resultater - Vestdanmark'!B469</f>
        <v/>
      </c>
      <c r="C469" s="94" t="str">
        <f>'Resultater - Vestdanmark'!C469</f>
        <v/>
      </c>
      <c r="D469" s="94" t="str">
        <f>'Resultater - Vestdanmark'!D469</f>
        <v>Tang</v>
      </c>
      <c r="E469" s="94" t="str">
        <f>'Resultater - Vestdanmark'!E469</f>
        <v>Ton</v>
      </c>
      <c r="F469" s="94" t="str">
        <f>'Resultater - Vestdanmark'!F469</f>
        <v>Biogas</v>
      </c>
      <c r="G469" s="94" t="str">
        <f>'Resultater - Vestdanmark'!G469</f>
        <v>Nm3 CH4</v>
      </c>
      <c r="H469" s="254">
        <f>'Resultater - Vestdanmark'!H469+'Resultater - Østdanmark'!H469</f>
        <v>0</v>
      </c>
      <c r="I469" s="255">
        <f>'Resultater - Vestdanmark'!I469+'Resultater - Østdanmark'!I469</f>
        <v>0</v>
      </c>
      <c r="J469" s="256">
        <f>'Resultater - Vestdanmark'!J469+'Resultater - Østdanmark'!J469</f>
        <v>0</v>
      </c>
    </row>
    <row r="470" spans="1:12" x14ac:dyDescent="0.25">
      <c r="A470" s="94" t="str">
        <f>'Resultater - Vestdanmark'!A470</f>
        <v>Biogasanlæg</v>
      </c>
      <c r="B470" s="94" t="str">
        <f>'Resultater - Vestdanmark'!B470</f>
        <v/>
      </c>
      <c r="C470" s="94" t="str">
        <f>'Resultater - Vestdanmark'!C470</f>
        <v/>
      </c>
      <c r="D470" s="94" t="str">
        <f>'Resultater - Vestdanmark'!D470</f>
        <v>Have/parkaffald</v>
      </c>
      <c r="E470" s="94" t="str">
        <f>'Resultater - Vestdanmark'!E470</f>
        <v>Ton</v>
      </c>
      <c r="F470" s="94" t="str">
        <f>'Resultater - Vestdanmark'!F470</f>
        <v>Biogas</v>
      </c>
      <c r="G470" s="94" t="str">
        <f>'Resultater - Vestdanmark'!G470</f>
        <v>Nm3 CH4</v>
      </c>
      <c r="H470" s="254">
        <f>'Resultater - Vestdanmark'!H470+'Resultater - Østdanmark'!H470</f>
        <v>3689.3999999999996</v>
      </c>
      <c r="I470" s="255">
        <f>'Resultater - Vestdanmark'!I470+'Resultater - Østdanmark'!I470</f>
        <v>35475000</v>
      </c>
      <c r="J470" s="256">
        <f>'Resultater - Vestdanmark'!J470+'Resultater - Østdanmark'!J470</f>
        <v>46354000</v>
      </c>
    </row>
    <row r="471" spans="1:12" x14ac:dyDescent="0.25">
      <c r="A471" s="94" t="str">
        <f>'Resultater - Vestdanmark'!A471</f>
        <v>Biogasanlæg</v>
      </c>
      <c r="B471" s="94" t="str">
        <f>'Resultater - Vestdanmark'!B471</f>
        <v/>
      </c>
      <c r="C471" s="94" t="str">
        <f>'Resultater - Vestdanmark'!C471</f>
        <v/>
      </c>
      <c r="D471" s="94" t="str">
        <f>'Resultater - Vestdanmark'!D471</f>
        <v>Brun saft</v>
      </c>
      <c r="E471" s="94" t="str">
        <f>'Resultater - Vestdanmark'!E471</f>
        <v>PJ</v>
      </c>
      <c r="F471" s="94" t="str">
        <f>'Resultater - Vestdanmark'!F471</f>
        <v>Biogas</v>
      </c>
      <c r="G471" s="94" t="str">
        <f>'Resultater - Vestdanmark'!G471</f>
        <v>Nm3 CH4</v>
      </c>
      <c r="H471" s="254">
        <f>'Resultater - Vestdanmark'!H471+'Resultater - Østdanmark'!H471</f>
        <v>0</v>
      </c>
      <c r="I471" s="255">
        <f>'Resultater - Vestdanmark'!I471+'Resultater - Østdanmark'!I471</f>
        <v>0</v>
      </c>
      <c r="J471" s="256">
        <f>'Resultater - Vestdanmark'!J471+'Resultater - Østdanmark'!J471</f>
        <v>0</v>
      </c>
    </row>
    <row r="472" spans="1:12" x14ac:dyDescent="0.25">
      <c r="A472" s="94" t="str">
        <f>'Resultater - Vestdanmark'!A472</f>
        <v>Biogasanlæg</v>
      </c>
      <c r="B472" s="94" t="str">
        <f>'Resultater - Vestdanmark'!B472</f>
        <v/>
      </c>
      <c r="C472" s="94" t="str">
        <f>'Resultater - Vestdanmark'!C472</f>
        <v/>
      </c>
      <c r="D472" s="94" t="str">
        <f>'Resultater - Vestdanmark'!D472</f>
        <v>Glycerin</v>
      </c>
      <c r="E472" s="94" t="str">
        <f>'Resultater - Vestdanmark'!E472</f>
        <v>Ton</v>
      </c>
      <c r="F472" s="94" t="str">
        <f>'Resultater - Vestdanmark'!F472</f>
        <v>Biogas</v>
      </c>
      <c r="G472" s="94" t="str">
        <f>'Resultater - Vestdanmark'!G472</f>
        <v>Nm3 CH4</v>
      </c>
      <c r="H472" s="254">
        <f>'Resultater - Vestdanmark'!H472+'Resultater - Østdanmark'!H472</f>
        <v>60431253.120000005</v>
      </c>
      <c r="I472" s="255">
        <f>'Resultater - Vestdanmark'!I472+'Resultater - Østdanmark'!I472</f>
        <v>60431253.120000005</v>
      </c>
      <c r="J472" s="256">
        <f>'Resultater - Vestdanmark'!J472+'Resultater - Østdanmark'!J472</f>
        <v>60431253.120000005</v>
      </c>
    </row>
    <row r="473" spans="1:12" x14ac:dyDescent="0.25">
      <c r="A473" s="94" t="str">
        <f>'Resultater - Vestdanmark'!A473</f>
        <v>Biogasanlæg</v>
      </c>
      <c r="B473" s="94" t="str">
        <f>'Resultater - Vestdanmark'!B473</f>
        <v/>
      </c>
      <c r="C473" s="94" t="str">
        <f>'Resultater - Vestdanmark'!C473</f>
        <v/>
      </c>
      <c r="D473" s="94" t="str">
        <f>'Resultater - Vestdanmark'!D473</f>
        <v>Spildevandsslam</v>
      </c>
      <c r="E473" s="94" t="str">
        <f>'Resultater - Vestdanmark'!E473</f>
        <v>Ton</v>
      </c>
      <c r="F473" s="94" t="str">
        <f>'Resultater - Vestdanmark'!F473</f>
        <v>Biogas</v>
      </c>
      <c r="G473" s="94" t="str">
        <f>'Resultater - Vestdanmark'!G473</f>
        <v>Nm3 CH4</v>
      </c>
      <c r="H473" s="254">
        <f>'Resultater - Vestdanmark'!H473+'Resultater - Østdanmark'!H473</f>
        <v>37096792.599999994</v>
      </c>
      <c r="I473" s="255">
        <f>'Resultater - Vestdanmark'!I473+'Resultater - Østdanmark'!I473</f>
        <v>75735347.74946475</v>
      </c>
      <c r="J473" s="256">
        <f>'Resultater - Vestdanmark'!J473+'Resultater - Østdanmark'!J473</f>
        <v>93851884.535214618</v>
      </c>
      <c r="L473" s="94"/>
    </row>
    <row r="474" spans="1:12" x14ac:dyDescent="0.25">
      <c r="A474" s="94" t="str">
        <f>'Resultater - Vestdanmark'!A474</f>
        <v>Biogasanlæg</v>
      </c>
      <c r="B474" s="94" t="str">
        <f>'Resultater - Vestdanmark'!B474</f>
        <v/>
      </c>
      <c r="C474" s="94" t="str">
        <f>'Resultater - Vestdanmark'!C474</f>
        <v/>
      </c>
      <c r="D474" s="94" t="str">
        <f>'Resultater - Vestdanmark'!D474</f>
        <v>Total til biogas</v>
      </c>
      <c r="E474" s="94" t="str">
        <f>'Resultater - Vestdanmark'!E474</f>
        <v>Ton</v>
      </c>
      <c r="F474" s="94" t="str">
        <f>'Resultater - Vestdanmark'!F474</f>
        <v>Biogasgylle</v>
      </c>
      <c r="G474" s="94" t="str">
        <f>'Resultater - Vestdanmark'!G474</f>
        <v>Ton</v>
      </c>
      <c r="H474" s="260">
        <f ca="1">'Resultater - Vestdanmark'!H474+'Resultater - Østdanmark'!H474</f>
        <v>12034020.807749998</v>
      </c>
      <c r="I474" s="261">
        <f ca="1">'Resultater - Vestdanmark'!I474+'Resultater - Østdanmark'!I474</f>
        <v>18679597.222446498</v>
      </c>
      <c r="J474" s="262">
        <f ca="1">'Resultater - Vestdanmark'!J474+'Resultater - Østdanmark'!J474</f>
        <v>8313981.6995309032</v>
      </c>
    </row>
    <row r="475" spans="1:12" x14ac:dyDescent="0.25">
      <c r="A475" s="94" t="str">
        <f>'Resultater - Vestdanmark'!A475</f>
        <v>Gødning</v>
      </c>
      <c r="B475" s="94" t="str">
        <f>'Resultater - Vestdanmark'!B475</f>
        <v/>
      </c>
      <c r="C475" s="94" t="str">
        <f>'Resultater - Vestdanmark'!C475</f>
        <v/>
      </c>
      <c r="D475" s="94" t="str">
        <f>'Resultater - Vestdanmark'!D475</f>
        <v>Svinegylle</v>
      </c>
      <c r="E475" s="94" t="str">
        <f>'Resultater - Vestdanmark'!E475</f>
        <v>Ton</v>
      </c>
      <c r="F475" s="94" t="str">
        <f>'Resultater - Vestdanmark'!F475</f>
        <v>Gødning</v>
      </c>
      <c r="G475" s="94" t="str">
        <f>'Resultater - Vestdanmark'!G475</f>
        <v>kg N</v>
      </c>
      <c r="H475" s="260">
        <f>'Resultater - Vestdanmark'!H475+'Resultater - Østdanmark'!H475</f>
        <v>78133292.533333316</v>
      </c>
      <c r="I475" s="261">
        <f>'Resultater - Vestdanmark'!I475+'Resultater - Østdanmark'!I475</f>
        <v>10097102.611769486</v>
      </c>
      <c r="J475" s="262">
        <f>'Resultater - Vestdanmark'!J475+'Resultater - Østdanmark'!J475</f>
        <v>0</v>
      </c>
    </row>
    <row r="476" spans="1:12" x14ac:dyDescent="0.25">
      <c r="A476" s="94" t="str">
        <f>'Resultater - Vestdanmark'!A476</f>
        <v>Gødning</v>
      </c>
      <c r="B476" s="94" t="str">
        <f>'Resultater - Vestdanmark'!B476</f>
        <v/>
      </c>
      <c r="C476" s="94" t="str">
        <f>'Resultater - Vestdanmark'!C476</f>
        <v/>
      </c>
      <c r="D476" s="94" t="str">
        <f>'Resultater - Vestdanmark'!D476</f>
        <v>Kvæggylle</v>
      </c>
      <c r="E476" s="94" t="str">
        <f>'Resultater - Vestdanmark'!E476</f>
        <v>Ton</v>
      </c>
      <c r="F476" s="94" t="str">
        <f>'Resultater - Vestdanmark'!F476</f>
        <v>Gødning</v>
      </c>
      <c r="G476" s="94" t="str">
        <f>'Resultater - Vestdanmark'!G476</f>
        <v>kg N</v>
      </c>
      <c r="H476" s="260">
        <f>'Resultater - Vestdanmark'!H476+'Resultater - Østdanmark'!H476</f>
        <v>77571922.666666672</v>
      </c>
      <c r="I476" s="261">
        <f>'Resultater - Vestdanmark'!I476+'Resultater - Østdanmark'!I476</f>
        <v>16399959.795851575</v>
      </c>
      <c r="J476" s="262">
        <f>'Resultater - Vestdanmark'!J476+'Resultater - Østdanmark'!J476</f>
        <v>672496.57282436197</v>
      </c>
    </row>
    <row r="477" spans="1:12" x14ac:dyDescent="0.25">
      <c r="A477" s="94" t="str">
        <f>'Resultater - Vestdanmark'!A477</f>
        <v>Gødning</v>
      </c>
      <c r="B477" s="94" t="str">
        <f>'Resultater - Vestdanmark'!B477</f>
        <v/>
      </c>
      <c r="C477" s="94" t="str">
        <f>'Resultater - Vestdanmark'!C477</f>
        <v/>
      </c>
      <c r="D477" s="94" t="str">
        <f>'Resultater - Vestdanmark'!D477</f>
        <v>Fjerkrægylle</v>
      </c>
      <c r="E477" s="94" t="str">
        <f>'Resultater - Vestdanmark'!E477</f>
        <v>Ton</v>
      </c>
      <c r="F477" s="94" t="str">
        <f>'Resultater - Vestdanmark'!F477</f>
        <v>Gødning</v>
      </c>
      <c r="G477" s="94" t="str">
        <f>'Resultater - Vestdanmark'!G477</f>
        <v>kg N</v>
      </c>
      <c r="H477" s="260">
        <f>'Resultater - Vestdanmark'!H477+'Resultater - Østdanmark'!H477</f>
        <v>31090.5</v>
      </c>
      <c r="I477" s="261">
        <f>'Resultater - Vestdanmark'!I477+'Resultater - Østdanmark'!I477</f>
        <v>15335.302160608391</v>
      </c>
      <c r="J477" s="262">
        <f>'Resultater - Vestdanmark'!J477+'Resultater - Østdanmark'!J477</f>
        <v>4262.9766774036752</v>
      </c>
    </row>
    <row r="478" spans="1:12" x14ac:dyDescent="0.25">
      <c r="A478" s="94" t="str">
        <f>'Resultater - Vestdanmark'!A478</f>
        <v>Gødning</v>
      </c>
      <c r="B478" s="94" t="str">
        <f>'Resultater - Vestdanmark'!B478</f>
        <v/>
      </c>
      <c r="C478" s="94" t="str">
        <f>'Resultater - Vestdanmark'!C478</f>
        <v/>
      </c>
      <c r="D478" s="94" t="str">
        <f>'Resultater - Vestdanmark'!D478</f>
        <v>Dybstrøelse</v>
      </c>
      <c r="E478" s="94" t="str">
        <f>'Resultater - Vestdanmark'!E478</f>
        <v>Ton</v>
      </c>
      <c r="F478" s="94" t="str">
        <f>'Resultater - Vestdanmark'!F478</f>
        <v>Gødning</v>
      </c>
      <c r="G478" s="94" t="str">
        <f>'Resultater - Vestdanmark'!G478</f>
        <v>kg N</v>
      </c>
      <c r="H478" s="260">
        <f>'Resultater - Vestdanmark'!H478+'Resultater - Østdanmark'!H478</f>
        <v>11532709.900000002</v>
      </c>
      <c r="I478" s="261">
        <f>'Resultater - Vestdanmark'!I478+'Resultater - Østdanmark'!I478</f>
        <v>3720854.3100850536</v>
      </c>
      <c r="J478" s="262">
        <f>'Resultater - Vestdanmark'!J478+'Resultater - Østdanmark'!J478</f>
        <v>239737.86916227947</v>
      </c>
    </row>
    <row r="479" spans="1:12" x14ac:dyDescent="0.25">
      <c r="A479" s="94" t="str">
        <f>'Resultater - Vestdanmark'!A479</f>
        <v>Gødning</v>
      </c>
      <c r="B479" s="94" t="str">
        <f>'Resultater - Vestdanmark'!B479</f>
        <v/>
      </c>
      <c r="C479" s="94" t="str">
        <f>'Resultater - Vestdanmark'!C479</f>
        <v/>
      </c>
      <c r="D479" s="94" t="str">
        <f>'Resultater - Vestdanmark'!D479</f>
        <v>Biogasgylle</v>
      </c>
      <c r="E479" s="94" t="str">
        <f>'Resultater - Vestdanmark'!E479</f>
        <v>Ton</v>
      </c>
      <c r="F479" s="94" t="str">
        <f>'Resultater - Vestdanmark'!F479</f>
        <v>Gødning</v>
      </c>
      <c r="G479" s="94" t="str">
        <f>'Resultater - Vestdanmark'!G479</f>
        <v>kg N</v>
      </c>
      <c r="H479" s="260">
        <f ca="1">'Resultater - Vestdanmark'!H479+'Resultater - Østdanmark'!H479</f>
        <v>61624442.148559391</v>
      </c>
      <c r="I479" s="261">
        <f ca="1">'Resultater - Vestdanmark'!I479+'Resultater - Østdanmark'!I479</f>
        <v>89624279.979773477</v>
      </c>
      <c r="J479" s="262">
        <f ca="1">'Resultater - Vestdanmark'!J479+'Resultater - Østdanmark'!J479</f>
        <v>5902214.3695723545</v>
      </c>
    </row>
    <row r="480" spans="1:12" x14ac:dyDescent="0.25">
      <c r="A480" s="94" t="str">
        <f>'Resultater - Vestdanmark'!A480</f>
        <v>Gødning</v>
      </c>
      <c r="B480" s="94" t="str">
        <f>'Resultater - Vestdanmark'!B480</f>
        <v/>
      </c>
      <c r="C480" s="94" t="str">
        <f>'Resultater - Vestdanmark'!C480</f>
        <v/>
      </c>
      <c r="D480" s="94" t="str">
        <f>'Resultater - Vestdanmark'!D480</f>
        <v>Kunstgødning</v>
      </c>
      <c r="E480" s="94" t="str">
        <f>'Resultater - Vestdanmark'!E480</f>
        <v>Ton</v>
      </c>
      <c r="F480" s="94" t="str">
        <f>'Resultater - Vestdanmark'!F480</f>
        <v>Gødning</v>
      </c>
      <c r="G480" s="94" t="str">
        <f>'Resultater - Vestdanmark'!G480</f>
        <v>kg N</v>
      </c>
      <c r="H480" s="260">
        <f ca="1">'Resultater - Vestdanmark'!H480+'Resultater - Østdanmark'!H480</f>
        <v>151170766.56868804</v>
      </c>
      <c r="I480" s="261">
        <f ca="1">'Resultater - Vestdanmark'!I480+'Resultater - Østdanmark'!I480</f>
        <v>317701316.27699471</v>
      </c>
      <c r="J480" s="262">
        <f ca="1">'Resultater - Vestdanmark'!J480+'Resultater - Østdanmark'!J480</f>
        <v>656692207.26897073</v>
      </c>
    </row>
    <row r="481" spans="1:13" x14ac:dyDescent="0.25">
      <c r="A481" s="94" t="str">
        <f>'Resultater - Vestdanmark'!A481</f>
        <v>Til energi</v>
      </c>
      <c r="B481" s="94" t="str">
        <f>'Resultater - Vestdanmark'!B481</f>
        <v/>
      </c>
      <c r="C481" s="94" t="str">
        <f>'Resultater - Vestdanmark'!C481</f>
        <v/>
      </c>
      <c r="D481" s="94" t="str">
        <f>'Resultater - Vestdanmark'!D481</f>
        <v>Halm</v>
      </c>
      <c r="E481" s="94" t="str">
        <f>'Resultater - Vestdanmark'!E481</f>
        <v>Ton</v>
      </c>
      <c r="F481" s="94" t="str">
        <f>'Resultater - Vestdanmark'!F481</f>
        <v>Energi</v>
      </c>
      <c r="G481" s="94" t="str">
        <f>'Resultater - Vestdanmark'!G481</f>
        <v>PJ</v>
      </c>
      <c r="H481" s="264">
        <f>'Resultater - Vestdanmark'!H481+'Resultater - Østdanmark'!H481</f>
        <v>19.591464268115235</v>
      </c>
      <c r="I481" s="265">
        <f>'Resultater - Vestdanmark'!I481+'Resultater - Østdanmark'!I481</f>
        <v>21.814784053928342</v>
      </c>
      <c r="J481" s="266">
        <f>'Resultater - Vestdanmark'!J481+'Resultater - Østdanmark'!J481</f>
        <v>13.732936241351867</v>
      </c>
      <c r="L481" s="152" t="s">
        <v>215</v>
      </c>
      <c r="M481" s="150">
        <v>17963.28</v>
      </c>
    </row>
    <row r="482" spans="1:13" x14ac:dyDescent="0.25">
      <c r="A482" s="94" t="str">
        <f>'Resultater - Vestdanmark'!A482</f>
        <v>Til energi</v>
      </c>
      <c r="B482" s="94" t="str">
        <f>'Resultater - Vestdanmark'!B482</f>
        <v/>
      </c>
      <c r="C482" s="94" t="str">
        <f>'Resultater - Vestdanmark'!C482</f>
        <v/>
      </c>
      <c r="D482" s="94" t="str">
        <f>'Resultater - Vestdanmark'!D482</f>
        <v>Rapsolie</v>
      </c>
      <c r="E482" s="94" t="str">
        <f>'Resultater - Vestdanmark'!E482</f>
        <v>Ton</v>
      </c>
      <c r="F482" s="94" t="str">
        <f>'Resultater - Vestdanmark'!F482</f>
        <v>Energi</v>
      </c>
      <c r="G482" s="94" t="str">
        <f>'Resultater - Vestdanmark'!G482</f>
        <v>PJ</v>
      </c>
      <c r="H482" s="264">
        <f>'Resultater - Vestdanmark'!H482+'Resultater - Østdanmark'!H482</f>
        <v>3.9505661308495017</v>
      </c>
      <c r="I482" s="265">
        <f>'Resultater - Vestdanmark'!I482+'Resultater - Østdanmark'!I482</f>
        <v>7.2413089721898078</v>
      </c>
      <c r="J482" s="266">
        <f>'Resultater - Vestdanmark'!J482+'Resultater - Østdanmark'!J482</f>
        <v>14.654531654055848</v>
      </c>
      <c r="L482" s="152" t="s">
        <v>219</v>
      </c>
      <c r="M482" s="150">
        <v>14758.1</v>
      </c>
    </row>
    <row r="483" spans="1:13" x14ac:dyDescent="0.25">
      <c r="A483" s="94" t="str">
        <f>'Resultater - Vestdanmark'!A483</f>
        <v>Til energi</v>
      </c>
      <c r="B483" s="94" t="str">
        <f>'Resultater - Vestdanmark'!B483</f>
        <v/>
      </c>
      <c r="C483" s="94" t="str">
        <f>'Resultater - Vestdanmark'!C483</f>
        <v/>
      </c>
      <c r="D483" s="94" t="str">
        <f>'Resultater - Vestdanmark'!D483</f>
        <v>Pil &amp; poppel</v>
      </c>
      <c r="E483" s="94" t="str">
        <f>'Resultater - Vestdanmark'!E483</f>
        <v>Ton</v>
      </c>
      <c r="F483" s="94" t="str">
        <f>'Resultater - Vestdanmark'!F483</f>
        <v>Energi</v>
      </c>
      <c r="G483" s="94" t="str">
        <f>'Resultater - Vestdanmark'!G483</f>
        <v>PJ</v>
      </c>
      <c r="H483" s="263">
        <f>'Resultater - Vestdanmark'!H483+'Resultater - Østdanmark'!H483</f>
        <v>3.8615553516557766</v>
      </c>
      <c r="I483" s="265">
        <f>'Resultater - Vestdanmark'!I483+'Resultater - Østdanmark'!I483</f>
        <v>3.5341268366999095</v>
      </c>
      <c r="J483" s="266">
        <f>'Resultater - Vestdanmark'!J483+'Resultater - Østdanmark'!J483</f>
        <v>2.6408406192395568</v>
      </c>
      <c r="L483" s="152" t="s">
        <v>216</v>
      </c>
      <c r="M483" s="150">
        <v>1988.19</v>
      </c>
    </row>
    <row r="484" spans="1:13" x14ac:dyDescent="0.25">
      <c r="A484" s="94" t="str">
        <f>'Resultater - Vestdanmark'!A484</f>
        <v>Til energi</v>
      </c>
      <c r="B484" s="94" t="str">
        <f>'Resultater - Vestdanmark'!B484</f>
        <v/>
      </c>
      <c r="C484" s="94" t="str">
        <f>'Resultater - Vestdanmark'!C484</f>
        <v/>
      </c>
      <c r="D484" s="94" t="str">
        <f>'Resultater - Vestdanmark'!D484</f>
        <v>Træ til energi</v>
      </c>
      <c r="E484" s="94" t="str">
        <f>'Resultater - Vestdanmark'!E484</f>
        <v>m3</v>
      </c>
      <c r="F484" s="94" t="str">
        <f>'Resultater - Vestdanmark'!F484</f>
        <v>Energi</v>
      </c>
      <c r="G484" s="94" t="str">
        <f>'Resultater - Vestdanmark'!G484</f>
        <v>PJ</v>
      </c>
      <c r="H484" s="263">
        <f ca="1">'Resultater - Vestdanmark'!H484+'Resultater - Østdanmark'!H484</f>
        <v>43.629875452920871</v>
      </c>
      <c r="I484" s="265">
        <f ca="1">'Resultater - Vestdanmark'!I484+'Resultater - Østdanmark'!I484</f>
        <v>41.521042261764158</v>
      </c>
      <c r="J484" s="266">
        <f ca="1">'Resultater - Vestdanmark'!J484+'Resultater - Østdanmark'!J484</f>
        <v>42.400879579560225</v>
      </c>
      <c r="L484" s="152" t="s">
        <v>217</v>
      </c>
      <c r="M484" s="150">
        <v>8944.93</v>
      </c>
    </row>
    <row r="485" spans="1:13" x14ac:dyDescent="0.25">
      <c r="A485" s="94" t="str">
        <f>'Resultater - Vestdanmark'!A485</f>
        <v>Til energi</v>
      </c>
      <c r="B485" s="94" t="str">
        <f>'Resultater - Vestdanmark'!B485</f>
        <v/>
      </c>
      <c r="C485" s="94" t="str">
        <f>'Resultater - Vestdanmark'!C485</f>
        <v/>
      </c>
      <c r="D485" s="94" t="str">
        <f>'Resultater - Vestdanmark'!D485</f>
        <v>Have/parkaffald</v>
      </c>
      <c r="E485" s="94" t="str">
        <f>'Resultater - Vestdanmark'!E485</f>
        <v>Ton</v>
      </c>
      <c r="F485" s="94" t="str">
        <f>'Resultater - Vestdanmark'!F485</f>
        <v>Energi</v>
      </c>
      <c r="G485" s="94" t="str">
        <f>'Resultater - Vestdanmark'!G485</f>
        <v>PJ</v>
      </c>
      <c r="H485" s="263">
        <f>'Resultater - Vestdanmark'!H485+'Resultater - Østdanmark'!H485</f>
        <v>17.543930524502301</v>
      </c>
      <c r="I485" s="265">
        <f>'Resultater - Vestdanmark'!I485+'Resultater - Østdanmark'!I485</f>
        <v>4.1561576071975512</v>
      </c>
      <c r="J485" s="266">
        <f>'Resultater - Vestdanmark'!J485+'Resultater - Østdanmark'!J485</f>
        <v>5.014688744257171E-2</v>
      </c>
      <c r="L485" s="152" t="s">
        <v>218</v>
      </c>
      <c r="M485" s="150">
        <v>18651.71</v>
      </c>
    </row>
    <row r="486" spans="1:13" x14ac:dyDescent="0.25">
      <c r="A486" s="94" t="str">
        <f>'Resultater - Vestdanmark'!A486</f>
        <v>Til energi</v>
      </c>
      <c r="B486" s="94" t="str">
        <f>'Resultater - Vestdanmark'!B486</f>
        <v/>
      </c>
      <c r="C486" s="94" t="str">
        <f>'Resultater - Vestdanmark'!C486</f>
        <v/>
      </c>
      <c r="D486" s="94" t="str">
        <f>'Resultater - Vestdanmark'!D486</f>
        <v>Bioaffald</v>
      </c>
      <c r="E486" s="94" t="str">
        <f>'Resultater - Vestdanmark'!E486</f>
        <v>Ton</v>
      </c>
      <c r="F486" s="94" t="str">
        <f>'Resultater - Vestdanmark'!F486</f>
        <v>Energi</v>
      </c>
      <c r="G486" s="94" t="str">
        <f>'Resultater - Vestdanmark'!G486</f>
        <v>PJ</v>
      </c>
      <c r="H486" s="263">
        <f ca="1">'Resultater - Vestdanmark'!H486+'Resultater - Østdanmark'!H486</f>
        <v>0</v>
      </c>
      <c r="I486" s="265">
        <f ca="1">'Resultater - Vestdanmark'!I486+'Resultater - Østdanmark'!I486</f>
        <v>6.4981185039678975</v>
      </c>
      <c r="J486" s="266">
        <f ca="1">'Resultater - Vestdanmark'!J486+'Resultater - Østdanmark'!J486</f>
        <v>6.6013372467689999</v>
      </c>
      <c r="L486" s="151" t="s">
        <v>109</v>
      </c>
      <c r="M486" s="150">
        <v>16604.849999999999</v>
      </c>
    </row>
    <row r="487" spans="1:13" x14ac:dyDescent="0.25">
      <c r="A487" s="94" t="str">
        <f>'Resultater - Vestdanmark'!A487</f>
        <v>Til energi</v>
      </c>
      <c r="B487" s="94" t="str">
        <f>'Resultater - Vestdanmark'!B487</f>
        <v/>
      </c>
      <c r="C487" s="94" t="str">
        <f>'Resultater - Vestdanmark'!C487</f>
        <v/>
      </c>
      <c r="D487" s="94" t="str">
        <f>'Resultater - Vestdanmark'!D487</f>
        <v>Pyrolyseolie</v>
      </c>
      <c r="E487" s="94" t="str">
        <f>'Resultater - Vestdanmark'!E487</f>
        <v>Ton</v>
      </c>
      <c r="F487" s="94" t="str">
        <f>'Resultater - Vestdanmark'!F487</f>
        <v>Energi</v>
      </c>
      <c r="G487" s="94" t="str">
        <f>'Resultater - Vestdanmark'!G487</f>
        <v>PJ</v>
      </c>
      <c r="H487" s="263">
        <f>'Resultater - Vestdanmark'!H487+'Resultater - Østdanmark'!H487</f>
        <v>0</v>
      </c>
      <c r="I487" s="265">
        <f>'Resultater - Vestdanmark'!I487+'Resultater - Østdanmark'!I487</f>
        <v>0</v>
      </c>
      <c r="J487" s="266">
        <f>'Resultater - Vestdanmark'!J487+'Resultater - Østdanmark'!J487</f>
        <v>0</v>
      </c>
      <c r="L487" s="151"/>
      <c r="M487" s="150"/>
    </row>
    <row r="488" spans="1:13" x14ac:dyDescent="0.25">
      <c r="A488" s="94" t="str">
        <f>'Resultater - Vestdanmark'!A488</f>
        <v>Til energi</v>
      </c>
      <c r="B488" s="94" t="str">
        <f>'Resultater - Vestdanmark'!B488</f>
        <v/>
      </c>
      <c r="C488" s="94" t="str">
        <f>'Resultater - Vestdanmark'!C488</f>
        <v/>
      </c>
      <c r="D488" s="94" t="str">
        <f>'Resultater - Vestdanmark'!D488</f>
        <v>Pyrolysegas</v>
      </c>
      <c r="E488" s="94" t="str">
        <f>'Resultater - Vestdanmark'!E488</f>
        <v>Ton</v>
      </c>
      <c r="F488" s="94" t="str">
        <f>'Resultater - Vestdanmark'!F488</f>
        <v>Energi</v>
      </c>
      <c r="G488" s="94" t="str">
        <f>'Resultater - Vestdanmark'!G488</f>
        <v>PJ</v>
      </c>
      <c r="H488" s="263">
        <f>'Resultater - Vestdanmark'!H488+'Resultater - Østdanmark'!H488</f>
        <v>0</v>
      </c>
      <c r="I488" s="265">
        <f>'Resultater - Vestdanmark'!I488+'Resultater - Østdanmark'!I488</f>
        <v>0</v>
      </c>
      <c r="J488" s="266">
        <f>'Resultater - Vestdanmark'!J488+'Resultater - Østdanmark'!J488</f>
        <v>0</v>
      </c>
      <c r="L488" s="151"/>
      <c r="M488" s="150"/>
    </row>
    <row r="489" spans="1:13" x14ac:dyDescent="0.25">
      <c r="A489" s="94" t="str">
        <f>'Resultater - Vestdanmark'!A489</f>
        <v>Til energi</v>
      </c>
      <c r="B489" s="94" t="str">
        <f>'Resultater - Vestdanmark'!B489</f>
        <v/>
      </c>
      <c r="C489" s="94" t="str">
        <f>'Resultater - Vestdanmark'!C489</f>
        <v/>
      </c>
      <c r="D489" s="94" t="str">
        <f>'Resultater - Vestdanmark'!D489</f>
        <v>Biogas</v>
      </c>
      <c r="E489" s="94" t="str">
        <f>'Resultater - Vestdanmark'!E489</f>
        <v>Nm3 CH4</v>
      </c>
      <c r="F489" s="94" t="str">
        <f>'Resultater - Vestdanmark'!F489</f>
        <v>Energi</v>
      </c>
      <c r="G489" s="94" t="str">
        <f>'Resultater - Vestdanmark'!G489</f>
        <v>PJ</v>
      </c>
      <c r="H489" s="267">
        <f ca="1">'Resultater - Vestdanmark'!H489+'Resultater - Østdanmark'!H489</f>
        <v>16.609927730843868</v>
      </c>
      <c r="I489" s="268">
        <f ca="1">'Resultater - Vestdanmark'!I489+'Resultater - Østdanmark'!I489</f>
        <v>16.267779885989412</v>
      </c>
      <c r="J489" s="269">
        <f ca="1">'Resultater - Vestdanmark'!J489+'Resultater - Østdanmark'!J489</f>
        <v>8.4645118726503021</v>
      </c>
    </row>
    <row r="490" spans="1:13" x14ac:dyDescent="0.25">
      <c r="A490" s="94" t="str">
        <f>'Resultater - Vestdanmark'!A490</f>
        <v>Proteinproces</v>
      </c>
      <c r="B490" s="94" t="str">
        <f>'Resultater - Vestdanmark'!B490</f>
        <v/>
      </c>
      <c r="C490" s="94" t="str">
        <f>'Resultater - Vestdanmark'!C490</f>
        <v/>
      </c>
      <c r="D490" s="94" t="str">
        <f>'Resultater - Vestdanmark'!D490</f>
        <v>Græs</v>
      </c>
      <c r="E490" s="94" t="str">
        <f>'Resultater - Vestdanmark'!E490</f>
        <v>Ton</v>
      </c>
      <c r="F490" s="94" t="str">
        <f>'Resultater - Vestdanmark'!F490</f>
        <v>Græsprotein</v>
      </c>
      <c r="G490" s="94" t="str">
        <f>'Resultater - Vestdanmark'!G490</f>
        <v>Ton</v>
      </c>
      <c r="H490" s="270">
        <f>'Resultater - Vestdanmark'!H490+'Resultater - Østdanmark'!H490</f>
        <v>0</v>
      </c>
      <c r="I490" s="271">
        <f>'Resultater - Vestdanmark'!I490+'Resultater - Østdanmark'!I490</f>
        <v>0</v>
      </c>
      <c r="J490" s="272">
        <f>'Resultater - Vestdanmark'!J490+'Resultater - Østdanmark'!J490</f>
        <v>0</v>
      </c>
    </row>
    <row r="491" spans="1:13" x14ac:dyDescent="0.25">
      <c r="A491" s="94" t="str">
        <f>'Resultater - Vestdanmark'!A491</f>
        <v>Proteinproces</v>
      </c>
      <c r="B491" s="94" t="str">
        <f>'Resultater - Vestdanmark'!B491</f>
        <v/>
      </c>
      <c r="C491" s="94" t="str">
        <f>'Resultater - Vestdanmark'!C491</f>
        <v/>
      </c>
      <c r="D491" s="94" t="str">
        <f>'Resultater - Vestdanmark'!D491</f>
        <v>Græs</v>
      </c>
      <c r="E491" s="94" t="str">
        <f>'Resultater - Vestdanmark'!E491</f>
        <v>Ton</v>
      </c>
      <c r="F491" s="94" t="str">
        <f>'Resultater - Vestdanmark'!F491</f>
        <v>Fiberfraktion</v>
      </c>
      <c r="G491" s="94" t="str">
        <f>'Resultater - Vestdanmark'!G491</f>
        <v>Ton</v>
      </c>
      <c r="H491" s="270">
        <f>'Resultater - Vestdanmark'!H491+'Resultater - Østdanmark'!H491</f>
        <v>0</v>
      </c>
      <c r="I491" s="271">
        <f>'Resultater - Vestdanmark'!I491+'Resultater - Østdanmark'!I491</f>
        <v>0</v>
      </c>
      <c r="J491" s="272">
        <f>'Resultater - Vestdanmark'!J491+'Resultater - Østdanmark'!J491</f>
        <v>0</v>
      </c>
    </row>
    <row r="492" spans="1:13" x14ac:dyDescent="0.25">
      <c r="A492" s="94" t="str">
        <f>'Resultater - Vestdanmark'!A492</f>
        <v>Proteinproces</v>
      </c>
      <c r="B492" s="94" t="str">
        <f>'Resultater - Vestdanmark'!B492</f>
        <v/>
      </c>
      <c r="C492" s="94" t="str">
        <f>'Resultater - Vestdanmark'!C492</f>
        <v/>
      </c>
      <c r="D492" s="94" t="str">
        <f>'Resultater - Vestdanmark'!D492</f>
        <v>Græs</v>
      </c>
      <c r="E492" s="94" t="str">
        <f>'Resultater - Vestdanmark'!E492</f>
        <v>Ton</v>
      </c>
      <c r="F492" s="94" t="str">
        <f>'Resultater - Vestdanmark'!F492</f>
        <v>Brun saft</v>
      </c>
      <c r="G492" s="94" t="str">
        <f>'Resultater - Vestdanmark'!G492</f>
        <v>PJ</v>
      </c>
      <c r="H492" s="270">
        <f>'Resultater - Vestdanmark'!H492+'Resultater - Østdanmark'!H492</f>
        <v>0</v>
      </c>
      <c r="I492" s="271">
        <f>'Resultater - Vestdanmark'!I492+'Resultater - Østdanmark'!I492</f>
        <v>0</v>
      </c>
      <c r="J492" s="272">
        <f>'Resultater - Vestdanmark'!J492+'Resultater - Østdanmark'!J492</f>
        <v>0</v>
      </c>
    </row>
    <row r="493" spans="1:13" x14ac:dyDescent="0.25">
      <c r="A493" s="94" t="str">
        <f>'Resultater - Vestdanmark'!A493</f>
        <v>Rapskageproduktion</v>
      </c>
      <c r="B493" s="94" t="str">
        <f>'Resultater - Vestdanmark'!B493</f>
        <v/>
      </c>
      <c r="C493" s="94" t="str">
        <f>'Resultater - Vestdanmark'!C493</f>
        <v/>
      </c>
      <c r="D493" s="94" t="str">
        <f>'Resultater - Vestdanmark'!D493</f>
        <v>Raps</v>
      </c>
      <c r="E493" s="94" t="str">
        <f>'Resultater - Vestdanmark'!E493</f>
        <v>Ton</v>
      </c>
      <c r="F493" s="94" t="str">
        <f>'Resultater - Vestdanmark'!F493</f>
        <v>Rapskage</v>
      </c>
      <c r="G493" s="94" t="str">
        <f>'Resultater - Vestdanmark'!G493</f>
        <v>Ton</v>
      </c>
      <c r="H493" s="270">
        <f>'Resultater - Vestdanmark'!H493+'Resultater - Østdanmark'!H493</f>
        <v>339162.61425562343</v>
      </c>
      <c r="I493" s="271">
        <f>'Resultater - Vestdanmark'!I493+'Resultater - Østdanmark'!I493</f>
        <v>323272.72197275935</v>
      </c>
      <c r="J493" s="272">
        <f>'Resultater - Vestdanmark'!J493+'Resultater - Østdanmark'!J493</f>
        <v>654220.16312749335</v>
      </c>
    </row>
    <row r="494" spans="1:13" x14ac:dyDescent="0.25">
      <c r="A494" s="94" t="str">
        <f>'Resultater - Vestdanmark'!A494</f>
        <v>Rapskageproduktion</v>
      </c>
      <c r="B494" s="94" t="str">
        <f>'Resultater - Vestdanmark'!B494</f>
        <v/>
      </c>
      <c r="C494" s="94" t="str">
        <f>'Resultater - Vestdanmark'!C494</f>
        <v/>
      </c>
      <c r="D494" s="94" t="str">
        <f>'Resultater - Vestdanmark'!D494</f>
        <v>Raps</v>
      </c>
      <c r="E494" s="94" t="str">
        <f>'Resultater - Vestdanmark'!E494</f>
        <v>Ton</v>
      </c>
      <c r="F494" s="94" t="str">
        <f>'Resultater - Vestdanmark'!F494</f>
        <v>Rapsolie</v>
      </c>
      <c r="G494" s="94" t="str">
        <f>'Resultater - Vestdanmark'!G494</f>
        <v>Ton</v>
      </c>
      <c r="H494" s="270">
        <f>'Resultater - Vestdanmark'!H494+'Resultater - Østdanmark'!H494</f>
        <v>217064.073123599</v>
      </c>
      <c r="I494" s="271">
        <f>'Resultater - Vestdanmark'!I494+'Resultater - Østdanmark'!I494</f>
        <v>206894.54206256595</v>
      </c>
      <c r="J494" s="272">
        <f>'Resultater - Vestdanmark'!J494+'Resultater - Østdanmark'!J494</f>
        <v>418700.9044015957</v>
      </c>
    </row>
    <row r="495" spans="1:13" x14ac:dyDescent="0.25">
      <c r="A495" s="94" t="str">
        <f>'Resultater - Vestdanmark'!A495</f>
        <v>Pyrolyseproces</v>
      </c>
      <c r="B495" s="94" t="str">
        <f>'Resultater - Vestdanmark'!B495</f>
        <v/>
      </c>
      <c r="C495" s="94" t="str">
        <f>'Resultater - Vestdanmark'!C495</f>
        <v/>
      </c>
      <c r="D495" s="94" t="str">
        <f>'Resultater - Vestdanmark'!D495</f>
        <v>Halm</v>
      </c>
      <c r="E495" s="94" t="str">
        <f>'Resultater - Vestdanmark'!E495</f>
        <v>Ton</v>
      </c>
      <c r="F495" s="94" t="str">
        <f>'Resultater - Vestdanmark'!F495</f>
        <v>CO2 - atmosfære</v>
      </c>
      <c r="G495" s="94" t="str">
        <f>'Resultater - Vestdanmark'!G495</f>
        <v>t CO2-ækvivalenter</v>
      </c>
      <c r="H495" s="270">
        <f>'Resultater - Vestdanmark'!H495+'Resultater - Østdanmark'!H495</f>
        <v>0</v>
      </c>
      <c r="I495" s="271">
        <f>'Resultater - Vestdanmark'!I495+'Resultater - Østdanmark'!I495</f>
        <v>0</v>
      </c>
      <c r="J495" s="272">
        <f>'Resultater - Vestdanmark'!J495+'Resultater - Østdanmark'!J495</f>
        <v>0</v>
      </c>
    </row>
    <row r="496" spans="1:13" x14ac:dyDescent="0.25">
      <c r="A496" s="94" t="str">
        <f>'Resultater - Vestdanmark'!A496</f>
        <v>Pyrolyseproces</v>
      </c>
      <c r="B496" s="94" t="str">
        <f>'Resultater - Vestdanmark'!B496</f>
        <v/>
      </c>
      <c r="C496" s="94" t="str">
        <f>'Resultater - Vestdanmark'!C496</f>
        <v/>
      </c>
      <c r="D496" s="94" t="str">
        <f>'Resultater - Vestdanmark'!D496</f>
        <v>Halm</v>
      </c>
      <c r="E496" s="94" t="str">
        <f>'Resultater - Vestdanmark'!E496</f>
        <v>Ton</v>
      </c>
      <c r="F496" s="94" t="str">
        <f>'Resultater - Vestdanmark'!F496</f>
        <v>Pyrolyseolie</v>
      </c>
      <c r="G496" s="94" t="str">
        <f>'Resultater - Vestdanmark'!G496</f>
        <v>Ton</v>
      </c>
      <c r="H496" s="270">
        <f>'Resultater - Vestdanmark'!H496+'Resultater - Østdanmark'!H496</f>
        <v>0</v>
      </c>
      <c r="I496" s="271">
        <f>'Resultater - Vestdanmark'!I496+'Resultater - Østdanmark'!I496</f>
        <v>0</v>
      </c>
      <c r="J496" s="272">
        <f>'Resultater - Vestdanmark'!J496+'Resultater - Østdanmark'!J496</f>
        <v>0</v>
      </c>
    </row>
    <row r="497" spans="1:10" ht="15.75" thickBot="1" x14ac:dyDescent="0.3">
      <c r="A497" s="94" t="str">
        <f>'Resultater - Vestdanmark'!A497</f>
        <v>Pyrolyseproces</v>
      </c>
      <c r="B497" s="94" t="str">
        <f>'Resultater - Vestdanmark'!B497</f>
        <v/>
      </c>
      <c r="C497" s="94" t="str">
        <f>'Resultater - Vestdanmark'!C497</f>
        <v/>
      </c>
      <c r="D497" s="94" t="str">
        <f>'Resultater - Vestdanmark'!D497</f>
        <v>Halm</v>
      </c>
      <c r="E497" s="94" t="str">
        <f>'Resultater - Vestdanmark'!E497</f>
        <v>Ton</v>
      </c>
      <c r="F497" s="94" t="str">
        <f>'Resultater - Vestdanmark'!F497</f>
        <v>Pyrolysegas</v>
      </c>
      <c r="G497" s="94" t="str">
        <f>'Resultater - Vestdanmark'!G497</f>
        <v>Ton</v>
      </c>
      <c r="H497" s="273">
        <f>'Resultater - Vestdanmark'!H497+'Resultater - Østdanmark'!H497</f>
        <v>0</v>
      </c>
      <c r="I497" s="274">
        <f>'Resultater - Vestdanmark'!I497+'Resultater - Østdanmark'!I497</f>
        <v>0</v>
      </c>
      <c r="J497" s="275">
        <f>'Resultater - Vestdanmark'!J497+'Resultater - Østdanmark'!J497</f>
        <v>0</v>
      </c>
    </row>
    <row r="498" spans="1:10" x14ac:dyDescent="0.25">
      <c r="A498" s="94"/>
      <c r="B498" s="94"/>
      <c r="C498" s="94"/>
      <c r="D498" s="94"/>
      <c r="E498" s="94"/>
      <c r="F498" s="94"/>
      <c r="G498" s="94"/>
      <c r="H498" s="93"/>
      <c r="I498" s="93"/>
      <c r="J498" s="93"/>
    </row>
    <row r="499" spans="1:10" x14ac:dyDescent="0.25">
      <c r="A499" s="94"/>
      <c r="B499" s="94"/>
      <c r="C499" s="94"/>
      <c r="D499" s="94"/>
      <c r="E499" s="94"/>
      <c r="F499" s="94"/>
      <c r="G499" s="94"/>
      <c r="H499" s="93"/>
      <c r="I499" s="93"/>
      <c r="J499" s="93"/>
    </row>
    <row r="500" spans="1:10" x14ac:dyDescent="0.25">
      <c r="A500" s="94"/>
      <c r="B500" s="94"/>
      <c r="C500" s="94"/>
      <c r="D500" s="94"/>
      <c r="E500" s="94"/>
      <c r="F500" s="94"/>
      <c r="G500" s="94"/>
      <c r="H500" s="93"/>
      <c r="I500" s="93"/>
      <c r="J500" s="93"/>
    </row>
    <row r="501" spans="1:10" x14ac:dyDescent="0.25">
      <c r="A501" s="94"/>
      <c r="B501" s="94"/>
      <c r="C501" s="94"/>
      <c r="D501" s="94"/>
      <c r="E501" s="94"/>
      <c r="F501" s="94"/>
      <c r="G501" s="94"/>
      <c r="H501" s="93"/>
      <c r="I501" s="93"/>
      <c r="J501" s="93"/>
    </row>
    <row r="502" spans="1:10" x14ac:dyDescent="0.25">
      <c r="A502" s="94"/>
      <c r="B502" s="94"/>
      <c r="C502" s="94"/>
      <c r="D502" s="94"/>
      <c r="E502" s="94"/>
      <c r="F502" s="94"/>
      <c r="G502" s="94"/>
      <c r="H502" s="93"/>
      <c r="I502" s="93"/>
      <c r="J502" s="93"/>
    </row>
    <row r="503" spans="1:10" x14ac:dyDescent="0.25">
      <c r="A503" s="94"/>
      <c r="B503" s="94"/>
      <c r="C503" s="94"/>
      <c r="D503" s="94"/>
      <c r="E503" s="94"/>
      <c r="F503" s="94"/>
      <c r="G503" s="94"/>
      <c r="H503" s="93"/>
      <c r="I503" s="93"/>
      <c r="J503" s="93"/>
    </row>
    <row r="504" spans="1:10" x14ac:dyDescent="0.25">
      <c r="A504" s="94"/>
      <c r="B504" s="94"/>
      <c r="C504" s="94"/>
      <c r="D504" s="94"/>
      <c r="E504" s="94"/>
      <c r="F504" s="94"/>
      <c r="G504" s="94"/>
      <c r="H504" s="93"/>
      <c r="I504" s="93"/>
      <c r="J504" s="93"/>
    </row>
    <row r="505" spans="1:10" x14ac:dyDescent="0.25">
      <c r="A505" s="94"/>
      <c r="B505" s="94"/>
      <c r="C505" s="94"/>
      <c r="D505" s="94"/>
      <c r="E505" s="94"/>
      <c r="F505" s="94"/>
      <c r="G505" s="94"/>
      <c r="H505" s="93"/>
      <c r="I505" s="93"/>
      <c r="J505" s="93"/>
    </row>
    <row r="506" spans="1:10" x14ac:dyDescent="0.25">
      <c r="A506" s="94"/>
      <c r="B506" s="94"/>
      <c r="C506" s="94"/>
      <c r="D506" s="94"/>
      <c r="E506" s="94"/>
      <c r="F506" s="94"/>
      <c r="G506" s="94"/>
      <c r="H506" s="93"/>
      <c r="I506" s="93"/>
      <c r="J506" s="93"/>
    </row>
    <row r="507" spans="1:10" x14ac:dyDescent="0.25">
      <c r="A507" s="94"/>
      <c r="B507" s="94"/>
      <c r="C507" s="94"/>
      <c r="D507" s="94"/>
      <c r="E507" s="94"/>
      <c r="F507" s="94"/>
      <c r="G507" s="94"/>
      <c r="H507" s="93"/>
      <c r="I507" s="93"/>
      <c r="J507" s="93"/>
    </row>
    <row r="508" spans="1:10" x14ac:dyDescent="0.25">
      <c r="A508" s="94"/>
      <c r="B508" s="94"/>
      <c r="C508" s="94"/>
      <c r="D508" s="94"/>
      <c r="E508" s="94"/>
      <c r="F508" s="94"/>
      <c r="G508" s="94"/>
      <c r="H508" s="93"/>
      <c r="I508" s="93"/>
      <c r="J508" s="93"/>
    </row>
    <row r="509" spans="1:10" x14ac:dyDescent="0.25">
      <c r="A509" s="94"/>
      <c r="B509" s="94"/>
      <c r="C509" s="94"/>
      <c r="D509" s="94"/>
      <c r="E509" s="94"/>
      <c r="F509" s="94"/>
      <c r="G509" s="94"/>
      <c r="H509" s="93"/>
      <c r="I509" s="93"/>
      <c r="J509" s="93"/>
    </row>
    <row r="510" spans="1:10" x14ac:dyDescent="0.25">
      <c r="H510" s="93"/>
      <c r="I510" s="93"/>
      <c r="J510" s="93"/>
    </row>
    <row r="511" spans="1:10" x14ac:dyDescent="0.25">
      <c r="H511" s="93"/>
      <c r="I511" s="93"/>
      <c r="J511" s="93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AE291"/>
  <sheetViews>
    <sheetView zoomScale="106" workbookViewId="0">
      <pane xSplit="6" ySplit="3" topLeftCell="G4" activePane="bottomRight" state="frozen"/>
      <selection pane="topRight" activeCell="F1" sqref="F1"/>
      <selection pane="bottomLeft" activeCell="A3" sqref="A3"/>
      <selection pane="bottomRight" activeCell="Q4" sqref="Q4"/>
    </sheetView>
  </sheetViews>
  <sheetFormatPr defaultColWidth="18" defaultRowHeight="15" x14ac:dyDescent="0.25"/>
  <cols>
    <col min="1" max="2" width="18.140625" bestFit="1" customWidth="1"/>
    <col min="3" max="3" width="8.140625" bestFit="1" customWidth="1"/>
    <col min="4" max="4" width="8.140625" customWidth="1"/>
    <col min="5" max="5" width="7.85546875" customWidth="1"/>
    <col min="6" max="6" width="11.140625" bestFit="1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</cols>
  <sheetData>
    <row r="1" spans="1:31" ht="15.75" thickTop="1" x14ac:dyDescent="0.25">
      <c r="A1" s="427" t="s">
        <v>248</v>
      </c>
      <c r="B1" s="427"/>
      <c r="C1" s="427"/>
      <c r="D1" s="395"/>
      <c r="G1" s="428" t="s">
        <v>250</v>
      </c>
      <c r="H1" s="428"/>
      <c r="I1" s="428"/>
      <c r="J1" s="428"/>
      <c r="K1" s="428"/>
      <c r="L1" s="428"/>
      <c r="M1" s="428"/>
      <c r="N1" s="429"/>
      <c r="O1" s="430" t="s">
        <v>251</v>
      </c>
      <c r="P1" s="431"/>
      <c r="Q1" s="432"/>
      <c r="R1" s="424" t="s">
        <v>122</v>
      </c>
      <c r="S1" s="424"/>
      <c r="T1" s="424"/>
      <c r="U1" s="425"/>
      <c r="V1" s="426" t="s">
        <v>229</v>
      </c>
      <c r="W1" s="424"/>
      <c r="X1" s="424"/>
      <c r="Y1" s="425"/>
      <c r="AB1" s="423" t="s">
        <v>337</v>
      </c>
      <c r="AC1" s="423"/>
      <c r="AD1">
        <f>År1</f>
        <v>2019</v>
      </c>
      <c r="AE1">
        <f ca="1">SUMIF($E$4:$E$291,$AD1,AC$4:AC$291)</f>
        <v>19.960490719951665</v>
      </c>
    </row>
    <row r="2" spans="1:31" x14ac:dyDescent="0.25">
      <c r="A2" s="395"/>
      <c r="B2" s="395"/>
      <c r="C2" s="395"/>
      <c r="D2" s="395"/>
      <c r="G2" s="396"/>
      <c r="H2" s="396">
        <v>1</v>
      </c>
      <c r="I2" s="396">
        <v>1</v>
      </c>
      <c r="J2" s="396">
        <v>0</v>
      </c>
      <c r="K2" s="396">
        <v>1</v>
      </c>
      <c r="L2" s="396">
        <v>1</v>
      </c>
      <c r="M2" s="396">
        <v>0</v>
      </c>
      <c r="N2" s="396">
        <v>0</v>
      </c>
      <c r="O2" s="397"/>
      <c r="P2" s="398"/>
      <c r="Q2" s="399"/>
      <c r="R2" s="398"/>
      <c r="S2" s="398"/>
      <c r="T2" s="398"/>
      <c r="U2" s="400"/>
      <c r="V2" s="401"/>
      <c r="W2" s="398"/>
      <c r="X2" s="398"/>
      <c r="Y2" s="400"/>
      <c r="AD2">
        <f>År2</f>
        <v>2030</v>
      </c>
      <c r="AE2">
        <f ca="1">SUMIF($E$4:$E$291,$AD2,AC$4:AC$291)</f>
        <v>23.423598307772085</v>
      </c>
    </row>
    <row r="3" spans="1:31" x14ac:dyDescent="0.25">
      <c r="A3" s="91" t="s">
        <v>128</v>
      </c>
      <c r="B3" s="91" t="s">
        <v>311</v>
      </c>
      <c r="C3" s="91" t="s">
        <v>129</v>
      </c>
      <c r="D3" s="91" t="s">
        <v>339</v>
      </c>
      <c r="E3" s="91" t="s">
        <v>58</v>
      </c>
      <c r="F3" s="91" t="s">
        <v>64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  <c r="AB3" s="91" t="s">
        <v>338</v>
      </c>
      <c r="AC3" s="91" t="s">
        <v>340</v>
      </c>
      <c r="AD3">
        <f>År3</f>
        <v>2050</v>
      </c>
      <c r="AE3">
        <f ca="1">SUMIF($E$4:$E$291,$AD3,AC$4:AC$291)</f>
        <v>17.658840532248178</v>
      </c>
    </row>
    <row r="4" spans="1:31" x14ac:dyDescent="0.25">
      <c r="A4" s="171" t="s">
        <v>15</v>
      </c>
      <c r="B4" s="171"/>
      <c r="C4" s="171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71">
        <v>1</v>
      </c>
      <c r="E4" s="171">
        <f t="shared" ref="E4:E16" si="0">År1</f>
        <v>2019</v>
      </c>
      <c r="F4" t="s">
        <v>23</v>
      </c>
      <c r="G4" s="94">
        <f>IF(F4="Vestdanmark",SUMIFS(IF(E4=År1,'Resultater - Vestdanmark'!H$3:H$504,IF(E4=År2,'Resultater - Vestdanmark'!I$3:I$504,'Resultater - Vestdanmark'!J$3:J$504)),'Resultater - Vestdanmark'!$F$3:$F$504,$A4,IF(E4=År1,'Resultater - Vestdanmark'!H$3:H$504,IF(E4=År2,'Resultater - Vestdanmark'!I$3:I$504,'Resultater - Vestdanmark'!J$3:J$504)),"&gt;0"),SUMIFS(IF(E4=År1,'Resultater - Østdanmark'!H$3:H$504,IF(E4=År2,'Resultater - Østdanmark'!I$3:I$504,'Resultater - Østdanmark'!J$3:J$504)),'Resultater - Østdanmark'!$F$3:$F$504,$A4,IF(E4=År1,'Resultater - Østdanmark'!H$3:H$504,IF(E4=År2,'Resultater - Østdanmark'!I$3:I$504,'Resultater - Østdanmark'!J$3:J$504)),"&gt;0"))</f>
        <v>216549.9929685164</v>
      </c>
      <c r="H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forbrug'!H$3,'Forbrug af biomasse'!$B$2:$B$425,$F4)</f>
        <v>0</v>
      </c>
      <c r="I4">
        <f>IF(F4="Vestdanmark",-IF(A4="Halm",SUMIFS(IF(E4=År1,'Resultater - Vestdanmark'!H$3:H$504,IF(E4=År2,'Resultater - Vestdanmark'!I$3:I$504,'Resultater - Vestdanmark'!J$3:J$504)),'Resultater - Vestdanmark'!$F$3:$F$504,$A4,'Resultater - Vestdanmark'!H$3:H$504,"&lt;0"),0),-IF(A4="Halm",SUMIFS(IF(E4=År1,'Resultater - Østdanmark'!H$3:H$504,IF(E4=År2,'Resultater - Østdanmark'!I$3:I$504,'Resultater - Østdanmark'!J$3:J$504)),'Resultater - Østdanmark'!$F$3:$F$504,$A4,'Resultater - Østdanmark'!H$3:H$504,"&lt;0"),0))</f>
        <v>0</v>
      </c>
      <c r="J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forbrug'!J$3,'Forbrug af biomasse'!$B$2:$B$425,$F4)</f>
        <v>31522.55833067331</v>
      </c>
      <c r="K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forbrug'!K$3,'Forbrug af biomasse'!$B$2:$B$425,$F4)</f>
        <v>0</v>
      </c>
      <c r="L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forbrug'!L$3,'Forbrug af biomasse'!$B$2:$B$425,$F4)</f>
        <v>0</v>
      </c>
      <c r="M4" s="94">
        <f>IF(A4&lt;&gt;"Biogas",SUMIFS('Forbrug af biomasse'!$E$2:$E$425,'Forbrug af biomasse'!$C$2:$C$425,'Resultat-Produktion &amp; forbrug'!$A4,'Forbrug af biomasse'!$D$2:$D$425,'Resultat-Produktion &amp; forbrug'!$E4,'Forbrug af biomasse'!$A$2:$A$425,'Resultat-Produktion &amp; forbrug'!M$3,'Forbrug af biomasse'!$B$2:$B$425,$F4),G4)</f>
        <v>0</v>
      </c>
      <c r="N4" s="94">
        <f>SUMIFS('Forbrug af biomasse'!E:E,'Forbrug af biomasse'!C:C,'Resultat-Produktion &amp; forbrug'!$A4,'Forbrug af biomasse'!D:D,'Resultat-Produktion &amp; forbrug'!$E4,'Forbrug af biomasse'!G:G,1,'Forbrug af biomasse'!B:B,$F4)</f>
        <v>0</v>
      </c>
      <c r="O4" s="179">
        <f>G4-SUM(H4:N4)</f>
        <v>185027.43463784308</v>
      </c>
      <c r="P4" s="94">
        <f>IF(C4=1,IF(O4+IF(SUMIFS($O$4:$O$291,$A$4:$A$291,A4,$E$4:$E$291,E4,$F$4:$F$291,"&lt;&gt;"&amp;F4)&lt;0,SUMIFS($O$4:$O$291,$A$4:$A$291,A4,$E$4:$E$291,E4,$F$4:$F$291,"&lt;&gt;"&amp;F4),0)&gt;0,O4+IF(SUMIFS($O$4:$O$291,$A$4:$A$291,A4,$E$4:$E$291,E4,$F$4:$F$291,"&lt;&gt;"&amp;F4)&lt;0,SUMIFS($O$4:$O$291,$A$4:$A$291,A4,$E$4:$E$291,E4,$F$4:$F$291,"&lt;&gt;"&amp;F4),0)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IF(A4&lt;&gt;"Biogas",IFERROR(VLOOKUP(A4,[1]Biogasudbytte!$A$2:$B$18,2,FALSE)*[1]Energiindhold!$C$10,0)*K4*IFERROR(VLOOKUP(A4,Biogasanlæg!$F$3:$G$8,2,FALSE),1)+IFERROR(VLOOKUP(A4,[1]Energiindhold!$A$2:$C$11,3,FALSE),0)*M4+IF(E4&lt;&gt;År1,R4,0),0)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IF(E4=År1,Q4,SUM(P4,Q4))*IFERROR(VLOOKUP(A4,[1]Tørstofindhold!A$2:B$24,2,FALSE),0)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67" si="1">IF(SUMIFS($O$4:$O$291,$A$4:$A$291,A4,$E$4:$E$291,E4)&lt;0,1,0)</f>
        <v>0</v>
      </c>
      <c r="AA4">
        <f t="shared" ref="AA4:AA67" si="2">IF(SUMIFS($O$4:$O$291,$A$4:$A$291,A4,$E$4:$E$291,E4)&gt;0,1,0)</f>
        <v>1</v>
      </c>
      <c r="AB4" s="94">
        <f>G4-SUMPRODUCT($H$2:$N$2,H4:N4)</f>
        <v>216549.9929685164</v>
      </c>
      <c r="AC4">
        <f>AB4*D4*10000*VLOOKUP(A4,[1]kcal!$A$2:$C$49,3,FALSE)/1000000000000</f>
        <v>0.29883899029655259</v>
      </c>
    </row>
    <row r="5" spans="1:31" x14ac:dyDescent="0.25">
      <c r="A5" s="171" t="s">
        <v>49</v>
      </c>
      <c r="B5" s="171"/>
      <c r="C5" s="171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0</v>
      </c>
      <c r="D5" s="171">
        <v>1</v>
      </c>
      <c r="E5" s="171">
        <f t="shared" si="0"/>
        <v>2019</v>
      </c>
      <c r="F5" t="s">
        <v>23</v>
      </c>
      <c r="G5" s="94">
        <f>IF(F5="Vestdanmark",SUMIFS(IF(E5=År1,'Resultater - Vestdanmark'!H$3:H$504,IF(E5=År2,'Resultater - Vestdanmark'!I$3:I$504,'Resultater - Vestdanmark'!J$3:J$504)),'Resultater - Vestdanmark'!$F$3:$F$504,$A5,IF(E5=År1,'Resultater - Vestdanmark'!H$3:H$504,IF(E5=År2,'Resultater - Vestdanmark'!I$3:I$504,'Resultater - Vestdanmark'!J$3:J$504)),"&gt;0"),SUMIFS(IF(E5=År1,'Resultater - Østdanmark'!H$3:H$504,IF(E5=År2,'Resultater - Østdanmark'!I$3:I$504,'Resultater - Østdanmark'!J$3:J$504)),'Resultater - Østdanmark'!$F$3:$F$504,$A5,IF(E5=År1,'Resultater - Østdanmark'!H$3:H$504,IF(E5=År2,'Resultater - Østdanmark'!I$3:I$504,'Resultater - Østdanmark'!J$3:J$504)),"&gt;0"))</f>
        <v>258397.36122446082</v>
      </c>
      <c r="H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forbrug'!H$3,'Forbrug af biomasse'!$B$2:$B$425,$F5)</f>
        <v>64498.47547519199</v>
      </c>
      <c r="I5">
        <f>IF(F5="Vestdanmark",-IF(A5="Halm",SUMIFS(IF(E5=År1,'Resultater - Vestdanmark'!H$3:H$504,IF(E5=År2,'Resultater - Vestdanmark'!I$3:I$504,'Resultater - Vestdanmark'!J$3:J$504)),'Resultater - Vestdanmark'!$F$3:$F$504,$A5,'Resultater - Vestdanmark'!H$3:H$504,"&lt;0"),0),-IF(A5="Halm",SUMIFS(IF(E5=År1,'Resultater - Østdanmark'!H$3:H$504,IF(E5=År2,'Resultater - Østdanmark'!I$3:I$504,'Resultater - Østdanmark'!J$3:J$504)),'Resultater - Østdanmark'!$F$3:$F$504,$A5,'Resultater - Østdanmark'!H$3:H$504,"&lt;0"),0))</f>
        <v>0</v>
      </c>
      <c r="J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forbrug'!J$3,'Forbrug af biomasse'!$B$2:$B$425,$F5)</f>
        <v>0</v>
      </c>
      <c r="K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forbrug'!K$3,'Forbrug af biomasse'!$B$2:$B$425,$F5)</f>
        <v>0</v>
      </c>
      <c r="L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forbrug'!L$3,'Forbrug af biomasse'!$B$2:$B$425,$F5)</f>
        <v>0</v>
      </c>
      <c r="M5" s="94">
        <f>IF(A5&lt;&gt;"Biogas",SUMIFS('Forbrug af biomasse'!$E$2:$E$425,'Forbrug af biomasse'!$C$2:$C$425,'Resultat-Produktion &amp; forbrug'!$A5,'Forbrug af biomasse'!$D$2:$D$425,'Resultat-Produktion &amp; forbrug'!$E5,'Forbrug af biomasse'!$A$2:$A$425,'Resultat-Produktion &amp; forbrug'!M$3,'Forbrug af biomasse'!$B$2:$B$425,$F5),G5)</f>
        <v>0</v>
      </c>
      <c r="N5" s="94">
        <f>SUMIFS('Forbrug af biomasse'!E:E,'Forbrug af biomasse'!C:C,'Resultat-Produktion &amp; forbrug'!$A5,'Forbrug af biomasse'!D:D,'Resultat-Produktion &amp; forbrug'!$E5,'Forbrug af biomasse'!G:G,1,'Forbrug af biomasse'!B:B,$F5)</f>
        <v>0</v>
      </c>
      <c r="O5" s="179">
        <f t="shared" ref="O5:O16" si="3">G5-SUM(H5:N5)</f>
        <v>193898.88574926884</v>
      </c>
      <c r="P5" s="94">
        <f t="shared" ref="P5:P67" si="4">IF(C5=1,IF(O5+IF(SUMIFS($O$4:$O$291,$A$4:$A$291,A5,$E$4:$E$291,E5,$F$4:$F$291,"&lt;&gt;"&amp;F5)&lt;0,SUMIFS($O$4:$O$291,$A$4:$A$291,A5,$E$4:$E$291,E5,$F$4:$F$291,"&lt;&gt;"&amp;F5),0)&gt;0,O5+IF(SUMIFS($O$4:$O$291,$A$4:$A$291,A5,$E$4:$E$291,E5,$F$4:$F$291,"&lt;&gt;"&amp;F5)&lt;0,SUMIFS($O$4:$O$291,$A$4:$A$291,A5,$E$4:$E$291,E5,$F$4:$F$291,"&lt;&gt;"&amp;F5),0),0),0)</f>
        <v>0</v>
      </c>
      <c r="Q5" s="180">
        <f t="shared" ref="Q5:Q16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IF(A5&lt;&gt;"Biogas",IFERROR(VLOOKUP(A5,[1]Biogasudbytte!$A$2:$B$18,2,FALSE)*[1]Energiindhold!$C$10,0)*K5*IFERROR(VLOOKUP(A5,Biogasanlæg!$F$3:$G$8,2,FALSE),1)+IFERROR(VLOOKUP(A5,[1]Energiindhold!$A$2:$C$11,3,FALSE),0)*M5+IF(E5&lt;&gt;År1,R5,0),0)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16" si="6">S5-T5</f>
        <v>0</v>
      </c>
      <c r="V5" s="169">
        <f>P5*IFERROR(VLOOKUP(A5,[1]Tørstofindhold!A$2:B$24,2,FALSE),0)</f>
        <v>0</v>
      </c>
      <c r="W5">
        <f>IF(E5=År1,Q5,SUM(P5,Q5))*IFERROR(VLOOKUP(A5,[1]Tørstofindhold!A$2:B$24,2,FALSE),0)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16" si="7">W5-X5</f>
        <v>0</v>
      </c>
      <c r="Z5">
        <f t="shared" si="1"/>
        <v>0</v>
      </c>
      <c r="AA5">
        <f t="shared" si="2"/>
        <v>1</v>
      </c>
      <c r="AB5" s="94">
        <f t="shared" ref="AB5:AB68" si="8">G5-SUMPRODUCT($H$2:$N$2,H5:N5)</f>
        <v>193898.88574926884</v>
      </c>
      <c r="AC5">
        <f>AB5*D5*10000*VLOOKUP(A5,[1]kcal!$A$2:$C$49,3,FALSE)/1000000000000</f>
        <v>1.3466277615286721</v>
      </c>
    </row>
    <row r="6" spans="1:31" x14ac:dyDescent="0.25">
      <c r="A6" s="171" t="s">
        <v>102</v>
      </c>
      <c r="B6" s="171" t="s">
        <v>230</v>
      </c>
      <c r="C6" s="171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71">
        <v>0</v>
      </c>
      <c r="E6" s="171">
        <f t="shared" si="0"/>
        <v>2019</v>
      </c>
      <c r="F6" t="s">
        <v>23</v>
      </c>
      <c r="G6" s="94">
        <f ca="1">IF(F6="Vestdanmark",SUMIFS(IF(E6=År1,'Resultater - Vestdanmark'!H$3:H$504,IF(E6=År2,'Resultater - Vestdanmark'!I$3:I$504,'Resultater - Vestdanmark'!J$3:J$504)),'Resultater - Vestdanmark'!$F$3:$F$504,$A6,IF(E6=År1,'Resultater - Vestdanmark'!H$3:H$504,IF(E6=År2,'Resultater - Vestdanmark'!I$3:I$504,'Resultater - Vestdanmark'!J$3:J$504)),"&gt;0"),SUMIFS(IF(E6=År1,'Resultater - Østdanmark'!H$3:H$504,IF(E6=År2,'Resultater - Østdanmark'!I$3:I$504,'Resultater - Østdanmark'!J$3:J$504)),'Resultater - Østdanmark'!$F$3:$F$504,$A6,IF(E6=År1,'Resultater - Østdanmark'!H$3:H$504,IF(E6=År2,'Resultater - Østdanmark'!I$3:I$504,'Resultater - Østdanmark'!J$3:J$504)),"&gt;0"))</f>
        <v>193591.30306616417</v>
      </c>
      <c r="H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forbrug'!H$3,'Forbrug af biomasse'!$B$2:$B$425,$F6)</f>
        <v>0</v>
      </c>
      <c r="I6">
        <f>IF(F6="Vestdanmark",-IF(A6="Halm",SUMIFS(IF(E6=År1,'Resultater - Vestdanmark'!H$3:H$504,IF(E6=År2,'Resultater - Vestdanmark'!I$3:I$504,'Resultater - Vestdanmark'!J$3:J$504)),'Resultater - Vestdanmark'!$F$3:$F$504,$A6,'Resultater - Vestdanmark'!H$3:H$504,"&lt;0"),0),-IF(A6="Halm",SUMIFS(IF(E6=År1,'Resultater - Østdanmark'!H$3:H$504,IF(E6=År2,'Resultater - Østdanmark'!I$3:I$504,'Resultater - Østdanmark'!J$3:J$504)),'Resultater - Østdanmark'!$F$3:$F$504,$A6,'Resultater - Østdanmark'!H$3:H$504,"&lt;0"),0))</f>
        <v>0</v>
      </c>
      <c r="J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forbrug'!J$3,'Forbrug af biomasse'!$B$2:$B$425,$F6)</f>
        <v>0</v>
      </c>
      <c r="K6" s="94">
        <f ca="1">SUMIFS('Forbrug af biomasse'!$E$2:$E$425,'Forbrug af biomasse'!$C$2:$C$425,'Resultat-Produktion &amp; forbrug'!$A6,'Forbrug af biomasse'!$D$2:$D$425,'Resultat-Produktion &amp; forbrug'!$E6,'Forbrug af biomasse'!$A$2:$A$425,'Resultat-Produktion &amp; forbrug'!K$3,'Forbrug af biomasse'!$B$2:$B$425,$F6)</f>
        <v>393543.64426779439</v>
      </c>
      <c r="L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forbrug'!L$3,'Forbrug af biomasse'!$B$2:$B$425,$F6)</f>
        <v>0</v>
      </c>
      <c r="M6" s="94">
        <f ca="1">IF(A6&lt;&gt;"Biogas",SUMIFS('Forbrug af biomasse'!$E$2:$E$425,'Forbrug af biomasse'!$C$2:$C$425,'Resultat-Produktion &amp; forbrug'!$A6,'Forbrug af biomasse'!$D$2:$D$425,'Resultat-Produktion &amp; forbrug'!$E6,'Forbrug af biomasse'!$A$2:$A$425,'Resultat-Produktion &amp; forbrug'!M$3,'Forbrug af biomasse'!$B$2:$B$425,$F6),G6)</f>
        <v>0</v>
      </c>
      <c r="N6" s="94">
        <f ca="1">SUMIFS('Forbrug af biomasse'!E:E,'Forbrug af biomasse'!C:C,'Resultat-Produktion &amp; forbrug'!$A6,'Forbrug af biomasse'!D:D,'Resultat-Produktion &amp; forbrug'!$E6,'Forbrug af biomasse'!G:G,1,'Forbrug af biomasse'!B:B,$F6)</f>
        <v>0</v>
      </c>
      <c r="O6" s="179">
        <f t="shared" ca="1" si="3"/>
        <v>-199952.34120163022</v>
      </c>
      <c r="P6" s="94">
        <f t="shared" ca="1" si="4"/>
        <v>0</v>
      </c>
      <c r="Q6" s="180">
        <f t="shared" ca="1" si="5"/>
        <v>393543.64426779439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IF(A6&lt;&gt;"Biogas",IFERROR(VLOOKUP(A6,[1]Biogasudbytte!$A$2:$B$18,2,FALSE)*[1]Energiindhold!$C$10,0)*K6*IFERROR(VLOOKUP(A6,Biogasanlæg!$F$3:$G$8,2,FALSE),1)+IFERROR(VLOOKUP(A6,[1]Energiindhold!$A$2:$C$11,3,FALSE),0)*M6+IF(E6&lt;&gt;År1,R6,0),0)</f>
        <v>1.3407677770923916</v>
      </c>
      <c r="T6">
        <f ca="1">IFERROR(VLOOKUP(A6,[1]Biogasudbytte!$A$2:$B$18,2,FALSE)*[1]Energiindhold!$C$10,0)*K6*IFERROR(VLOOKUP(A6,Biogasanlæg!$F$3:$G$8,2,FALSE),1)</f>
        <v>1.3407677770923916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IF(E6=År1,Q6,SUM(P6,Q6))*IFERROR(VLOOKUP(A6,[1]Tørstofindhold!A$2:B$24,2,FALSE),0)</f>
        <v>110192.22039498243</v>
      </c>
      <c r="X6">
        <f ca="1">K6*IFERROR(VLOOKUP(A6,[1]Tørstofindhold!A$2:B$24,2,FALSE),0)</f>
        <v>110192.22039498243</v>
      </c>
      <c r="Y6" s="170">
        <f t="shared" ca="1" si="7"/>
        <v>0</v>
      </c>
      <c r="Z6">
        <f t="shared" ca="1" si="1"/>
        <v>1</v>
      </c>
      <c r="AA6">
        <f t="shared" ca="1" si="2"/>
        <v>0</v>
      </c>
      <c r="AB6" s="94">
        <f t="shared" ca="1" si="8"/>
        <v>-199952.34120163022</v>
      </c>
      <c r="AC6">
        <f ca="1">AB6*D6*10000*VLOOKUP(A6,[1]kcal!$A$2:$C$49,3,FALSE)/1000000000000</f>
        <v>0</v>
      </c>
    </row>
    <row r="7" spans="1:31" x14ac:dyDescent="0.25">
      <c r="A7" s="171" t="s">
        <v>109</v>
      </c>
      <c r="B7" s="171"/>
      <c r="C7" s="171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1</v>
      </c>
      <c r="D7" s="171">
        <v>0</v>
      </c>
      <c r="E7" s="171">
        <f t="shared" si="0"/>
        <v>2019</v>
      </c>
      <c r="F7" t="s">
        <v>23</v>
      </c>
      <c r="G7" s="94">
        <f ca="1">IF(F7="Vestdanmark",SUMIFS(IF(E7=År1,'Resultater - Vestdanmark'!H$3:H$504,IF(E7=År2,'Resultater - Vestdanmark'!I$3:I$504,'Resultater - Vestdanmark'!J$3:J$504)),'Resultater - Vestdanmark'!$F$3:$F$504,$A7,IF(E7=År1,'Resultater - Vestdanmark'!H$3:H$504,IF(E7=År2,'Resultater - Vestdanmark'!I$3:I$504,'Resultater - Vestdanmark'!J$3:J$504)),"&gt;0"),SUMIFS(IF(E7=År1,'Resultater - Østdanmark'!H$3:H$504,IF(E7=År2,'Resultater - Østdanmark'!I$3:I$504,'Resultater - Østdanmark'!J$3:J$504)),'Resultater - Østdanmark'!$F$3:$F$504,$A7,IF(E7=År1,'Resultater - Østdanmark'!H$3:H$504,IF(E7=År2,'Resultater - Østdanmark'!I$3:I$504,'Resultater - Østdanmark'!J$3:J$504)),"&gt;0"))</f>
        <v>352020220.25091624</v>
      </c>
      <c r="H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forbrug'!H$3,'Forbrug af biomasse'!$B$2:$B$425,$F7)</f>
        <v>0</v>
      </c>
      <c r="I7">
        <f>IF(F7="Vestdanmark",-IF(A7="Halm",SUMIFS(IF(E7=År1,'Resultater - Vestdanmark'!H$3:H$504,IF(E7=År2,'Resultater - Vestdanmark'!I$3:I$504,'Resultater - Vestdanmark'!J$3:J$504)),'Resultater - Vestdanmark'!$F$3:$F$504,$A7,'Resultater - Vestdanmark'!H$3:H$504,"&lt;0"),0),-IF(A7="Halm",SUMIFS(IF(E7=År1,'Resultater - Østdanmark'!H$3:H$504,IF(E7=År2,'Resultater - Østdanmark'!I$3:I$504,'Resultater - Østdanmark'!J$3:J$504)),'Resultater - Østdanmark'!$F$3:$F$504,$A7,'Resultater - Østdanmark'!H$3:H$504,"&lt;0"),0))</f>
        <v>0</v>
      </c>
      <c r="J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forbrug'!J$3,'Forbrug af biomasse'!$B$2:$B$425,$F7)</f>
        <v>0</v>
      </c>
      <c r="K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forbrug'!K$3,'Forbrug af biomasse'!$B$2:$B$425,$F7)</f>
        <v>0</v>
      </c>
      <c r="L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forbrug'!L$3,'Forbrug af biomasse'!$B$2:$B$425,$F7)</f>
        <v>0</v>
      </c>
      <c r="M7" s="94">
        <f ca="1">IF(A7&lt;&gt;"Biogas",SUMIFS('Forbrug af biomasse'!$E$2:$E$425,'Forbrug af biomasse'!$C$2:$C$425,'Resultat-Produktion &amp; forbrug'!$A7,'Forbrug af biomasse'!$D$2:$D$425,'Resultat-Produktion &amp; forbrug'!$E7,'Forbrug af biomasse'!$A$2:$A$425,'Resultat-Produktion &amp; forbrug'!M$3,'Forbrug af biomasse'!$B$2:$B$425,$F7),G7)</f>
        <v>352020220.25091624</v>
      </c>
      <c r="N7" s="94">
        <f>SUMIFS('Forbrug af biomasse'!E:E,'Forbrug af biomasse'!C:C,'Resultat-Produktion &amp; forbrug'!$A7,'Forbrug af biomasse'!D:D,'Resultat-Produktion &amp; forbrug'!$E7,'Forbrug af biomasse'!G:G,1,'Forbrug af biomasse'!B:B,$F7)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352020220.25091624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IF(A7&lt;&gt;"Biogas",IFERROR(VLOOKUP(A7,[1]Biogasudbytte!$A$2:$B$18,2,FALSE)*[1]Energiindhold!$C$10,0)*K7*IFERROR(VLOOKUP(A7,Biogasanlæg!$F$3:$G$8,2,FALSE),1)+IFERROR(VLOOKUP(A7,[1]Energiindhold!$A$2:$C$11,3,FALSE),0)*M7+IF(E7&lt;&gt;År1,R7,0),0)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IF(E7=År1,Q7,SUM(P7,Q7))*IFERROR(VLOOKUP(A7,[1]Tørstofindhold!A$2:B$24,2,FALSE),0)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  <c r="AB7" s="94">
        <f t="shared" ca="1" si="8"/>
        <v>352020220.25091624</v>
      </c>
      <c r="AC7">
        <f ca="1">AB7*D7*10000*VLOOKUP(A7,[1]kcal!$A$2:$C$49,3,FALSE)/1000000000000</f>
        <v>0</v>
      </c>
    </row>
    <row r="8" spans="1:31" x14ac:dyDescent="0.25">
      <c r="A8" s="171" t="s">
        <v>110</v>
      </c>
      <c r="B8" s="171"/>
      <c r="C8" s="171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0</v>
      </c>
      <c r="D8" s="171">
        <v>0</v>
      </c>
      <c r="E8" s="171">
        <f t="shared" si="0"/>
        <v>2019</v>
      </c>
      <c r="F8" t="s">
        <v>23</v>
      </c>
      <c r="G8" s="94">
        <f ca="1">IF(F8="Vestdanmark",SUMIFS(IF(E8=År1,'Resultater - Vestdanmark'!H$3:H$504,IF(E8=År2,'Resultater - Vestdanmark'!I$3:I$504,'Resultater - Vestdanmark'!J$3:J$504)),'Resultater - Vestdanmark'!$F$3:$F$504,$A8,IF(E8=År1,'Resultater - Vestdanmark'!H$3:H$504,IF(E8=År2,'Resultater - Vestdanmark'!I$3:I$504,'Resultater - Vestdanmark'!J$3:J$504)),"&gt;0"),SUMIFS(IF(E8=År1,'Resultater - Østdanmark'!H$3:H$504,IF(E8=År2,'Resultater - Østdanmark'!I$3:I$504,'Resultater - Østdanmark'!J$3:J$504)),'Resultater - Østdanmark'!$F$3:$F$504,$A8,IF(E8=År1,'Resultater - Østdanmark'!H$3:H$504,IF(E8=År2,'Resultater - Østdanmark'!I$3:I$504,'Resultater - Østdanmark'!J$3:J$504)),"&gt;0"))</f>
        <v>9570947.4163383078</v>
      </c>
      <c r="H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forbrug'!H$3,'Forbrug af biomasse'!$B$2:$B$425,$F8)</f>
        <v>0</v>
      </c>
      <c r="I8">
        <f>IF(F8="Vestdanmark",-IF(A8="Halm",SUMIFS(IF(E8=År1,'Resultater - Vestdanmark'!H$3:H$504,IF(E8=År2,'Resultater - Vestdanmark'!I$3:I$504,'Resultater - Vestdanmark'!J$3:J$504)),'Resultater - Vestdanmark'!$F$3:$F$504,$A8,'Resultater - Vestdanmark'!H$3:H$504,"&lt;0"),0),-IF(A8="Halm",SUMIFS(IF(E8=År1,'Resultater - Østdanmark'!H$3:H$504,IF(E8=År2,'Resultater - Østdanmark'!I$3:I$504,'Resultater - Østdanmark'!J$3:J$504)),'Resultater - Østdanmark'!$F$3:$F$504,$A8,'Resultater - Østdanmark'!H$3:H$504,"&lt;0"),0))</f>
        <v>0</v>
      </c>
      <c r="J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forbrug'!J$3,'Forbrug af biomasse'!$B$2:$B$425,$F8)</f>
        <v>0</v>
      </c>
      <c r="K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forbrug'!K$3,'Forbrug af biomasse'!$B$2:$B$425,$F8)</f>
        <v>0</v>
      </c>
      <c r="L8" s="94">
        <f ca="1">SUMIFS('Forbrug af biomasse'!$E$2:$E$425,'Forbrug af biomasse'!$C$2:$C$425,'Resultat-Produktion &amp; forbrug'!$A8,'Forbrug af biomasse'!$D$2:$D$425,'Resultat-Produktion &amp; forbrug'!$E8,'Forbrug af biomasse'!$A$2:$A$425,'Resultat-Produktion &amp; forbrug'!L$3,'Forbrug af biomasse'!$B$2:$B$425,$F8)</f>
        <v>7001629.6154696662</v>
      </c>
      <c r="M8" s="94">
        <f>IF(A8&lt;&gt;"Biogas",SUMIFS('Forbrug af biomasse'!$E$2:$E$425,'Forbrug af biomasse'!$C$2:$C$425,'Resultat-Produktion &amp; forbrug'!$A8,'Forbrug af biomasse'!$D$2:$D$425,'Resultat-Produktion &amp; forbrug'!$E8,'Forbrug af biomasse'!$A$2:$A$425,'Resultat-Produktion &amp; forbrug'!M$3,'Forbrug af biomasse'!$B$2:$B$425,$F8),G8)</f>
        <v>0</v>
      </c>
      <c r="N8" s="94">
        <f>SUMIFS('Forbrug af biomasse'!E:E,'Forbrug af biomasse'!C:C,'Resultat-Produktion &amp; forbrug'!$A8,'Forbrug af biomasse'!D:D,'Resultat-Produktion &amp; forbrug'!$E8,'Forbrug af biomasse'!G:G,1,'Forbrug af biomasse'!B:B,$F8)</f>
        <v>0</v>
      </c>
      <c r="O8" s="179">
        <f t="shared" ca="1" si="3"/>
        <v>2569317.8008686416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IF(A8&lt;&gt;"Biogas",IFERROR(VLOOKUP(A8,[1]Biogasudbytte!$A$2:$B$18,2,FALSE)*[1]Energiindhold!$C$10,0)*K8*IFERROR(VLOOKUP(A8,Biogasanlæg!$F$3:$G$8,2,FALSE),1)+IFERROR(VLOOKUP(A8,[1]Energiindhold!$A$2:$C$11,3,FALSE),0)*M8+IF(E8&lt;&gt;År1,R8,0),0)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IF(E8=År1,Q8,SUM(P8,Q8))*IFERROR(VLOOKUP(A8,[1]Tørstofindhold!A$2:B$24,2,FALSE),0)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  <c r="AB8" s="94">
        <f ca="1">G8-SUMPRODUCT($H$2:$N$2,H8:N8)</f>
        <v>2569317.8008686416</v>
      </c>
      <c r="AC8">
        <f ca="1">AB8*D8*10000*VLOOKUP(A8,[1]kcal!$A$2:$C$49,3,FALSE)/1000000000000</f>
        <v>0</v>
      </c>
    </row>
    <row r="9" spans="1:31" x14ac:dyDescent="0.25">
      <c r="A9" s="171" t="s">
        <v>208</v>
      </c>
      <c r="B9" s="171" t="s">
        <v>230</v>
      </c>
      <c r="C9" s="171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71">
        <v>0</v>
      </c>
      <c r="E9" s="171">
        <f t="shared" si="0"/>
        <v>2019</v>
      </c>
      <c r="F9" t="s">
        <v>23</v>
      </c>
      <c r="G9" s="94">
        <f>IF(F9="Vestdanmark",SUMIFS(IF(E9=År1,'Resultater - Vestdanmark'!H$3:H$504,IF(E9=År2,'Resultater - Vestdanmark'!I$3:I$504,'Resultater - Vestdanmark'!J$3:J$504)),'Resultater - Vestdanmark'!$F$3:$F$504,$A9,IF(E9=År1,'Resultater - Vestdanmark'!H$3:H$504,IF(E9=År2,'Resultater - Vestdanmark'!I$3:I$504,'Resultater - Vestdanmark'!J$3:J$504)),"&gt;0"),SUMIFS(IF(E9=År1,'Resultater - Østdanmark'!H$3:H$504,IF(E9=År2,'Resultater - Østdanmark'!I$3:I$504,'Resultater - Østdanmark'!J$3:J$504)),'Resultater - Østdanmark'!$F$3:$F$504,$A9,IF(E9=År1,'Resultater - Østdanmark'!H$3:H$504,IF(E9=År2,'Resultater - Østdanmark'!I$3:I$504,'Resultater - Østdanmark'!J$3:J$504)),"&gt;0"))</f>
        <v>0</v>
      </c>
      <c r="H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forbrug'!H$3,'Forbrug af biomasse'!$B$2:$B$425,$F9)</f>
        <v>0</v>
      </c>
      <c r="I9">
        <f>IF(F9="Vestdanmark",-IF(A9="Halm",SUMIFS(IF(E9=År1,'Resultater - Vestdanmark'!H$3:H$504,IF(E9=År2,'Resultater - Vestdanmark'!I$3:I$504,'Resultater - Vestdanmark'!J$3:J$504)),'Resultater - Vestdanmark'!$F$3:$F$504,$A9,'Resultater - Vestdanmark'!H$3:H$504,"&lt;0"),0),-IF(A9="Halm",SUMIFS(IF(E9=År1,'Resultater - Østdanmark'!H$3:H$504,IF(E9=År2,'Resultater - Østdanmark'!I$3:I$504,'Resultater - Østdanmark'!J$3:J$504)),'Resultater - Østdanmark'!$F$3:$F$504,$A9,'Resultater - Østdanmark'!H$3:H$504,"&lt;0"),0))</f>
        <v>0</v>
      </c>
      <c r="J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forbrug'!J$3,'Forbrug af biomasse'!$B$2:$B$425,$F9)</f>
        <v>0</v>
      </c>
      <c r="K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forbrug'!K$3,'Forbrug af biomasse'!$B$2:$B$425,$F9)</f>
        <v>0</v>
      </c>
      <c r="L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forbrug'!L$3,'Forbrug af biomasse'!$B$2:$B$425,$F9)</f>
        <v>0</v>
      </c>
      <c r="M9" s="94">
        <f>IF(A9&lt;&gt;"Biogas",SUMIFS('Forbrug af biomasse'!$E$2:$E$425,'Forbrug af biomasse'!$C$2:$C$425,'Resultat-Produktion &amp; forbrug'!$A9,'Forbrug af biomasse'!$D$2:$D$425,'Resultat-Produktion &amp; forbrug'!$E9,'Forbrug af biomasse'!$A$2:$A$425,'Resultat-Produktion &amp; forbrug'!M$3,'Forbrug af biomasse'!$B$2:$B$425,$F9),G9)</f>
        <v>0</v>
      </c>
      <c r="N9" s="94">
        <f>SUMIFS('Forbrug af biomasse'!E:E,'Forbrug af biomasse'!C:C,'Resultat-Produktion &amp; forbrug'!$A9,'Forbrug af biomasse'!D:D,'Resultat-Produktion &amp; forbrug'!$E9,'Forbrug af biomasse'!G:G,1,'Forbrug af biomasse'!B:B,$F9)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IF(A9&lt;&gt;"Biogas",IFERROR(VLOOKUP(A9,[1]Biogasudbytte!$A$2:$B$18,2,FALSE)*[1]Energiindhold!$C$10,0)*K9*IFERROR(VLOOKUP(A9,Biogasanlæg!$F$3:$G$8,2,FALSE),1)+IFERROR(VLOOKUP(A9,[1]Energiindhold!$A$2:$C$11,3,FALSE),0)*M9+IF(E9&lt;&gt;År1,R9,0),0)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IF(E9=År1,Q9,SUM(P9,Q9))*IFERROR(VLOOKUP(A9,[1]Tørstofindhold!A$2:B$24,2,FALSE),0)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1"/>
        <v>0</v>
      </c>
      <c r="AA9">
        <f t="shared" si="2"/>
        <v>0</v>
      </c>
      <c r="AB9" s="94">
        <f t="shared" si="8"/>
        <v>0</v>
      </c>
      <c r="AC9">
        <f>AB9*D9*10000*VLOOKUP(A9,[1]kcal!$A$2:$C$49,3,FALSE)/1000000000000</f>
        <v>0</v>
      </c>
    </row>
    <row r="10" spans="1:31" x14ac:dyDescent="0.25">
      <c r="A10" t="s">
        <v>101</v>
      </c>
      <c r="B10" s="171" t="s">
        <v>222</v>
      </c>
      <c r="C10" s="171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1</v>
      </c>
      <c r="D10" s="171">
        <v>0</v>
      </c>
      <c r="E10" s="171">
        <f t="shared" si="0"/>
        <v>2019</v>
      </c>
      <c r="F10" t="s">
        <v>23</v>
      </c>
      <c r="G10" s="94">
        <f>IF(F10="Vestdanmark",SUMIFS(IF(E10=År1,'Resultater - Vestdanmark'!H$3:H$504,IF(E10=År2,'Resultater - Vestdanmark'!I$3:I$504,'Resultater - Vestdanmark'!J$3:J$504)),'Resultater - Vestdanmark'!$F$3:$F$504,$A10,IF(E10=År1,'Resultater - Vestdanmark'!H$3:H$504,IF(E10=År2,'Resultater - Vestdanmark'!I$3:I$504,'Resultater - Vestdanmark'!J$3:J$504)),"&gt;0"),SUMIFS(IF(E10=År1,'Resultater - Østdanmark'!H$3:H$504,IF(E10=År2,'Resultater - Østdanmark'!I$3:I$504,'Resultater - Østdanmark'!J$3:J$504)),'Resultater - Østdanmark'!$F$3:$F$504,$A10,IF(E10=År1,'Resultater - Østdanmark'!H$3:H$504,IF(E10=År2,'Resultater - Østdanmark'!I$3:I$504,'Resultater - Østdanmark'!J$3:J$504)),"&gt;0"))</f>
        <v>2600310.0770241949</v>
      </c>
      <c r="H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forbrug'!H$3,'Forbrug af biomasse'!$B$2:$B$425,$F10)</f>
        <v>0</v>
      </c>
      <c r="I10">
        <f>IF(F10="Vestdanmark",-IF(A10="Halm",SUMIFS(IF(E10=År1,'Resultater - Vestdanmark'!H$3:H$504,IF(E10=År2,'Resultater - Vestdanmark'!I$3:I$504,'Resultater - Vestdanmark'!J$3:J$504)),'Resultater - Vestdanmark'!$F$3:$F$504,$A10,'Resultater - Vestdanmark'!H$3:H$504,"&lt;0"),0),-IF(A10="Halm",SUMIFS(IF(E10=År1,'Resultater - Østdanmark'!H$3:H$504,IF(E10=År2,'Resultater - Østdanmark'!I$3:I$504,'Resultater - Østdanmark'!J$3:J$504)),'Resultater - Østdanmark'!$F$3:$F$504,$A10,'Resultater - Østdanmark'!H$3:H$504,"&lt;0"),0))</f>
        <v>0</v>
      </c>
      <c r="J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forbrug'!J$3,'Forbrug af biomasse'!$B$2:$B$425,$F10)</f>
        <v>0</v>
      </c>
      <c r="K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forbrug'!K$3,'Forbrug af biomasse'!$B$2:$B$425,$F10)</f>
        <v>671194.67155029252</v>
      </c>
      <c r="L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forbrug'!L$3,'Forbrug af biomasse'!$B$2:$B$425,$F10)</f>
        <v>730307.97492940596</v>
      </c>
      <c r="M10" s="94">
        <f>IF(A10&lt;&gt;"Biogas",SUMIFS('Forbrug af biomasse'!$E$2:$E$425,'Forbrug af biomasse'!$C$2:$C$425,'Resultat-Produktion &amp; forbrug'!$A10,'Forbrug af biomasse'!$D$2:$D$425,'Resultat-Produktion &amp; forbrug'!$E10,'Forbrug af biomasse'!$A$2:$A$425,'Resultat-Produktion &amp; forbrug'!M$3,'Forbrug af biomasse'!$B$2:$B$425,$F10),G10)</f>
        <v>0</v>
      </c>
      <c r="N10" s="94">
        <f>SUMIFS('Forbrug af biomasse'!E:E,'Forbrug af biomasse'!C:C,'Resultat-Produktion &amp; forbrug'!$A10,'Forbrug af biomasse'!D:D,'Resultat-Produktion &amp; forbrug'!$E10,'Forbrug af biomasse'!G:G,1,'Forbrug af biomasse'!B:B,$F10)</f>
        <v>0</v>
      </c>
      <c r="O10" s="179">
        <f t="shared" si="3"/>
        <v>1198807.4305444965</v>
      </c>
      <c r="P10" s="94">
        <f t="shared" si="4"/>
        <v>1198807.4305444965</v>
      </c>
      <c r="Q10" s="180">
        <f>SUM(K10,M10)</f>
        <v>671194.67155029252</v>
      </c>
      <c r="R10">
        <f>IFERROR(VLOOKUP(A10,[1]Energiindhold!$A$2:$C$11,3,FALSE),IFERROR(VLOOKUP(A10,[1]Biogasudbytte!$A$2:$B$18,2,FALSE)*[1]Energiindhold!$C$10,0))*P10</f>
        <v>2.5822312053928456</v>
      </c>
      <c r="S10">
        <f>IF(A10&lt;&gt;"Biogas",IFERROR(VLOOKUP(A10,[1]Biogasudbytte!$A$2:$B$18,2,FALSE)*[1]Energiindhold!$C$10,0)*K10*IFERROR(VLOOKUP(A10,Biogasanlæg!$F$3:$G$8,2,FALSE),1)+IFERROR(VLOOKUP(A10,[1]Energiindhold!$A$2:$C$11,3,FALSE),0)*M10+IF(E10&lt;&gt;År1,R10,0),0)</f>
        <v>1.4457533225193302</v>
      </c>
      <c r="T10">
        <f>IFERROR(VLOOKUP(A10,[1]Biogasudbytte!$A$2:$B$18,2,FALSE)*[1]Energiindhold!$C$10,0)*K10*IFERROR(VLOOKUP(A10,Biogasanlæg!$F$3:$G$8,2,FALSE),1)</f>
        <v>1.4457533225193302</v>
      </c>
      <c r="U10" s="170">
        <f t="shared" si="6"/>
        <v>0</v>
      </c>
      <c r="V10" s="169">
        <f>P10*IFERROR(VLOOKUP(A10,[1]Tørstofindhold!A$2:B$24,2,FALSE),0)</f>
        <v>359642.22916334897</v>
      </c>
      <c r="W10">
        <f>IF(E10=År1,Q10,SUM(P10,Q10))*IFERROR(VLOOKUP(A10,[1]Tørstofindhold!A$2:B$24,2,FALSE),0)</f>
        <v>201358.40146508775</v>
      </c>
      <c r="X10">
        <f>K10*IFERROR(VLOOKUP(A10,[1]Tørstofindhold!A$2:B$24,2,FALSE),0)</f>
        <v>201358.40146508775</v>
      </c>
      <c r="Y10" s="170">
        <f t="shared" si="7"/>
        <v>0</v>
      </c>
      <c r="Z10">
        <f t="shared" si="1"/>
        <v>0</v>
      </c>
      <c r="AA10">
        <f t="shared" si="2"/>
        <v>1</v>
      </c>
      <c r="AB10" s="94">
        <f t="shared" si="8"/>
        <v>1198807.4305444965</v>
      </c>
      <c r="AC10">
        <f>AB10*D10*10000*VLOOKUP(A10,[1]kcal!$A$2:$C$49,3,FALSE)/1000000000000</f>
        <v>0</v>
      </c>
    </row>
    <row r="11" spans="1:31" x14ac:dyDescent="0.25">
      <c r="A11" t="s">
        <v>204</v>
      </c>
      <c r="B11" s="171"/>
      <c r="C11" s="171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0</v>
      </c>
      <c r="D11" s="171">
        <v>0</v>
      </c>
      <c r="E11" s="171">
        <f t="shared" si="0"/>
        <v>2019</v>
      </c>
      <c r="F11" t="s">
        <v>23</v>
      </c>
      <c r="G11" s="94">
        <f>IF(F11="Vestdanmark",SUMIFS(IF(E11=År1,'Resultater - Vestdanmark'!H$3:H$504,IF(E11=År2,'Resultater - Vestdanmark'!I$3:I$504,'Resultater - Vestdanmark'!J$3:J$504)),'Resultater - Vestdanmark'!$F$3:$F$504,$A11,IF(E11=År1,'Resultater - Vestdanmark'!H$3:H$504,IF(E11=År2,'Resultater - Vestdanmark'!I$3:I$504,'Resultater - Vestdanmark'!J$3:J$504)),"&gt;0"),SUMIFS(IF(E11=År1,'Resultater - Østdanmark'!H$3:H$504,IF(E11=År2,'Resultater - Østdanmark'!I$3:I$504,'Resultater - Østdanmark'!J$3:J$504)),'Resultater - Østdanmark'!$F$3:$F$504,$A11,IF(E11=År1,'Resultater - Østdanmark'!H$3:H$504,IF(E11=År2,'Resultater - Østdanmark'!I$3:I$504,'Resultater - Østdanmark'!J$3:J$504)),"&gt;0"))</f>
        <v>0</v>
      </c>
      <c r="H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forbrug'!H$3,'Forbrug af biomasse'!$B$2:$B$425,$F11)</f>
        <v>0</v>
      </c>
      <c r="I11">
        <f>IF(F11="Vestdanmark",-IF(A11="Halm",SUMIFS(IF(E11=År1,'Resultater - Vestdanmark'!H$3:H$504,IF(E11=År2,'Resultater - Vestdanmark'!I$3:I$504,'Resultater - Vestdanmark'!J$3:J$504)),'Resultater - Vestdanmark'!$F$3:$F$504,$A11,'Resultater - Vestdanmark'!H$3:H$504,"&lt;0"),0),-IF(A11="Halm",SUMIFS(IF(E11=År1,'Resultater - Østdanmark'!H$3:H$504,IF(E11=År2,'Resultater - Østdanmark'!I$3:I$504,'Resultater - Østdanmark'!J$3:J$504)),'Resultater - Østdanmark'!$F$3:$F$504,$A11,'Resultater - Østdanmark'!H$3:H$504,"&lt;0"),0))</f>
        <v>0</v>
      </c>
      <c r="J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forbrug'!J$3,'Forbrug af biomasse'!$B$2:$B$425,$F11)</f>
        <v>0</v>
      </c>
      <c r="K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forbrug'!K$3,'Forbrug af biomasse'!$B$2:$B$425,$F11)</f>
        <v>0</v>
      </c>
      <c r="L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forbrug'!L$3,'Forbrug af biomasse'!$B$2:$B$425,$F11)</f>
        <v>0</v>
      </c>
      <c r="M11" s="94">
        <f>IF(A11&lt;&gt;"Biogas",SUMIFS('Forbrug af biomasse'!$E$2:$E$425,'Forbrug af biomasse'!$C$2:$C$425,'Resultat-Produktion &amp; forbrug'!$A11,'Forbrug af biomasse'!$D$2:$D$425,'Resultat-Produktion &amp; forbrug'!$E11,'Forbrug af biomasse'!$A$2:$A$425,'Resultat-Produktion &amp; forbrug'!M$3,'Forbrug af biomasse'!$B$2:$B$425,$F11),G11)</f>
        <v>0</v>
      </c>
      <c r="N11" s="94">
        <f>SUMIFS('Forbrug af biomasse'!E:E,'Forbrug af biomasse'!C:C,'Resultat-Produktion &amp; forbrug'!$A11,'Forbrug af biomasse'!D:D,'Resultat-Produktion &amp; forbrug'!$E11,'Forbrug af biomasse'!G:G,1,'Forbrug af biomasse'!B:B,$F11)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IF(A11&lt;&gt;"Biogas",IFERROR(VLOOKUP(A11,[1]Biogasudbytte!$A$2:$B$18,2,FALSE)*[1]Energiindhold!$C$10,0)*K11*IFERROR(VLOOKUP(A11,Biogasanlæg!$F$3:$G$8,2,FALSE),1)+IFERROR(VLOOKUP(A11,[1]Energiindhold!$A$2:$C$11,3,FALSE),0)*M11+IF(E11&lt;&gt;År1,R11,0),0)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IF(E11=År1,Q11,SUM(P11,Q11))*IFERROR(VLOOKUP(A11,[1]Tørstofindhold!A$2:B$24,2,FALSE),0)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1"/>
        <v>0</v>
      </c>
      <c r="AA11">
        <f t="shared" si="2"/>
        <v>0</v>
      </c>
      <c r="AB11" s="94">
        <f t="shared" si="8"/>
        <v>0</v>
      </c>
      <c r="AC11">
        <f>AB11*D11*10000*VLOOKUP(A11,[1]kcal!$A$2:$C$49,3,FALSE)/1000000000000</f>
        <v>0</v>
      </c>
    </row>
    <row r="12" spans="1:31" x14ac:dyDescent="0.25">
      <c r="A12" t="s">
        <v>137</v>
      </c>
      <c r="B12" s="171" t="s">
        <v>222</v>
      </c>
      <c r="C12" s="171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1</v>
      </c>
      <c r="D12" s="171">
        <v>0</v>
      </c>
      <c r="E12" s="171">
        <f t="shared" si="0"/>
        <v>2019</v>
      </c>
      <c r="F12" t="s">
        <v>23</v>
      </c>
      <c r="G12" s="94">
        <f>IF(F12="Vestdanmark",SUMIFS(IF(E12=År1,'Resultater - Vestdanmark'!H$3:H$504,IF(E12=År2,'Resultater - Vestdanmark'!I$3:I$504,'Resultater - Vestdanmark'!J$3:J$504)),'Resultater - Vestdanmark'!$F$3:$F$504,$A12,IF(E12=År1,'Resultater - Vestdanmark'!H$3:H$504,IF(E12=År2,'Resultater - Vestdanmark'!I$3:I$504,'Resultater - Vestdanmark'!J$3:J$504)),"&gt;0"),SUMIFS(IF(E12=År1,'Resultater - Østdanmark'!H$3:H$504,IF(E12=År2,'Resultater - Østdanmark'!I$3:I$504,'Resultater - Østdanmark'!J$3:J$504)),'Resultater - Østdanmark'!$F$3:$F$504,$A12,IF(E12=År1,'Resultater - Østdanmark'!H$3:H$504,IF(E12=År2,'Resultater - Østdanmark'!I$3:I$504,'Resultater - Østdanmark'!J$3:J$504)),"&gt;0"))</f>
        <v>8207.6123560951182</v>
      </c>
      <c r="H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forbrug'!H$3,'Forbrug af biomasse'!$B$2:$B$425,$F12)</f>
        <v>0</v>
      </c>
      <c r="I12">
        <f>IF(F12="Vestdanmark",-IF(A12="Halm",SUMIFS(IF(E12=År1,'Resultater - Vestdanmark'!H$3:H$504,IF(E12=År2,'Resultater - Vestdanmark'!I$3:I$504,'Resultater - Vestdanmark'!J$3:J$504)),'Resultater - Vestdanmark'!$F$3:$F$504,$A12,'Resultater - Vestdanmark'!H$3:H$504,"&lt;0"),0),-IF(A12="Halm",SUMIFS(IF(E12=År1,'Resultater - Østdanmark'!H$3:H$504,IF(E12=År2,'Resultater - Østdanmark'!I$3:I$504,'Resultater - Østdanmark'!J$3:J$504)),'Resultater - Østdanmark'!$F$3:$F$504,$A12,'Resultater - Østdanmark'!H$3:H$504,"&lt;0"),0))</f>
        <v>0</v>
      </c>
      <c r="J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forbrug'!J$3,'Forbrug af biomasse'!$B$2:$B$425,$F12)</f>
        <v>0</v>
      </c>
      <c r="K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forbrug'!K$3,'Forbrug af biomasse'!$B$2:$B$425,$F12)</f>
        <v>4103.8061780475591</v>
      </c>
      <c r="L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forbrug'!L$3,'Forbrug af biomasse'!$B$2:$B$425,$F12)</f>
        <v>4103.8061780475591</v>
      </c>
      <c r="M12" s="94">
        <f>IF(A12&lt;&gt;"Biogas",SUMIFS('Forbrug af biomasse'!$E$2:$E$425,'Forbrug af biomasse'!$C$2:$C$425,'Resultat-Produktion &amp; forbrug'!$A12,'Forbrug af biomasse'!$D$2:$D$425,'Resultat-Produktion &amp; forbrug'!$E12,'Forbrug af biomasse'!$A$2:$A$425,'Resultat-Produktion &amp; forbrug'!M$3,'Forbrug af biomasse'!$B$2:$B$425,$F12),G12)</f>
        <v>0</v>
      </c>
      <c r="N12" s="94">
        <f>SUMIFS('Forbrug af biomasse'!E:E,'Forbrug af biomasse'!C:C,'Resultat-Produktion &amp; forbrug'!$A12,'Forbrug af biomasse'!D:D,'Resultat-Produktion &amp; forbrug'!$E12,'Forbrug af biomasse'!G:G,1,'Forbrug af biomasse'!B:B,$F12)</f>
        <v>0</v>
      </c>
      <c r="O12" s="179">
        <f t="shared" si="3"/>
        <v>0</v>
      </c>
      <c r="P12" s="94">
        <f t="shared" si="4"/>
        <v>0</v>
      </c>
      <c r="Q12" s="180">
        <f t="shared" si="5"/>
        <v>4103.8061780475591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IF(A12&lt;&gt;"Biogas",IFERROR(VLOOKUP(A12,[1]Biogasudbytte!$A$2:$B$18,2,FALSE)*[1]Energiindhold!$C$10,0)*K12*IFERROR(VLOOKUP(A12,Biogasanlæg!$F$3:$G$8,2,FALSE),1)+IFERROR(VLOOKUP(A12,[1]Energiindhold!$A$2:$C$11,3,FALSE),0)*M12+IF(E12&lt;&gt;År1,R12,0),0)</f>
        <v>1.9299790074739866E-3</v>
      </c>
      <c r="T12">
        <f>IFERROR(VLOOKUP(A12,[1]Biogasudbytte!$A$2:$B$18,2,FALSE)*[1]Energiindhold!$C$10,0)*K12*IFERROR(VLOOKUP(A12,Biogasanlæg!$F$3:$G$8,2,FALSE),1)</f>
        <v>1.9299790074739866E-3</v>
      </c>
      <c r="U12" s="170">
        <f t="shared" si="6"/>
        <v>0</v>
      </c>
      <c r="V12" s="169">
        <f>P12*IFERROR(VLOOKUP(A12,[1]Tørstofindhold!A$2:B$24,2,FALSE),0)</f>
        <v>0</v>
      </c>
      <c r="W12">
        <f>IF(E12=År1,Q12,SUM(P12,Q12))*IFERROR(VLOOKUP(A12,[1]Tørstofindhold!A$2:B$24,2,FALSE),0)</f>
        <v>258.53978921699621</v>
      </c>
      <c r="X12">
        <f>K12*IFERROR(VLOOKUP(A12,[1]Tørstofindhold!A$2:B$24,2,FALSE),0)</f>
        <v>258.53978921699621</v>
      </c>
      <c r="Y12" s="170">
        <f t="shared" si="7"/>
        <v>0</v>
      </c>
      <c r="Z12">
        <f t="shared" si="1"/>
        <v>0</v>
      </c>
      <c r="AA12">
        <f t="shared" si="2"/>
        <v>0</v>
      </c>
      <c r="AB12" s="94">
        <f t="shared" si="8"/>
        <v>0</v>
      </c>
      <c r="AC12">
        <f>AB12*D12*10000*VLOOKUP(A12,[1]kcal!$A$2:$C$49,3,FALSE)/1000000000000</f>
        <v>0</v>
      </c>
    </row>
    <row r="13" spans="1:31" x14ac:dyDescent="0.25">
      <c r="A13" t="s">
        <v>96</v>
      </c>
      <c r="B13" s="171"/>
      <c r="C13" s="171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71">
        <v>1</v>
      </c>
      <c r="E13" s="171">
        <f t="shared" si="0"/>
        <v>2019</v>
      </c>
      <c r="F13" t="s">
        <v>23</v>
      </c>
      <c r="G13" s="94">
        <f>IF(F13="Vestdanmark",SUMIFS(IF(E13=År1,'Resultater - Vestdanmark'!H$3:H$504,IF(E13=År2,'Resultater - Vestdanmark'!I$3:I$504,'Resultater - Vestdanmark'!J$3:J$504)),'Resultater - Vestdanmark'!$F$3:$F$504,$A13,IF(E13=År1,'Resultater - Vestdanmark'!H$3:H$504,IF(E13=År2,'Resultater - Vestdanmark'!I$3:I$504,'Resultater - Vestdanmark'!J$3:J$504)),"&gt;0"),SUMIFS(IF(E13=År1,'Resultater - Østdanmark'!H$3:H$504,IF(E13=År2,'Resultater - Østdanmark'!I$3:I$504,'Resultater - Østdanmark'!J$3:J$504)),'Resultater - Østdanmark'!$F$3:$F$504,$A13,IF(E13=År1,'Resultater - Østdanmark'!H$3:H$504,IF(E13=År2,'Resultater - Østdanmark'!I$3:I$504,'Resultater - Østdanmark'!J$3:J$504)),"&gt;0"))</f>
        <v>185576.29959415729</v>
      </c>
      <c r="H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forbrug'!H$3,'Forbrug af biomasse'!$B$2:$B$425,$F13)</f>
        <v>0</v>
      </c>
      <c r="I13">
        <f>IF(F13="Vestdanmark",-IF(A13="Halm",SUMIFS(IF(E13=År1,'Resultater - Vestdanmark'!H$3:H$504,IF(E13=År2,'Resultater - Vestdanmark'!I$3:I$504,'Resultater - Vestdanmark'!J$3:J$504)),'Resultater - Vestdanmark'!$F$3:$F$504,$A13,'Resultater - Vestdanmark'!H$3:H$504,"&lt;0"),0),-IF(A13="Halm",SUMIFS(IF(E13=År1,'Resultater - Østdanmark'!H$3:H$504,IF(E13=År2,'Resultater - Østdanmark'!I$3:I$504,'Resultater - Østdanmark'!J$3:J$504)),'Resultater - Østdanmark'!$F$3:$F$504,$A13,'Resultater - Østdanmark'!H$3:H$504,"&lt;0"),0))</f>
        <v>0</v>
      </c>
      <c r="J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forbrug'!J$3,'Forbrug af biomasse'!$B$2:$B$425,$F13)</f>
        <v>34149.438191562753</v>
      </c>
      <c r="K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forbrug'!K$3,'Forbrug af biomasse'!$B$2:$B$425,$F13)</f>
        <v>0</v>
      </c>
      <c r="L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forbrug'!L$3,'Forbrug af biomasse'!$B$2:$B$425,$F13)</f>
        <v>0</v>
      </c>
      <c r="M13" s="94">
        <f>IF(A13&lt;&gt;"Biogas",SUMIFS('Forbrug af biomasse'!$E$2:$E$425,'Forbrug af biomasse'!$C$2:$C$425,'Resultat-Produktion &amp; forbrug'!$A13,'Forbrug af biomasse'!$D$2:$D$425,'Resultat-Produktion &amp; forbrug'!$E13,'Forbrug af biomasse'!$A$2:$A$425,'Resultat-Produktion &amp; forbrug'!M$3,'Forbrug af biomasse'!$B$2:$B$425,$F13),G13)</f>
        <v>0</v>
      </c>
      <c r="N13" s="94">
        <f>SUMIFS('Forbrug af biomasse'!E:E,'Forbrug af biomasse'!C:C,'Resultat-Produktion &amp; forbrug'!$A13,'Forbrug af biomasse'!D:D,'Resultat-Produktion &amp; forbrug'!$E13,'Forbrug af biomasse'!G:G,1,'Forbrug af biomasse'!B:B,$F13)</f>
        <v>0</v>
      </c>
      <c r="O13" s="179">
        <f t="shared" si="3"/>
        <v>151426.86140259454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IF(A13&lt;&gt;"Biogas",IFERROR(VLOOKUP(A13,[1]Biogasudbytte!$A$2:$B$18,2,FALSE)*[1]Energiindhold!$C$10,0)*K13*IFERROR(VLOOKUP(A13,Biogasanlæg!$F$3:$G$8,2,FALSE),1)+IFERROR(VLOOKUP(A13,[1]Energiindhold!$A$2:$C$11,3,FALSE),0)*M13+IF(E13&lt;&gt;År1,R13,0),0)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IF(E13=År1,Q13,SUM(P13,Q13))*IFERROR(VLOOKUP(A13,[1]Tørstofindhold!A$2:B$24,2,FALSE),0)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  <c r="AB13" s="94">
        <f t="shared" si="8"/>
        <v>185576.29959415729</v>
      </c>
      <c r="AC13">
        <f>AB13*D13*10000*VLOOKUP(A13,[1]kcal!$A$2:$C$49,3,FALSE)/1000000000000</f>
        <v>0.28207597538311907</v>
      </c>
    </row>
    <row r="14" spans="1:31" x14ac:dyDescent="0.25">
      <c r="A14" t="s">
        <v>113</v>
      </c>
      <c r="B14" s="171"/>
      <c r="C14" s="171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71">
        <v>0</v>
      </c>
      <c r="E14" s="171">
        <f t="shared" si="0"/>
        <v>2019</v>
      </c>
      <c r="F14" t="s">
        <v>23</v>
      </c>
      <c r="G14" s="94">
        <f>IF(F14="Vestdanmark",SUMIFS(IF(E14=År1,'Resultater - Vestdanmark'!H$3:H$504,IF(E14=År2,'Resultater - Vestdanmark'!I$3:I$504,'Resultater - Vestdanmark'!J$3:J$504)),'Resultater - Vestdanmark'!$F$3:$F$504,$A14,IF(E14=År1,'Resultater - Vestdanmark'!H$3:H$504,IF(E14=År2,'Resultater - Vestdanmark'!I$3:I$504,'Resultater - Vestdanmark'!J$3:J$504)),"&gt;0"),SUMIFS(IF(E14=År1,'Resultater - Østdanmark'!H$3:H$504,IF(E14=År2,'Resultater - Østdanmark'!I$3:I$504,'Resultater - Østdanmark'!J$3:J$504)),'Resultater - Østdanmark'!$F$3:$F$504,$A14,IF(E14=År1,'Resultater - Østdanmark'!H$3:H$504,IF(E14=År2,'Resultater - Østdanmark'!I$3:I$504,'Resultater - Østdanmark'!J$3:J$504)),"&gt;0"))</f>
        <v>887836.84200071916</v>
      </c>
      <c r="H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forbrug'!H$3,'Forbrug af biomasse'!$B$2:$B$425,$F14)</f>
        <v>0</v>
      </c>
      <c r="I14">
        <f>IF(F14="Vestdanmark",-IF(A14="Halm",SUMIFS(IF(E14=År1,'Resultater - Vestdanmark'!H$3:H$504,IF(E14=År2,'Resultater - Vestdanmark'!I$3:I$504,'Resultater - Vestdanmark'!J$3:J$504)),'Resultater - Vestdanmark'!$F$3:$F$504,$A14,'Resultater - Vestdanmark'!H$3:H$504,"&lt;0"),0),-IF(A14="Halm",SUMIFS(IF(E14=År1,'Resultater - Østdanmark'!H$3:H$504,IF(E14=År2,'Resultater - Østdanmark'!I$3:I$504,'Resultater - Østdanmark'!J$3:J$504)),'Resultater - Østdanmark'!$F$3:$F$504,$A14,'Resultater - Østdanmark'!H$3:H$504,"&lt;0"),0))</f>
        <v>0</v>
      </c>
      <c r="J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forbrug'!J$3,'Forbrug af biomasse'!$B$2:$B$425,$F14)</f>
        <v>0</v>
      </c>
      <c r="K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forbrug'!K$3,'Forbrug af biomasse'!$B$2:$B$425,$F14)</f>
        <v>0</v>
      </c>
      <c r="L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forbrug'!L$3,'Forbrug af biomasse'!$B$2:$B$425,$F14)</f>
        <v>0</v>
      </c>
      <c r="M14" s="94">
        <f>IF(A14&lt;&gt;"Biogas",SUMIFS('Forbrug af biomasse'!$E$2:$E$425,'Forbrug af biomasse'!$C$2:$C$425,'Resultat-Produktion &amp; forbrug'!$A14,'Forbrug af biomasse'!$D$2:$D$425,'Resultat-Produktion &amp; forbrug'!$E14,'Forbrug af biomasse'!$A$2:$A$425,'Resultat-Produktion &amp; forbrug'!M$3,'Forbrug af biomasse'!$B$2:$B$425,$F14),G14)</f>
        <v>0</v>
      </c>
      <c r="N14" s="94">
        <f>SUMIFS('Forbrug af biomasse'!E:E,'Forbrug af biomasse'!C:C,'Resultat-Produktion &amp; forbrug'!$A14,'Forbrug af biomasse'!D:D,'Resultat-Produktion &amp; forbrug'!$E14,'Forbrug af biomasse'!G:G,1,'Forbrug af biomasse'!B:B,$F14)</f>
        <v>0</v>
      </c>
      <c r="O14" s="179">
        <f t="shared" si="3"/>
        <v>887836.84200071916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IF(A14&lt;&gt;"Biogas",IFERROR(VLOOKUP(A14,[1]Biogasudbytte!$A$2:$B$18,2,FALSE)*[1]Energiindhold!$C$10,0)*K14*IFERROR(VLOOKUP(A14,Biogasanlæg!$F$3:$G$8,2,FALSE),1)+IFERROR(VLOOKUP(A14,[1]Energiindhold!$A$2:$C$11,3,FALSE),0)*M14+IF(E14&lt;&gt;År1,R14,0),0)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IF(E14=År1,Q14,SUM(P14,Q14))*IFERROR(VLOOKUP(A14,[1]Tørstofindhold!A$2:B$24,2,FALSE),0)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  <c r="AB14" s="94">
        <f t="shared" si="8"/>
        <v>887836.84200071916</v>
      </c>
      <c r="AC14">
        <f>AB14*D14*10000*VLOOKUP(A14,[1]kcal!$A$2:$C$49,3,FALSE)/1000000000000</f>
        <v>0</v>
      </c>
    </row>
    <row r="15" spans="1:31" x14ac:dyDescent="0.25">
      <c r="A15" t="s">
        <v>54</v>
      </c>
      <c r="B15" s="171"/>
      <c r="C15" s="171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0</v>
      </c>
      <c r="D15" s="171">
        <v>1</v>
      </c>
      <c r="E15" s="171">
        <f t="shared" si="0"/>
        <v>2019</v>
      </c>
      <c r="F15" t="s">
        <v>23</v>
      </c>
      <c r="G15" s="94">
        <f>IF(F15="Vestdanmark",SUMIFS(IF(E15=År1,'Resultater - Vestdanmark'!H$3:H$504,IF(E15=År2,'Resultater - Vestdanmark'!I$3:I$504,'Resultater - Vestdanmark'!J$3:J$504)),'Resultater - Vestdanmark'!$F$3:$F$504,$A15,IF(E15=År1,'Resultater - Vestdanmark'!H$3:H$504,IF(E15=År2,'Resultater - Vestdanmark'!I$3:I$504,'Resultater - Vestdanmark'!J$3:J$504)),"&gt;0"),SUMIFS(IF(E15=År1,'Resultater - Østdanmark'!H$3:H$504,IF(E15=År2,'Resultater - Østdanmark'!I$3:I$504,'Resultater - Østdanmark'!J$3:J$504)),'Resultater - Østdanmark'!$F$3:$F$504,$A15,IF(E15=År1,'Resultater - Østdanmark'!H$3:H$504,IF(E15=År2,'Resultater - Østdanmark'!I$3:I$504,'Resultater - Østdanmark'!J$3:J$504)),"&gt;0"))</f>
        <v>25948.722839676255</v>
      </c>
      <c r="H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forbrug'!H$3,'Forbrug af biomasse'!$B$2:$B$425,$F15)</f>
        <v>0</v>
      </c>
      <c r="I15">
        <f>IF(F15="Vestdanmark",-IF(A15="Halm",SUMIFS(IF(E15=År1,'Resultater - Vestdanmark'!H$3:H$504,IF(E15=År2,'Resultater - Vestdanmark'!I$3:I$504,'Resultater - Vestdanmark'!J$3:J$504)),'Resultater - Vestdanmark'!$F$3:$F$504,$A15,'Resultater - Vestdanmark'!H$3:H$504,"&lt;0"),0),-IF(A15="Halm",SUMIFS(IF(E15=År1,'Resultater - Østdanmark'!H$3:H$504,IF(E15=År2,'Resultater - Østdanmark'!I$3:I$504,'Resultater - Østdanmark'!J$3:J$504)),'Resultater - Østdanmark'!$F$3:$F$504,$A15,'Resultater - Østdanmark'!H$3:H$504,"&lt;0"),0))</f>
        <v>0</v>
      </c>
      <c r="J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forbrug'!J$3,'Forbrug af biomasse'!$B$2:$B$425,$F15)</f>
        <v>249553.58678449702</v>
      </c>
      <c r="K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forbrug'!K$3,'Forbrug af biomasse'!$B$2:$B$425,$F15)</f>
        <v>0</v>
      </c>
      <c r="L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forbrug'!L$3,'Forbrug af biomasse'!$B$2:$B$425,$F15)</f>
        <v>0</v>
      </c>
      <c r="M15" s="94">
        <f>IF(A15&lt;&gt;"Biogas",SUMIFS('Forbrug af biomasse'!$E$2:$E$425,'Forbrug af biomasse'!$C$2:$C$425,'Resultat-Produktion &amp; forbrug'!$A15,'Forbrug af biomasse'!$D$2:$D$425,'Resultat-Produktion &amp; forbrug'!$E15,'Forbrug af biomasse'!$A$2:$A$425,'Resultat-Produktion &amp; forbrug'!M$3,'Forbrug af biomasse'!$B$2:$B$425,$F15),G15)</f>
        <v>0</v>
      </c>
      <c r="N15" s="94">
        <f>SUMIFS('Forbrug af biomasse'!E:E,'Forbrug af biomasse'!C:C,'Resultat-Produktion &amp; forbrug'!$A15,'Forbrug af biomasse'!D:D,'Resultat-Produktion &amp; forbrug'!$E15,'Forbrug af biomasse'!G:G,1,'Forbrug af biomasse'!B:B,$F15)</f>
        <v>0</v>
      </c>
      <c r="O15" s="179">
        <f t="shared" si="3"/>
        <v>-223604.86394482077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IF(A15&lt;&gt;"Biogas",IFERROR(VLOOKUP(A15,[1]Biogasudbytte!$A$2:$B$18,2,FALSE)*[1]Energiindhold!$C$10,0)*K15*IFERROR(VLOOKUP(A15,Biogasanlæg!$F$3:$G$8,2,FALSE),1)+IFERROR(VLOOKUP(A15,[1]Energiindhold!$A$2:$C$11,3,FALSE),0)*M15+IF(E15&lt;&gt;År1,R15,0),0)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IF(E15=År1,Q15,SUM(P15,Q15))*IFERROR(VLOOKUP(A15,[1]Tørstofindhold!A$2:B$24,2,FALSE),0)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  <c r="AB15" s="94">
        <f t="shared" si="8"/>
        <v>25948.722839676255</v>
      </c>
      <c r="AC15">
        <f>AB15*D15*10000*VLOOKUP(A15,[1]kcal!$A$2:$C$49,3,FALSE)/1000000000000</f>
        <v>1.3493335876631653E-2</v>
      </c>
    </row>
    <row r="16" spans="1:31" x14ac:dyDescent="0.25">
      <c r="A16" s="171" t="s">
        <v>158</v>
      </c>
      <c r="B16" s="171" t="s">
        <v>158</v>
      </c>
      <c r="C16" s="171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71">
        <v>0</v>
      </c>
      <c r="E16" s="171">
        <f t="shared" si="0"/>
        <v>2019</v>
      </c>
      <c r="F16" t="s">
        <v>23</v>
      </c>
      <c r="G16" s="94">
        <f>IF(F16="Vestdanmark",SUMIFS(IF(E16=År1,'Resultater - Vestdanmark'!H$3:H$504,IF(E16=År2,'Resultater - Vestdanmark'!I$3:I$504,'Resultater - Vestdanmark'!J$3:J$504)),'Resultater - Vestdanmark'!$F$3:$F$504,$A16,IF(E16=År1,'Resultater - Vestdanmark'!H$3:H$504,IF(E16=År2,'Resultater - Vestdanmark'!I$3:I$504,'Resultater - Vestdanmark'!J$3:J$504)),"&gt;0"),SUMIFS(IF(E16=År1,'Resultater - Østdanmark'!H$3:H$504,IF(E16=År2,'Resultater - Østdanmark'!I$3:I$504,'Resultater - Østdanmark'!J$3:J$504)),'Resultater - Østdanmark'!$F$3:$F$504,$A16,IF(E16=År1,'Resultater - Østdanmark'!H$3:H$504,IF(E16=År2,'Resultater - Østdanmark'!I$3:I$504,'Resultater - Østdanmark'!J$3:J$504)),"&gt;0"))</f>
        <v>0</v>
      </c>
      <c r="H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forbrug'!H$3,'Forbrug af biomasse'!$B$2:$B$425,$F16)</f>
        <v>0</v>
      </c>
      <c r="I16">
        <f>IF(F16="Vestdanmark",-IF(A16="Halm",SUMIFS(IF(E16=År1,'Resultater - Vestdanmark'!H$3:H$504,IF(E16=År2,'Resultater - Vestdanmark'!I$3:I$504,'Resultater - Vestdanmark'!J$3:J$504)),'Resultater - Vestdanmark'!$F$3:$F$504,$A16,'Resultater - Vestdanmark'!H$3:H$504,"&lt;0"),0),-IF(A16="Halm",SUMIFS(IF(E16=År1,'Resultater - Østdanmark'!H$3:H$504,IF(E16=År2,'Resultater - Østdanmark'!I$3:I$504,'Resultater - Østdanmark'!J$3:J$504)),'Resultater - Østdanmark'!$F$3:$F$504,$A16,'Resultater - Østdanmark'!H$3:H$504,"&lt;0"),0))</f>
        <v>0</v>
      </c>
      <c r="J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forbrug'!J$3,'Forbrug af biomasse'!$B$2:$B$425,$F16)</f>
        <v>0</v>
      </c>
      <c r="K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forbrug'!K$3,'Forbrug af biomasse'!$B$2:$B$425,$F16)</f>
        <v>114193.60000000001</v>
      </c>
      <c r="L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forbrug'!L$3,'Forbrug af biomasse'!$B$2:$B$425,$F16)</f>
        <v>0</v>
      </c>
      <c r="M16" s="94">
        <f>IF(A16&lt;&gt;"Biogas",SUMIFS('Forbrug af biomasse'!$E$2:$E$425,'Forbrug af biomasse'!$C$2:$C$425,'Resultat-Produktion &amp; forbrug'!$A16,'Forbrug af biomasse'!$D$2:$D$425,'Resultat-Produktion &amp; forbrug'!$E16,'Forbrug af biomasse'!$A$2:$A$425,'Resultat-Produktion &amp; forbrug'!M$3,'Forbrug af biomasse'!$B$2:$B$425,$F16),G16)</f>
        <v>0</v>
      </c>
      <c r="N16" s="94">
        <f>SUMIFS('Forbrug af biomasse'!E:E,'Forbrug af biomasse'!C:C,'Resultat-Produktion &amp; forbrug'!$A16,'Forbrug af biomasse'!D:D,'Resultat-Produktion &amp; forbrug'!$E16,'Forbrug af biomasse'!G:G,1,'Forbrug af biomasse'!B:B,$F16)</f>
        <v>0</v>
      </c>
      <c r="O16" s="179">
        <f t="shared" si="3"/>
        <v>-114193.60000000001</v>
      </c>
      <c r="P16" s="94">
        <f t="shared" si="4"/>
        <v>0</v>
      </c>
      <c r="Q16" s="180">
        <f t="shared" si="5"/>
        <v>114193.60000000001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IF(A16&lt;&gt;"Biogas",IFERROR(VLOOKUP(A16,[1]Biogasudbytte!$A$2:$B$18,2,FALSE)*[1]Energiindhold!$C$10,0)*K16*IFERROR(VLOOKUP(A16,Biogasanlæg!$F$3:$G$8,2,FALSE),1)+IFERROR(VLOOKUP(A16,[1]Energiindhold!$A$2:$C$11,3,FALSE),0)*M16+IF(E16&lt;&gt;År1,R16,0),0)</f>
        <v>1.7355855896064003</v>
      </c>
      <c r="T16">
        <f>IFERROR(VLOOKUP(A16,[1]Biogasudbytte!$A$2:$B$18,2,FALSE)*[1]Energiindhold!$C$10,0)*K16*IFERROR(VLOOKUP(A16,Biogasanlæg!$F$3:$G$8,2,FALSE),1)</f>
        <v>1.7355855896064003</v>
      </c>
      <c r="U16" s="170">
        <f t="shared" si="6"/>
        <v>0</v>
      </c>
      <c r="V16" s="169">
        <f>P16*IFERROR(VLOOKUP(A16,[1]Tørstofindhold!A$2:B$24,2,FALSE),0)</f>
        <v>0</v>
      </c>
      <c r="W16">
        <f>IF(E16=År1,Q16,SUM(P16,Q16))*IFERROR(VLOOKUP(A16,[1]Tørstofindhold!A$2:B$24,2,FALSE),0)</f>
        <v>102774.24</v>
      </c>
      <c r="X16">
        <f>K16*IFERROR(VLOOKUP(A16,[1]Tørstofindhold!A$2:B$24,2,FALSE),0)</f>
        <v>102774.24</v>
      </c>
      <c r="Y16" s="170">
        <f t="shared" si="7"/>
        <v>0</v>
      </c>
      <c r="Z16">
        <f t="shared" si="1"/>
        <v>1</v>
      </c>
      <c r="AA16">
        <f t="shared" si="2"/>
        <v>0</v>
      </c>
      <c r="AB16" s="94">
        <f t="shared" si="8"/>
        <v>-114193.60000000001</v>
      </c>
      <c r="AC16">
        <f>AB16*D16*10000*VLOOKUP(A16,[1]kcal!$A$2:$C$49,3,FALSE)/1000000000000</f>
        <v>0</v>
      </c>
    </row>
    <row r="17" spans="1:29" x14ac:dyDescent="0.25">
      <c r="A17" s="171" t="s">
        <v>51</v>
      </c>
      <c r="B17" s="171" t="s">
        <v>224</v>
      </c>
      <c r="C17" s="171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1</v>
      </c>
      <c r="D17" s="171">
        <v>0</v>
      </c>
      <c r="E17" s="171">
        <f t="shared" ref="E17:E51" si="9">År1</f>
        <v>2019</v>
      </c>
      <c r="F17" t="s">
        <v>23</v>
      </c>
      <c r="G17" s="94">
        <f>IF(F17="Vestdanmark",SUMIFS(IF(E17=År1,'Resultater - Vestdanmark'!H$3:H$504,IF(E17=År2,'Resultater - Vestdanmark'!I$3:I$504,'Resultater - Vestdanmark'!J$3:J$504)),'Resultater - Vestdanmark'!$F$3:$F$504,$A17,IF(E17=År1,'Resultater - Vestdanmark'!H$3:H$504,IF(E17=År2,'Resultater - Vestdanmark'!I$3:I$504,'Resultater - Vestdanmark'!J$3:J$504)),"&gt;0"),SUMIFS(IF(E17=År1,'Resultater - Østdanmark'!H$3:H$504,IF(E17=År2,'Resultater - Østdanmark'!I$3:I$504,'Resultater - Østdanmark'!J$3:J$504)),'Resultater - Østdanmark'!$F$3:$F$504,$A17,IF(E17=År1,'Resultater - Østdanmark'!H$3:H$504,IF(E17=År2,'Resultater - Østdanmark'!I$3:I$504,'Resultater - Østdanmark'!J$3:J$504)),"&gt;0"))</f>
        <v>15764158.337739769</v>
      </c>
      <c r="H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forbrug'!H$3,'Forbrug af biomasse'!$B$2:$B$425,$F17)</f>
        <v>12237689.9092583</v>
      </c>
      <c r="I17">
        <f>IF(F17="Vestdanmark",-IF(A17="Halm",SUMIFS(IF(E17=År1,'Resultater - Vestdanmark'!H$3:H$504,IF(E17=År2,'Resultater - Vestdanmark'!I$3:I$504,'Resultater - Vestdanmark'!J$3:J$504)),'Resultater - Vestdanmark'!$F$3:$F$504,$A17,'Resultater - Vestdanmark'!H$3:H$504,"&lt;0"),0),-IF(A17="Halm",SUMIFS(IF(E17=År1,'Resultater - Østdanmark'!H$3:H$504,IF(E17=År2,'Resultater - Østdanmark'!I$3:I$504,'Resultater - Østdanmark'!J$3:J$504)),'Resultater - Østdanmark'!$F$3:$F$504,$A17,'Resultater - Østdanmark'!H$3:H$504,"&lt;0"),0))</f>
        <v>0</v>
      </c>
      <c r="J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forbrug'!J$3,'Forbrug af biomasse'!$B$2:$B$425,$F17)</f>
        <v>0</v>
      </c>
      <c r="K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forbrug'!K$3,'Forbrug af biomasse'!$B$2:$B$425,$F17)</f>
        <v>75399.16825098735</v>
      </c>
      <c r="L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forbrug'!L$3,'Forbrug af biomasse'!$B$2:$B$425,$F17)</f>
        <v>0</v>
      </c>
      <c r="M17" s="94">
        <f>IF(A17&lt;&gt;"Biogas",SUMIFS('Forbrug af biomasse'!$E$2:$E$425,'Forbrug af biomasse'!$C$2:$C$425,'Resultat-Produktion &amp; forbrug'!$A17,'Forbrug af biomasse'!$D$2:$D$425,'Resultat-Produktion &amp; forbrug'!$E17,'Forbrug af biomasse'!$A$2:$A$425,'Resultat-Produktion &amp; forbrug'!M$3,'Forbrug af biomasse'!$B$2:$B$425,$F17),G17)</f>
        <v>0</v>
      </c>
      <c r="N17" s="94">
        <f>SUMIFS('Forbrug af biomasse'!E:E,'Forbrug af biomasse'!C:C,'Resultat-Produktion &amp; forbrug'!$A17,'Forbrug af biomasse'!D:D,'Resultat-Produktion &amp; forbrug'!$E17,'Forbrug af biomasse'!G:G,1,'Forbrug af biomasse'!B:B,$F17)</f>
        <v>0</v>
      </c>
      <c r="O17" s="179">
        <f t="shared" ref="O17:O82" si="10">G17-SUM(H17:N17)</f>
        <v>3451069.2602304816</v>
      </c>
      <c r="P17" s="94">
        <f t="shared" si="4"/>
        <v>3451069.2602304816</v>
      </c>
      <c r="Q17" s="180">
        <f t="shared" ref="Q17:Q82" si="11">SUM(K17,M17)</f>
        <v>75399.16825098735</v>
      </c>
      <c r="R17">
        <f>IFERROR(VLOOKUP(A17,[1]Energiindhold!$A$2:$C$11,3,FALSE),IFERROR(VLOOKUP(A17,[1]Biogasudbytte!$A$2:$B$18,2,FALSE)*[1]Energiindhold!$C$10,0))*P17</f>
        <v>6.3495360551665581</v>
      </c>
      <c r="S17">
        <f>IF(A17&lt;&gt;"Biogas",IFERROR(VLOOKUP(A17,[1]Biogasudbytte!$A$2:$B$18,2,FALSE)*[1]Energiindhold!$C$10,0)*K17*IFERROR(VLOOKUP(A17,Biogasanlæg!$F$3:$G$8,2,FALSE),1)+IFERROR(VLOOKUP(A17,[1]Energiindhold!$A$2:$C$11,3,FALSE),0)*M17+IF(E17&lt;&gt;År1,R17,0),0)</f>
        <v>0.13872504468578536</v>
      </c>
      <c r="T17">
        <f>IFERROR(VLOOKUP(A17,[1]Biogasudbytte!$A$2:$B$18,2,FALSE)*[1]Energiindhold!$C$10,0)*K17*IFERROR(VLOOKUP(A17,Biogasanlæg!$F$3:$G$8,2,FALSE),1)</f>
        <v>0.13872504468578536</v>
      </c>
      <c r="U17" s="170">
        <f t="shared" ref="U17:U82" si="12">S17-T17</f>
        <v>0</v>
      </c>
      <c r="V17" s="169">
        <f>P17*IFERROR(VLOOKUP(A17,[1]Tørstofindhold!A$2:B$24,2,FALSE),0)</f>
        <v>966299.39286453498</v>
      </c>
      <c r="W17">
        <f>IF(E17=År1,Q17,SUM(P17,Q17))*IFERROR(VLOOKUP(A17,[1]Tørstofindhold!A$2:B$24,2,FALSE),0)</f>
        <v>21111.767110276462</v>
      </c>
      <c r="X17">
        <f>K17*IFERROR(VLOOKUP(A17,[1]Tørstofindhold!A$2:B$24,2,FALSE),0)</f>
        <v>21111.767110276462</v>
      </c>
      <c r="Y17" s="170">
        <f t="shared" ref="Y17:Y82" si="13">W17-X17</f>
        <v>0</v>
      </c>
      <c r="Z17">
        <f t="shared" si="1"/>
        <v>0</v>
      </c>
      <c r="AA17">
        <f t="shared" si="2"/>
        <v>1</v>
      </c>
      <c r="AB17" s="94">
        <f t="shared" si="8"/>
        <v>3451069.2602304816</v>
      </c>
      <c r="AC17">
        <f>AB17*D17*10000*VLOOKUP(A17,[1]kcal!$A$2:$C$49,3,FALSE)/1000000000000</f>
        <v>0</v>
      </c>
    </row>
    <row r="18" spans="1:29" x14ac:dyDescent="0.25">
      <c r="A18" s="171" t="s">
        <v>203</v>
      </c>
      <c r="B18" s="171"/>
      <c r="C18" s="171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71">
        <v>0</v>
      </c>
      <c r="E18" s="171">
        <f t="shared" si="9"/>
        <v>2019</v>
      </c>
      <c r="F18" t="s">
        <v>23</v>
      </c>
      <c r="G18" s="94">
        <f>IF(F18="Vestdanmark",SUMIFS(IF(E18=År1,'Resultater - Vestdanmark'!H$3:H$504,IF(E18=År2,'Resultater - Vestdanmark'!I$3:I$504,'Resultater - Vestdanmark'!J$3:J$504)),'Resultater - Vestdanmark'!$F$3:$F$504,$A18,IF(E18=År1,'Resultater - Vestdanmark'!H$3:H$504,IF(E18=År2,'Resultater - Vestdanmark'!I$3:I$504,'Resultater - Vestdanmark'!J$3:J$504)),"&gt;0"),SUMIFS(IF(E18=År1,'Resultater - Østdanmark'!H$3:H$504,IF(E18=År2,'Resultater - Østdanmark'!I$3:I$504,'Resultater - Østdanmark'!J$3:J$504)),'Resultater - Østdanmark'!$F$3:$F$504,$A18,IF(E18=År1,'Resultater - Østdanmark'!H$3:H$504,IF(E18=År2,'Resultater - Østdanmark'!I$3:I$504,'Resultater - Østdanmark'!J$3:J$504)),"&gt;0"))</f>
        <v>0</v>
      </c>
      <c r="H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forbrug'!H$3,'Forbrug af biomasse'!$B$2:$B$425,$F18)</f>
        <v>0</v>
      </c>
      <c r="I18">
        <f>IF(F18="Vestdanmark",-IF(A18="Halm",SUMIFS(IF(E18=År1,'Resultater - Vestdanmark'!H$3:H$504,IF(E18=År2,'Resultater - Vestdanmark'!I$3:I$504,'Resultater - Vestdanmark'!J$3:J$504)),'Resultater - Vestdanmark'!$F$3:$F$504,$A18,'Resultater - Vestdanmark'!H$3:H$504,"&lt;0"),0),-IF(A18="Halm",SUMIFS(IF(E18=År1,'Resultater - Østdanmark'!H$3:H$504,IF(E18=År2,'Resultater - Østdanmark'!I$3:I$504,'Resultater - Østdanmark'!J$3:J$504)),'Resultater - Østdanmark'!$F$3:$F$504,$A18,'Resultater - Østdanmark'!H$3:H$504,"&lt;0"),0))</f>
        <v>0</v>
      </c>
      <c r="J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forbrug'!J$3,'Forbrug af biomasse'!$B$2:$B$425,$F18)</f>
        <v>0</v>
      </c>
      <c r="K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forbrug'!K$3,'Forbrug af biomasse'!$B$2:$B$425,$F18)</f>
        <v>0</v>
      </c>
      <c r="L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forbrug'!L$3,'Forbrug af biomasse'!$B$2:$B$425,$F18)</f>
        <v>0</v>
      </c>
      <c r="M18" s="94">
        <f>IF(A18&lt;&gt;"Biogas",SUMIFS('Forbrug af biomasse'!$E$2:$E$425,'Forbrug af biomasse'!$C$2:$C$425,'Resultat-Produktion &amp; forbrug'!$A18,'Forbrug af biomasse'!$D$2:$D$425,'Resultat-Produktion &amp; forbrug'!$E18,'Forbrug af biomasse'!$A$2:$A$425,'Resultat-Produktion &amp; forbrug'!M$3,'Forbrug af biomasse'!$B$2:$B$425,$F18),G18)</f>
        <v>0</v>
      </c>
      <c r="N18" s="94">
        <f>SUMIFS('Forbrug af biomasse'!E:E,'Forbrug af biomasse'!C:C,'Resultat-Produktion &amp; forbrug'!$A18,'Forbrug af biomasse'!D:D,'Resultat-Produktion &amp; forbrug'!$E18,'Forbrug af biomasse'!G:G,1,'Forbrug af biomasse'!B:B,$F18)</f>
        <v>0</v>
      </c>
      <c r="O18" s="179">
        <f t="shared" si="10"/>
        <v>0</v>
      </c>
      <c r="P18" s="94">
        <f t="shared" si="4"/>
        <v>0</v>
      </c>
      <c r="Q18" s="180">
        <f t="shared" si="11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IF(A18&lt;&gt;"Biogas",IFERROR(VLOOKUP(A18,[1]Biogasudbytte!$A$2:$B$18,2,FALSE)*[1]Energiindhold!$C$10,0)*K18*IFERROR(VLOOKUP(A18,Biogasanlæg!$F$3:$G$8,2,FALSE),1)+IFERROR(VLOOKUP(A18,[1]Energiindhold!$A$2:$C$11,3,FALSE),0)*M18+IF(E18&lt;&gt;År1,R18,0),0)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12"/>
        <v>0</v>
      </c>
      <c r="V18" s="169">
        <f>P18*IFERROR(VLOOKUP(A18,[1]Tørstofindhold!A$2:B$24,2,FALSE),0)</f>
        <v>0</v>
      </c>
      <c r="W18">
        <f>IF(E18=År1,Q18,SUM(P18,Q18))*IFERROR(VLOOKUP(A18,[1]Tørstofindhold!A$2:B$24,2,FALSE),0)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13"/>
        <v>0</v>
      </c>
      <c r="Z18">
        <f t="shared" si="1"/>
        <v>0</v>
      </c>
      <c r="AA18">
        <f t="shared" si="2"/>
        <v>0</v>
      </c>
      <c r="AB18" s="94">
        <f t="shared" si="8"/>
        <v>0</v>
      </c>
      <c r="AC18">
        <f>AB18*D18*10000*VLOOKUP(A18,[1]kcal!$A$2:$C$49,3,FALSE)/1000000000000</f>
        <v>0</v>
      </c>
    </row>
    <row r="19" spans="1:29" x14ac:dyDescent="0.25">
      <c r="A19" s="171" t="s">
        <v>6</v>
      </c>
      <c r="B19" s="171"/>
      <c r="C19" s="171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0</v>
      </c>
      <c r="D19" s="171">
        <v>1</v>
      </c>
      <c r="E19" s="171">
        <f t="shared" si="9"/>
        <v>2019</v>
      </c>
      <c r="F19" t="s">
        <v>23</v>
      </c>
      <c r="G19" s="94">
        <f>IF(F19="Vestdanmark",SUMIFS(IF(E19=År1,'Resultater - Vestdanmark'!H$3:H$504,IF(E19=År2,'Resultater - Vestdanmark'!I$3:I$504,'Resultater - Vestdanmark'!J$3:J$504)),'Resultater - Vestdanmark'!$F$3:$F$504,$A19,IF(E19=År1,'Resultater - Vestdanmark'!H$3:H$504,IF(E19=År2,'Resultater - Vestdanmark'!I$3:I$504,'Resultater - Vestdanmark'!J$3:J$504)),"&gt;0"),SUMIFS(IF(E19=År1,'Resultater - Østdanmark'!H$3:H$504,IF(E19=År2,'Resultater - Østdanmark'!I$3:I$504,'Resultater - Østdanmark'!J$3:J$504)),'Resultater - Østdanmark'!$F$3:$F$504,$A19,IF(E19=År1,'Resultater - Østdanmark'!H$3:H$504,IF(E19=År2,'Resultater - Østdanmark'!I$3:I$504,'Resultater - Østdanmark'!J$3:J$504)),"&gt;0"))</f>
        <v>185022.9677154524</v>
      </c>
      <c r="H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forbrug'!H$3,'Forbrug af biomasse'!$B$2:$B$425,$F19)</f>
        <v>0</v>
      </c>
      <c r="I19">
        <f>IF(F19="Vestdanmark",-IF(A19="Halm",SUMIFS(IF(E19=År1,'Resultater - Vestdanmark'!H$3:H$504,IF(E19=År2,'Resultater - Vestdanmark'!I$3:I$504,'Resultater - Vestdanmark'!J$3:J$504)),'Resultater - Vestdanmark'!$F$3:$F$504,$A19,'Resultater - Vestdanmark'!H$3:H$504,"&lt;0"),0),-IF(A19="Halm",SUMIFS(IF(E19=År1,'Resultater - Østdanmark'!H$3:H$504,IF(E19=År2,'Resultater - Østdanmark'!I$3:I$504,'Resultater - Østdanmark'!J$3:J$504)),'Resultater - Østdanmark'!$F$3:$F$504,$A19,'Resultater - Østdanmark'!H$3:H$504,"&lt;0"),0))</f>
        <v>0</v>
      </c>
      <c r="J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forbrug'!J$3,'Forbrug af biomasse'!$B$2:$B$425,$F19)</f>
        <v>261374.54615849949</v>
      </c>
      <c r="K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forbrug'!K$3,'Forbrug af biomasse'!$B$2:$B$425,$F19)</f>
        <v>0</v>
      </c>
      <c r="L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forbrug'!L$3,'Forbrug af biomasse'!$B$2:$B$425,$F19)</f>
        <v>0</v>
      </c>
      <c r="M19" s="94">
        <f>IF(A19&lt;&gt;"Biogas",SUMIFS('Forbrug af biomasse'!$E$2:$E$425,'Forbrug af biomasse'!$C$2:$C$425,'Resultat-Produktion &amp; forbrug'!$A19,'Forbrug af biomasse'!$D$2:$D$425,'Resultat-Produktion &amp; forbrug'!$E19,'Forbrug af biomasse'!$A$2:$A$425,'Resultat-Produktion &amp; forbrug'!M$3,'Forbrug af biomasse'!$B$2:$B$425,$F19),G19)</f>
        <v>0</v>
      </c>
      <c r="N19" s="94">
        <f>SUMIFS('Forbrug af biomasse'!E:E,'Forbrug af biomasse'!C:C,'Resultat-Produktion &amp; forbrug'!$A19,'Forbrug af biomasse'!D:D,'Resultat-Produktion &amp; forbrug'!$E19,'Forbrug af biomasse'!G:G,1,'Forbrug af biomasse'!B:B,$F19)</f>
        <v>0</v>
      </c>
      <c r="O19" s="179">
        <f t="shared" si="10"/>
        <v>-76351.578443047096</v>
      </c>
      <c r="P19" s="94">
        <f t="shared" si="4"/>
        <v>0</v>
      </c>
      <c r="Q19" s="180">
        <f t="shared" si="11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IF(A19&lt;&gt;"Biogas",IFERROR(VLOOKUP(A19,[1]Biogasudbytte!$A$2:$B$18,2,FALSE)*[1]Energiindhold!$C$10,0)*K19*IFERROR(VLOOKUP(A19,Biogasanlæg!$F$3:$G$8,2,FALSE),1)+IFERROR(VLOOKUP(A19,[1]Energiindhold!$A$2:$C$11,3,FALSE),0)*M19+IF(E19&lt;&gt;År1,R19,0),0)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12"/>
        <v>0</v>
      </c>
      <c r="V19" s="169">
        <f>P19*IFERROR(VLOOKUP(A19,[1]Tørstofindhold!A$2:B$24,2,FALSE),0)</f>
        <v>0</v>
      </c>
      <c r="W19">
        <f>IF(E19=År1,Q19,SUM(P19,Q19))*IFERROR(VLOOKUP(A19,[1]Tørstofindhold!A$2:B$24,2,FALSE),0)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13"/>
        <v>0</v>
      </c>
      <c r="Z19">
        <f t="shared" si="1"/>
        <v>1</v>
      </c>
      <c r="AA19">
        <f t="shared" si="2"/>
        <v>0</v>
      </c>
      <c r="AB19" s="94">
        <f t="shared" si="8"/>
        <v>185022.9677154524</v>
      </c>
      <c r="AC19">
        <f>AB19*D19*10000*VLOOKUP(A19,[1]kcal!$A$2:$C$49,3,FALSE)/1000000000000</f>
        <v>7.2158957409026434E-2</v>
      </c>
    </row>
    <row r="20" spans="1:29" x14ac:dyDescent="0.25">
      <c r="A20" s="171" t="s">
        <v>67</v>
      </c>
      <c r="B20" s="171" t="s">
        <v>227</v>
      </c>
      <c r="C20" s="171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71">
        <v>0</v>
      </c>
      <c r="E20" s="171">
        <f t="shared" si="9"/>
        <v>2019</v>
      </c>
      <c r="F20" t="s">
        <v>23</v>
      </c>
      <c r="G20" s="94">
        <f>IF(F20="Vestdanmark",SUMIFS(IF(E20=År1,'Resultater - Vestdanmark'!H$3:H$504,IF(E20=År2,'Resultater - Vestdanmark'!I$3:I$504,'Resultater - Vestdanmark'!J$3:J$504)),'Resultater - Vestdanmark'!$F$3:$F$504,$A20,IF(E20=År1,'Resultater - Vestdanmark'!H$3:H$504,IF(E20=År2,'Resultater - Vestdanmark'!I$3:I$504,'Resultater - Vestdanmark'!J$3:J$504)),"&gt;0"),SUMIFS(IF(E20=År1,'Resultater - Østdanmark'!H$3:H$504,IF(E20=År2,'Resultater - Østdanmark'!I$3:I$504,'Resultater - Østdanmark'!J$3:J$504)),'Resultater - Østdanmark'!$F$3:$F$504,$A20,IF(E20=År1,'Resultater - Østdanmark'!H$3:H$504,IF(E20=År2,'Resultater - Østdanmark'!I$3:I$504,'Resultater - Østdanmark'!J$3:J$504)),"&gt;0"))</f>
        <v>2717336.5701075909</v>
      </c>
      <c r="H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forbrug'!H$3,'Forbrug af biomasse'!$B$2:$B$425,$F20)</f>
        <v>773085.89354292618</v>
      </c>
      <c r="I20">
        <f>IF(F20="Vestdanmark",-IF(A20="Halm",SUMIFS(IF(E20=År1,'Resultater - Vestdanmark'!H$3:H$504,IF(E20=År2,'Resultater - Vestdanmark'!I$3:I$504,'Resultater - Vestdanmark'!J$3:J$504)),'Resultater - Vestdanmark'!$F$3:$F$504,$A20,'Resultater - Vestdanmark'!H$3:H$504,"&lt;0"),0),-IF(A20="Halm",SUMIFS(IF(E20=År1,'Resultater - Østdanmark'!H$3:H$504,IF(E20=År2,'Resultater - Østdanmark'!I$3:I$504,'Resultater - Østdanmark'!J$3:J$504)),'Resultater - Østdanmark'!$F$3:$F$504,$A20,'Resultater - Østdanmark'!H$3:H$504,"&lt;0"),0))</f>
        <v>728216.84089200001</v>
      </c>
      <c r="J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forbrug'!J$3,'Forbrug af biomasse'!$B$2:$B$425,$F20)</f>
        <v>0</v>
      </c>
      <c r="K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forbrug'!K$3,'Forbrug af biomasse'!$B$2:$B$425,$F20)</f>
        <v>53194.904606816119</v>
      </c>
      <c r="L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forbrug'!L$3,'Forbrug af biomasse'!$B$2:$B$425,$F20)</f>
        <v>0</v>
      </c>
      <c r="M20" s="94">
        <f>IF(A20&lt;&gt;"Biogas",SUMIFS('Forbrug af biomasse'!$E$2:$E$425,'Forbrug af biomasse'!$C$2:$C$425,'Resultat-Produktion &amp; forbrug'!$A20,'Forbrug af biomasse'!$D$2:$D$425,'Resultat-Produktion &amp; forbrug'!$E20,'Forbrug af biomasse'!$A$2:$A$425,'Resultat-Produktion &amp; forbrug'!M$3,'Forbrug af biomasse'!$B$2:$B$425,$F20),G20)</f>
        <v>1162838.9310658472</v>
      </c>
      <c r="N20" s="94">
        <f>SUMIFS('Forbrug af biomasse'!E:E,'Forbrug af biomasse'!C:C,'Resultat-Produktion &amp; forbrug'!$A20,'Forbrug af biomasse'!D:D,'Resultat-Produktion &amp; forbrug'!$E20,'Forbrug af biomasse'!G:G,1,'Forbrug af biomasse'!B:B,$F20)</f>
        <v>0</v>
      </c>
      <c r="O20" s="179">
        <f t="shared" si="10"/>
        <v>0</v>
      </c>
      <c r="P20" s="94">
        <f t="shared" si="4"/>
        <v>0</v>
      </c>
      <c r="Q20" s="180">
        <f t="shared" si="11"/>
        <v>1216033.8356726633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IF(A20&lt;&gt;"Biogas",IFERROR(VLOOKUP(A20,[1]Biogasudbytte!$A$2:$B$18,2,FALSE)*[1]Energiindhold!$C$10,0)*K20*IFERROR(VLOOKUP(A20,Biogasanlæg!$F$3:$G$8,2,FALSE),1)+IFERROR(VLOOKUP(A20,[1]Energiindhold!$A$2:$C$11,3,FALSE),0)*M20+IF(E20&lt;&gt;År1,R20,0),0)</f>
        <v>12.325575345409394</v>
      </c>
      <c r="T20">
        <f>IFERROR(VLOOKUP(A20,[1]Biogasudbytte!$A$2:$B$18,2,FALSE)*[1]Energiindhold!$C$10,0)*K20*IFERROR(VLOOKUP(A20,Biogasanlæg!$F$3:$G$8,2,FALSE),1)</f>
        <v>0.30669735030678263</v>
      </c>
      <c r="U20" s="170">
        <f t="shared" si="12"/>
        <v>12.018877995102612</v>
      </c>
      <c r="V20" s="169">
        <f>P20*IFERROR(VLOOKUP(A20,[1]Tørstofindhold!A$2:B$24,2,FALSE),0)</f>
        <v>0</v>
      </c>
      <c r="W20">
        <f>IF(E20=År1,Q20,SUM(P20,Q20))*IFERROR(VLOOKUP(A20,[1]Tørstofindhold!A$2:B$24,2,FALSE),0)</f>
        <v>1033628.7603217638</v>
      </c>
      <c r="X20">
        <f>K20*IFERROR(VLOOKUP(A20,[1]Tørstofindhold!A$2:B$24,2,FALSE),0)</f>
        <v>45215.6689157937</v>
      </c>
      <c r="Y20" s="170">
        <f t="shared" si="13"/>
        <v>988413.09140597016</v>
      </c>
      <c r="Z20">
        <f t="shared" si="1"/>
        <v>0</v>
      </c>
      <c r="AA20">
        <f t="shared" si="2"/>
        <v>0</v>
      </c>
      <c r="AB20" s="94">
        <f t="shared" si="8"/>
        <v>1162838.9310658486</v>
      </c>
      <c r="AC20">
        <f>AB20*D20*10000*VLOOKUP(A20,[1]kcal!$A$2:$C$49,3,FALSE)/1000000000000</f>
        <v>0</v>
      </c>
    </row>
    <row r="21" spans="1:29" x14ac:dyDescent="0.25">
      <c r="A21" s="171" t="s">
        <v>162</v>
      </c>
      <c r="B21" s="171" t="s">
        <v>230</v>
      </c>
      <c r="C21" s="171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1</v>
      </c>
      <c r="D21" s="171">
        <v>0</v>
      </c>
      <c r="E21" s="171">
        <f t="shared" si="9"/>
        <v>2019</v>
      </c>
      <c r="F21" t="s">
        <v>23</v>
      </c>
      <c r="G21" s="94">
        <f>IF(F21="Vestdanmark",SUMIFS(IF(E21=År1,'Resultater - Vestdanmark'!H$3:H$504,IF(E21=År2,'Resultater - Vestdanmark'!I$3:I$504,'Resultater - Vestdanmark'!J$3:J$504)),'Resultater - Vestdanmark'!$F$3:$F$504,$A21,IF(E21=År1,'Resultater - Vestdanmark'!H$3:H$504,IF(E21=År2,'Resultater - Vestdanmark'!I$3:I$504,'Resultater - Vestdanmark'!J$3:J$504)),"&gt;0"),SUMIFS(IF(E21=År1,'Resultater - Østdanmark'!H$3:H$504,IF(E21=År2,'Resultater - Østdanmark'!I$3:I$504,'Resultater - Østdanmark'!J$3:J$504)),'Resultater - Østdanmark'!$F$3:$F$504,$A21,IF(E21=År1,'Resultater - Østdanmark'!H$3:H$504,IF(E21=År2,'Resultater - Østdanmark'!I$3:I$504,'Resultater - Østdanmark'!J$3:J$504)),"&gt;0"))</f>
        <v>530462.48766233202</v>
      </c>
      <c r="H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forbrug'!H$3,'Forbrug af biomasse'!$B$2:$B$425,$F21)</f>
        <v>0</v>
      </c>
      <c r="I21">
        <f>IF(F21="Vestdanmark",-IF(A21="Halm",SUMIFS(IF(E21=År1,'Resultater - Vestdanmark'!H$3:H$504,IF(E21=År2,'Resultater - Vestdanmark'!I$3:I$504,'Resultater - Vestdanmark'!J$3:J$504)),'Resultater - Vestdanmark'!$F$3:$F$504,$A21,'Resultater - Vestdanmark'!H$3:H$504,"&lt;0"),0),-IF(A21="Halm",SUMIFS(IF(E21=År1,'Resultater - Østdanmark'!H$3:H$504,IF(E21=År2,'Resultater - Østdanmark'!I$3:I$504,'Resultater - Østdanmark'!J$3:J$504)),'Resultater - Østdanmark'!$F$3:$F$504,$A21,'Resultater - Østdanmark'!H$3:H$504,"&lt;0"),0))</f>
        <v>0</v>
      </c>
      <c r="J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forbrug'!J$3,'Forbrug af biomasse'!$B$2:$B$425,$F21)</f>
        <v>0</v>
      </c>
      <c r="K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forbrug'!K$3,'Forbrug af biomasse'!$B$2:$B$425,$F21)</f>
        <v>42.099811904105366</v>
      </c>
      <c r="L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forbrug'!L$3,'Forbrug af biomasse'!$B$2:$B$425,$F21)</f>
        <v>0</v>
      </c>
      <c r="M21" s="94">
        <f>IF(A21&lt;&gt;"Biogas",SUMIFS('Forbrug af biomasse'!$E$2:$E$425,'Forbrug af biomasse'!$C$2:$C$425,'Resultat-Produktion &amp; forbrug'!$A21,'Forbrug af biomasse'!$D$2:$D$425,'Resultat-Produktion &amp; forbrug'!$E21,'Forbrug af biomasse'!$A$2:$A$425,'Resultat-Produktion &amp; forbrug'!M$3,'Forbrug af biomasse'!$B$2:$B$425,$F21),G21)</f>
        <v>530420.38785042788</v>
      </c>
      <c r="N21" s="94">
        <f>SUMIFS('Forbrug af biomasse'!E:E,'Forbrug af biomasse'!C:C,'Resultat-Produktion &amp; forbrug'!$A21,'Forbrug af biomasse'!D:D,'Resultat-Produktion &amp; forbrug'!$E21,'Forbrug af biomasse'!G:G,1,'Forbrug af biomasse'!B:B,$F21)</f>
        <v>0</v>
      </c>
      <c r="O21" s="179">
        <f t="shared" si="10"/>
        <v>0</v>
      </c>
      <c r="P21" s="94">
        <f t="shared" si="4"/>
        <v>0</v>
      </c>
      <c r="Q21" s="180">
        <f t="shared" si="11"/>
        <v>530462.48766233202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IF(A21&lt;&gt;"Biogas",IFERROR(VLOOKUP(A21,[1]Biogasudbytte!$A$2:$B$18,2,FALSE)*[1]Energiindhold!$C$10,0)*K21*IFERROR(VLOOKUP(A21,Biogasanlæg!$F$3:$G$8,2,FALSE),1)+IFERROR(VLOOKUP(A21,[1]Energiindhold!$A$2:$C$11,3,FALSE),0)*M21+IF(E21&lt;&gt;År1,R21,0),0)</f>
        <v>9.4692532209947728</v>
      </c>
      <c r="T21">
        <f>IFERROR(VLOOKUP(A21,[1]Biogasudbytte!$A$2:$B$18,2,FALSE)*[1]Energiindhold!$C$10,0)*K21*IFERROR(VLOOKUP(A21,Biogasanlæg!$F$3:$G$8,2,FALSE),1)</f>
        <v>7.148842760000421E-5</v>
      </c>
      <c r="U21" s="170">
        <f t="shared" si="12"/>
        <v>9.4691817325671721</v>
      </c>
      <c r="V21" s="169">
        <f>P21*IFERROR(VLOOKUP(A21,[1]Tørstofindhold!A$2:B$24,2,FALSE),0)</f>
        <v>0</v>
      </c>
      <c r="W21">
        <f>IF(E21=År1,Q21,SUM(P21,Q21))*IFERROR(VLOOKUP(A21,[1]Tørstofindhold!A$2:B$24,2,FALSE),0)</f>
        <v>159138.74629869961</v>
      </c>
      <c r="X21">
        <f>K21*IFERROR(VLOOKUP(A21,[1]Tørstofindhold!A$2:B$24,2,FALSE),0)</f>
        <v>12.629943571231609</v>
      </c>
      <c r="Y21" s="170">
        <f t="shared" si="13"/>
        <v>159126.11635512838</v>
      </c>
      <c r="Z21">
        <f t="shared" si="1"/>
        <v>0</v>
      </c>
      <c r="AA21">
        <f t="shared" si="2"/>
        <v>0</v>
      </c>
      <c r="AB21" s="94">
        <f t="shared" si="8"/>
        <v>530420.38785042788</v>
      </c>
      <c r="AC21">
        <f>AB21*D21*10000*VLOOKUP(A21,[1]kcal!$A$2:$C$49,3,FALSE)/1000000000000</f>
        <v>0</v>
      </c>
    </row>
    <row r="22" spans="1:29" x14ac:dyDescent="0.25">
      <c r="A22" t="s">
        <v>159</v>
      </c>
      <c r="B22" s="171"/>
      <c r="C22" s="171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0</v>
      </c>
      <c r="D22" s="171">
        <v>1</v>
      </c>
      <c r="E22" s="171">
        <f t="shared" si="9"/>
        <v>2019</v>
      </c>
      <c r="F22" t="s">
        <v>23</v>
      </c>
      <c r="G22" s="94">
        <f>IF(F22="Vestdanmark",SUMIFS(IF(E22=År1,'Resultater - Vestdanmark'!H$3:H$504,IF(E22=År2,'Resultater - Vestdanmark'!I$3:I$504,'Resultater - Vestdanmark'!J$3:J$504)),'Resultater - Vestdanmark'!$F$3:$F$504,$A22,IF(E22=År1,'Resultater - Vestdanmark'!H$3:H$504,IF(E22=År2,'Resultater - Vestdanmark'!I$3:I$504,'Resultater - Vestdanmark'!J$3:J$504)),"&gt;0"),SUMIFS(IF(E22=År1,'Resultater - Østdanmark'!H$3:H$504,IF(E22=År2,'Resultater - Østdanmark'!I$3:I$504,'Resultater - Østdanmark'!J$3:J$504)),'Resultater - Østdanmark'!$F$3:$F$504,$A22,IF(E22=År1,'Resultater - Østdanmark'!H$3:H$504,IF(E22=År2,'Resultater - Østdanmark'!I$3:I$504,'Resultater - Østdanmark'!J$3:J$504)),"&gt;0"))</f>
        <v>0</v>
      </c>
      <c r="H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forbrug'!H$3,'Forbrug af biomasse'!$B$2:$B$425,$F22)</f>
        <v>4828427.5390456235</v>
      </c>
      <c r="I22">
        <f>IF(F22="Vestdanmark",-IF(A22="Halm",SUMIFS(IF(E22=År1,'Resultater - Vestdanmark'!H$3:H$504,IF(E22=År2,'Resultater - Vestdanmark'!I$3:I$504,'Resultater - Vestdanmark'!J$3:J$504)),'Resultater - Vestdanmark'!$F$3:$F$504,$A22,'Resultater - Vestdanmark'!H$3:H$504,"&lt;0"),0),-IF(A22="Halm",SUMIFS(IF(E22=År1,'Resultater - Østdanmark'!H$3:H$504,IF(E22=År2,'Resultater - Østdanmark'!I$3:I$504,'Resultater - Østdanmark'!J$3:J$504)),'Resultater - Østdanmark'!$F$3:$F$504,$A22,'Resultater - Østdanmark'!H$3:H$504,"&lt;0"),0))</f>
        <v>0</v>
      </c>
      <c r="J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forbrug'!J$3,'Forbrug af biomasse'!$B$2:$B$425,$F22)</f>
        <v>0</v>
      </c>
      <c r="K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forbrug'!K$3,'Forbrug af biomasse'!$B$2:$B$425,$F22)</f>
        <v>0</v>
      </c>
      <c r="L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forbrug'!L$3,'Forbrug af biomasse'!$B$2:$B$425,$F22)</f>
        <v>0</v>
      </c>
      <c r="M22" s="94">
        <f>IF(A22&lt;&gt;"Biogas",SUMIFS('Forbrug af biomasse'!$E$2:$E$425,'Forbrug af biomasse'!$C$2:$C$425,'Resultat-Produktion &amp; forbrug'!$A22,'Forbrug af biomasse'!$D$2:$D$425,'Resultat-Produktion &amp; forbrug'!$E22,'Forbrug af biomasse'!$A$2:$A$425,'Resultat-Produktion &amp; forbrug'!M$3,'Forbrug af biomasse'!$B$2:$B$425,$F22),G22)</f>
        <v>0</v>
      </c>
      <c r="N22" s="94">
        <f>SUMIFS('Forbrug af biomasse'!E:E,'Forbrug af biomasse'!C:C,'Resultat-Produktion &amp; forbrug'!$A22,'Forbrug af biomasse'!D:D,'Resultat-Produktion &amp; forbrug'!$E22,'Forbrug af biomasse'!G:G,1,'Forbrug af biomasse'!B:B,$F22)</f>
        <v>0</v>
      </c>
      <c r="O22" s="179">
        <f t="shared" si="10"/>
        <v>-4828427.5390456235</v>
      </c>
      <c r="P22" s="94">
        <f t="shared" si="4"/>
        <v>0</v>
      </c>
      <c r="Q22" s="180">
        <f t="shared" si="11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IF(A22&lt;&gt;"Biogas",IFERROR(VLOOKUP(A22,[1]Biogasudbytte!$A$2:$B$18,2,FALSE)*[1]Energiindhold!$C$10,0)*K22*IFERROR(VLOOKUP(A22,Biogasanlæg!$F$3:$G$8,2,FALSE),1)+IFERROR(VLOOKUP(A22,[1]Energiindhold!$A$2:$C$11,3,FALSE),0)*M22+IF(E22&lt;&gt;År1,R22,0),0)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12"/>
        <v>0</v>
      </c>
      <c r="V22" s="169">
        <f>P22*IFERROR(VLOOKUP(A22,[1]Tørstofindhold!A$2:B$24,2,FALSE),0)</f>
        <v>0</v>
      </c>
      <c r="W22">
        <f>IF(E22=År1,Q22,SUM(P22,Q22))*IFERROR(VLOOKUP(A22,[1]Tørstofindhold!A$2:B$24,2,FALSE),0)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13"/>
        <v>0</v>
      </c>
      <c r="Z22">
        <f t="shared" si="1"/>
        <v>1</v>
      </c>
      <c r="AA22">
        <f t="shared" si="2"/>
        <v>0</v>
      </c>
      <c r="AB22" s="94">
        <f t="shared" si="8"/>
        <v>-4828427.5390456235</v>
      </c>
      <c r="AC22">
        <f>AB22*D22*10000*VLOOKUP(A22,[1]kcal!$A$2:$C$49,3,FALSE)/1000000000000</f>
        <v>-2.7522036972560056</v>
      </c>
    </row>
    <row r="23" spans="1:29" x14ac:dyDescent="0.25">
      <c r="A23" s="171" t="s">
        <v>103</v>
      </c>
      <c r="B23" s="171" t="s">
        <v>230</v>
      </c>
      <c r="C23" s="171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1</v>
      </c>
      <c r="D23" s="171">
        <v>0</v>
      </c>
      <c r="E23" s="171">
        <f t="shared" si="9"/>
        <v>2019</v>
      </c>
      <c r="F23" t="s">
        <v>23</v>
      </c>
      <c r="G23" s="94">
        <f>IF(F23="Vestdanmark",SUMIFS(IF(E23=År1,'Resultater - Vestdanmark'!H$3:H$504,IF(E23=År2,'Resultater - Vestdanmark'!I$3:I$504,'Resultater - Vestdanmark'!J$3:J$504)),'Resultater - Vestdanmark'!$F$3:$F$504,$A23,IF(E23=År1,'Resultater - Vestdanmark'!H$3:H$504,IF(E23=År2,'Resultater - Vestdanmark'!I$3:I$504,'Resultater - Vestdanmark'!J$3:J$504)),"&gt;0"),SUMIFS(IF(E23=År1,'Resultater - Østdanmark'!H$3:H$504,IF(E23=År2,'Resultater - Østdanmark'!I$3:I$504,'Resultater - Østdanmark'!J$3:J$504)),'Resultater - Østdanmark'!$F$3:$F$504,$A23,IF(E23=År1,'Resultater - Østdanmark'!H$3:H$504,IF(E23=År2,'Resultater - Østdanmark'!I$3:I$504,'Resultater - Østdanmark'!J$3:J$504)),"&gt;0"))</f>
        <v>513042.22037196398</v>
      </c>
      <c r="H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forbrug'!H$3,'Forbrug af biomasse'!$B$2:$B$425,$F23)</f>
        <v>0</v>
      </c>
      <c r="I23">
        <f>IF(F23="Vestdanmark",-IF(A23="Halm",SUMIFS(IF(E23=År1,'Resultater - Vestdanmark'!H$3:H$504,IF(E23=År2,'Resultater - Vestdanmark'!I$3:I$504,'Resultater - Vestdanmark'!J$3:J$504)),'Resultater - Vestdanmark'!$F$3:$F$504,$A23,'Resultater - Vestdanmark'!H$3:H$504,"&lt;0"),0),-IF(A23="Halm",SUMIFS(IF(E23=År1,'Resultater - Østdanmark'!H$3:H$504,IF(E23=År2,'Resultater - Østdanmark'!I$3:I$504,'Resultater - Østdanmark'!J$3:J$504)),'Resultater - Østdanmark'!$F$3:$F$504,$A23,'Resultater - Østdanmark'!H$3:H$504,"&lt;0"),0))</f>
        <v>0</v>
      </c>
      <c r="J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forbrug'!J$3,'Forbrug af biomasse'!$B$2:$B$425,$F23)</f>
        <v>0</v>
      </c>
      <c r="K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forbrug'!K$3,'Forbrug af biomasse'!$B$2:$B$425,$F23)</f>
        <v>716103.75203569303</v>
      </c>
      <c r="L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forbrug'!L$3,'Forbrug af biomasse'!$B$2:$B$425,$F23)</f>
        <v>0</v>
      </c>
      <c r="M23" s="94">
        <f>IF(A23&lt;&gt;"Biogas",SUMIFS('Forbrug af biomasse'!$E$2:$E$425,'Forbrug af biomasse'!$C$2:$C$425,'Resultat-Produktion &amp; forbrug'!$A23,'Forbrug af biomasse'!$D$2:$D$425,'Resultat-Produktion &amp; forbrug'!$E23,'Forbrug af biomasse'!$A$2:$A$425,'Resultat-Produktion &amp; forbrug'!M$3,'Forbrug af biomasse'!$B$2:$B$425,$F23),G23)</f>
        <v>0</v>
      </c>
      <c r="N23" s="94">
        <f>SUMIFS('Forbrug af biomasse'!E:E,'Forbrug af biomasse'!C:C,'Resultat-Produktion &amp; forbrug'!$A23,'Forbrug af biomasse'!D:D,'Resultat-Produktion &amp; forbrug'!$E23,'Forbrug af biomasse'!G:G,1,'Forbrug af biomasse'!B:B,$F23)</f>
        <v>0</v>
      </c>
      <c r="O23" s="179">
        <f t="shared" si="10"/>
        <v>-203061.53166372905</v>
      </c>
      <c r="P23" s="94">
        <f t="shared" si="4"/>
        <v>0</v>
      </c>
      <c r="Q23" s="180">
        <f t="shared" si="11"/>
        <v>716103.75203569303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IF(A23&lt;&gt;"Biogas",IFERROR(VLOOKUP(A23,[1]Biogasudbytte!$A$2:$B$18,2,FALSE)*[1]Energiindhold!$C$10,0)*K23*IFERROR(VLOOKUP(A23,Biogasanlæg!$F$3:$G$8,2,FALSE),1)+IFERROR(VLOOKUP(A23,[1]Energiindhold!$A$2:$C$11,3,FALSE),0)*M23+IF(E23&lt;&gt;År1,R23,0),0)</f>
        <v>2.637525053399659</v>
      </c>
      <c r="T23">
        <f>IFERROR(VLOOKUP(A23,[1]Biogasudbytte!$A$2:$B$18,2,FALSE)*[1]Energiindhold!$C$10,0)*K23*IFERROR(VLOOKUP(A23,Biogasanlæg!$F$3:$G$8,2,FALSE),1)</f>
        <v>2.637525053399659</v>
      </c>
      <c r="U23" s="170">
        <f t="shared" si="12"/>
        <v>0</v>
      </c>
      <c r="V23" s="169">
        <f>P23*IFERROR(VLOOKUP(A23,[1]Tørstofindhold!A$2:B$24,2,FALSE),0)</f>
        <v>0</v>
      </c>
      <c r="W23">
        <f>IF(E23=År1,Q23,SUM(P23,Q23))*IFERROR(VLOOKUP(A23,[1]Tørstofindhold!A$2:B$24,2,FALSE),0)</f>
        <v>300763.57585499104</v>
      </c>
      <c r="X23">
        <f>K23*IFERROR(VLOOKUP(A23,[1]Tørstofindhold!A$2:B$24,2,FALSE),0)</f>
        <v>300763.57585499104</v>
      </c>
      <c r="Y23" s="170">
        <f t="shared" si="13"/>
        <v>0</v>
      </c>
      <c r="Z23">
        <f t="shared" si="1"/>
        <v>1</v>
      </c>
      <c r="AA23">
        <f t="shared" si="2"/>
        <v>0</v>
      </c>
      <c r="AB23" s="94">
        <f t="shared" si="8"/>
        <v>-203061.53166372905</v>
      </c>
      <c r="AC23">
        <f>AB23*D23*10000*VLOOKUP(A23,[1]kcal!$A$2:$C$49,3,FALSE)/1000000000000</f>
        <v>0</v>
      </c>
    </row>
    <row r="24" spans="1:29" x14ac:dyDescent="0.25">
      <c r="A24" s="171" t="s">
        <v>56</v>
      </c>
      <c r="B24" s="171"/>
      <c r="C24" s="171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71">
        <v>0</v>
      </c>
      <c r="E24" s="171">
        <f t="shared" si="9"/>
        <v>2019</v>
      </c>
      <c r="F24" t="s">
        <v>23</v>
      </c>
      <c r="G24" s="94">
        <f>IF(F24="Vestdanmark",SUMIFS(IF(E24=År1,'Resultater - Vestdanmark'!H$3:H$504,IF(E24=År2,'Resultater - Vestdanmark'!I$3:I$504,'Resultater - Vestdanmark'!J$3:J$504)),'Resultater - Vestdanmark'!$F$3:$F$504,$A24,IF(E24=År1,'Resultater - Vestdanmark'!H$3:H$504,IF(E24=År2,'Resultater - Vestdanmark'!I$3:I$504,'Resultater - Vestdanmark'!J$3:J$504)),"&gt;0"),SUMIFS(IF(E24=År1,'Resultater - Østdanmark'!H$3:H$504,IF(E24=År2,'Resultater - Østdanmark'!I$3:I$504,'Resultater - Østdanmark'!J$3:J$504)),'Resultater - Østdanmark'!$F$3:$F$504,$A24,IF(E24=År1,'Resultater - Østdanmark'!H$3:H$504,IF(E24=År2,'Resultater - Østdanmark'!I$3:I$504,'Resultater - Østdanmark'!J$3:J$504)),"&gt;0"))</f>
        <v>766472.09789043549</v>
      </c>
      <c r="H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forbrug'!H$3,'Forbrug af biomasse'!$B$2:$B$425,$F24)</f>
        <v>0</v>
      </c>
      <c r="I24">
        <f>IF(F24="Vestdanmark",-IF(A24="Halm",SUMIFS(IF(E24=År1,'Resultater - Vestdanmark'!H$3:H$504,IF(E24=År2,'Resultater - Vestdanmark'!I$3:I$504,'Resultater - Vestdanmark'!J$3:J$504)),'Resultater - Vestdanmark'!$F$3:$F$504,$A24,'Resultater - Vestdanmark'!H$3:H$504,"&lt;0"),0),-IF(A24="Halm",SUMIFS(IF(E24=År1,'Resultater - Østdanmark'!H$3:H$504,IF(E24=År2,'Resultater - Østdanmark'!I$3:I$504,'Resultater - Østdanmark'!J$3:J$504)),'Resultater - Østdanmark'!$F$3:$F$504,$A24,'Resultater - Østdanmark'!H$3:H$504,"&lt;0"),0))</f>
        <v>0</v>
      </c>
      <c r="J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forbrug'!J$3,'Forbrug af biomasse'!$B$2:$B$425,$F24)</f>
        <v>0</v>
      </c>
      <c r="K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forbrug'!K$3,'Forbrug af biomasse'!$B$2:$B$425,$F24)</f>
        <v>0</v>
      </c>
      <c r="L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forbrug'!L$3,'Forbrug af biomasse'!$B$2:$B$425,$F24)</f>
        <v>0</v>
      </c>
      <c r="M24" s="94">
        <f>IF(A24&lt;&gt;"Biogas",SUMIFS('Forbrug af biomasse'!$E$2:$E$425,'Forbrug af biomasse'!$C$2:$C$425,'Resultat-Produktion &amp; forbrug'!$A24,'Forbrug af biomasse'!$D$2:$D$425,'Resultat-Produktion &amp; forbrug'!$E24,'Forbrug af biomasse'!$A$2:$A$425,'Resultat-Produktion &amp; forbrug'!M$3,'Forbrug af biomasse'!$B$2:$B$425,$F24),G24)</f>
        <v>0</v>
      </c>
      <c r="N24" s="94">
        <f>SUMIFS('Forbrug af biomasse'!E:E,'Forbrug af biomasse'!C:C,'Resultat-Produktion &amp; forbrug'!$A24,'Forbrug af biomasse'!D:D,'Resultat-Produktion &amp; forbrug'!$E24,'Forbrug af biomasse'!G:G,1,'Forbrug af biomasse'!B:B,$F24)</f>
        <v>0</v>
      </c>
      <c r="O24" s="179">
        <f t="shared" si="10"/>
        <v>766472.09789043549</v>
      </c>
      <c r="P24" s="94">
        <f t="shared" si="4"/>
        <v>0</v>
      </c>
      <c r="Q24" s="180">
        <f t="shared" si="11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IF(A24&lt;&gt;"Biogas",IFERROR(VLOOKUP(A24,[1]Biogasudbytte!$A$2:$B$18,2,FALSE)*[1]Energiindhold!$C$10,0)*K24*IFERROR(VLOOKUP(A24,Biogasanlæg!$F$3:$G$8,2,FALSE),1)+IFERROR(VLOOKUP(A24,[1]Energiindhold!$A$2:$C$11,3,FALSE),0)*M24+IF(E24&lt;&gt;År1,R24,0),0)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12"/>
        <v>0</v>
      </c>
      <c r="V24" s="169">
        <f>P24*IFERROR(VLOOKUP(A24,[1]Tørstofindhold!A$2:B$24,2,FALSE),0)</f>
        <v>0</v>
      </c>
      <c r="W24">
        <f>IF(E24=År1,Q24,SUM(P24,Q24))*IFERROR(VLOOKUP(A24,[1]Tørstofindhold!A$2:B$24,2,FALSE),0)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13"/>
        <v>0</v>
      </c>
      <c r="Z24">
        <f t="shared" si="1"/>
        <v>0</v>
      </c>
      <c r="AA24">
        <f t="shared" si="2"/>
        <v>1</v>
      </c>
      <c r="AB24" s="94">
        <f t="shared" si="8"/>
        <v>766472.09789043549</v>
      </c>
      <c r="AC24">
        <f>AB24*D24*10000*VLOOKUP(A24,[1]kcal!$A$2:$C$49,3,FALSE)/1000000000000</f>
        <v>0</v>
      </c>
    </row>
    <row r="25" spans="1:29" x14ac:dyDescent="0.25">
      <c r="A25" s="171" t="s">
        <v>12</v>
      </c>
      <c r="B25" s="171"/>
      <c r="C25" s="171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0</v>
      </c>
      <c r="D25" s="171">
        <v>1</v>
      </c>
      <c r="E25" s="171">
        <f t="shared" si="9"/>
        <v>2019</v>
      </c>
      <c r="F25" t="s">
        <v>23</v>
      </c>
      <c r="G25" s="94">
        <f>IF(F25="Vestdanmark",SUMIFS(IF(E25=År1,'Resultater - Vestdanmark'!H$3:H$504,IF(E25=År2,'Resultater - Vestdanmark'!I$3:I$504,'Resultater - Vestdanmark'!J$3:J$504)),'Resultater - Vestdanmark'!$F$3:$F$504,$A25,IF(E25=År1,'Resultater - Vestdanmark'!H$3:H$504,IF(E25=År2,'Resultater - Vestdanmark'!I$3:I$504,'Resultater - Vestdanmark'!J$3:J$504)),"&gt;0"),SUMIFS(IF(E25=År1,'Resultater - Østdanmark'!H$3:H$504,IF(E25=År2,'Resultater - Østdanmark'!I$3:I$504,'Resultater - Østdanmark'!J$3:J$504)),'Resultater - Østdanmark'!$F$3:$F$504,$A25,IF(E25=År1,'Resultater - Østdanmark'!H$3:H$504,IF(E25=År2,'Resultater - Østdanmark'!I$3:I$504,'Resultater - Østdanmark'!J$3:J$504)),"&gt;0"))</f>
        <v>2146636.3631328358</v>
      </c>
      <c r="H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forbrug'!H$3,'Forbrug af biomasse'!$B$2:$B$425,$F25)</f>
        <v>0</v>
      </c>
      <c r="I25">
        <f>IF(F25="Vestdanmark",-IF(A25="Halm",SUMIFS(IF(E25=År1,'Resultater - Vestdanmark'!H$3:H$504,IF(E25=År2,'Resultater - Vestdanmark'!I$3:I$504,'Resultater - Vestdanmark'!J$3:J$504)),'Resultater - Vestdanmark'!$F$3:$F$504,$A25,'Resultater - Vestdanmark'!H$3:H$504,"&lt;0"),0),-IF(A25="Halm",SUMIFS(IF(E25=År1,'Resultater - Østdanmark'!H$3:H$504,IF(E25=År2,'Resultater - Østdanmark'!I$3:I$504,'Resultater - Østdanmark'!J$3:J$504)),'Resultater - Østdanmark'!$F$3:$F$504,$A25,'Resultater - Østdanmark'!H$3:H$504,"&lt;0"),0))</f>
        <v>0</v>
      </c>
      <c r="J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forbrug'!J$3,'Forbrug af biomasse'!$B$2:$B$425,$F25)</f>
        <v>119523.03367046962</v>
      </c>
      <c r="K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forbrug'!K$3,'Forbrug af biomasse'!$B$2:$B$425,$F25)</f>
        <v>0</v>
      </c>
      <c r="L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forbrug'!L$3,'Forbrug af biomasse'!$B$2:$B$425,$F25)</f>
        <v>0</v>
      </c>
      <c r="M25" s="94">
        <f>IF(A25&lt;&gt;"Biogas",SUMIFS('Forbrug af biomasse'!$E$2:$E$425,'Forbrug af biomasse'!$C$2:$C$425,'Resultat-Produktion &amp; forbrug'!$A25,'Forbrug af biomasse'!$D$2:$D$425,'Resultat-Produktion &amp; forbrug'!$E25,'Forbrug af biomasse'!$A$2:$A$425,'Resultat-Produktion &amp; forbrug'!M$3,'Forbrug af biomasse'!$B$2:$B$425,$F25),G25)</f>
        <v>0</v>
      </c>
      <c r="N25" s="94">
        <f>SUMIFS('Forbrug af biomasse'!E:E,'Forbrug af biomasse'!C:C,'Resultat-Produktion &amp; forbrug'!$A25,'Forbrug af biomasse'!D:D,'Resultat-Produktion &amp; forbrug'!$E25,'Forbrug af biomasse'!G:G,1,'Forbrug af biomasse'!B:B,$F25)</f>
        <v>0</v>
      </c>
      <c r="O25" s="179">
        <f t="shared" si="10"/>
        <v>2027113.3294623662</v>
      </c>
      <c r="P25" s="94">
        <f t="shared" si="4"/>
        <v>0</v>
      </c>
      <c r="Q25" s="180">
        <f t="shared" si="11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IF(A25&lt;&gt;"Biogas",IFERROR(VLOOKUP(A25,[1]Biogasudbytte!$A$2:$B$18,2,FALSE)*[1]Energiindhold!$C$10,0)*K25*IFERROR(VLOOKUP(A25,Biogasanlæg!$F$3:$G$8,2,FALSE),1)+IFERROR(VLOOKUP(A25,[1]Energiindhold!$A$2:$C$11,3,FALSE),0)*M25+IF(E25&lt;&gt;År1,R25,0),0)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12"/>
        <v>0</v>
      </c>
      <c r="V25" s="169">
        <f>P25*IFERROR(VLOOKUP(A25,[1]Tørstofindhold!A$2:B$24,2,FALSE),0)</f>
        <v>0</v>
      </c>
      <c r="W25">
        <f>IF(E25=År1,Q25,SUM(P25,Q25))*IFERROR(VLOOKUP(A25,[1]Tørstofindhold!A$2:B$24,2,FALSE),0)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13"/>
        <v>0</v>
      </c>
      <c r="Z25">
        <f t="shared" si="1"/>
        <v>0</v>
      </c>
      <c r="AA25">
        <f t="shared" si="2"/>
        <v>1</v>
      </c>
      <c r="AB25" s="94">
        <f t="shared" si="8"/>
        <v>2146636.3631328358</v>
      </c>
      <c r="AC25">
        <f>AB25*D25*10000*VLOOKUP(A25,[1]kcal!$A$2:$C$49,3,FALSE)/1000000000000</f>
        <v>1.6743763632436117</v>
      </c>
    </row>
    <row r="26" spans="1:29" x14ac:dyDescent="0.25">
      <c r="A26" s="171" t="s">
        <v>48</v>
      </c>
      <c r="B26" s="171" t="s">
        <v>227</v>
      </c>
      <c r="C26" s="171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1</v>
      </c>
      <c r="D26" s="171">
        <v>1</v>
      </c>
      <c r="E26" s="171">
        <f t="shared" si="9"/>
        <v>2019</v>
      </c>
      <c r="F26" t="s">
        <v>23</v>
      </c>
      <c r="G26" s="94">
        <f>IF(F26="Vestdanmark",SUMIFS(IF(E26=År1,'Resultater - Vestdanmark'!H$3:H$504,IF(E26=År2,'Resultater - Vestdanmark'!I$3:I$504,'Resultater - Vestdanmark'!J$3:J$504)),'Resultater - Vestdanmark'!$F$3:$F$504,$A26,IF(E26=År1,'Resultater - Vestdanmark'!H$3:H$504,IF(E26=År2,'Resultater - Vestdanmark'!I$3:I$504,'Resultater - Vestdanmark'!J$3:J$504)),"&gt;0"),SUMIFS(IF(E26=År1,'Resultater - Østdanmark'!H$3:H$504,IF(E26=År2,'Resultater - Østdanmark'!I$3:I$504,'Resultater - Østdanmark'!J$3:J$504)),'Resultater - Østdanmark'!$F$3:$F$504,$A26,IF(E26=År1,'Resultater - Østdanmark'!H$3:H$504,IF(E26=År2,'Resultater - Østdanmark'!I$3:I$504,'Resultater - Østdanmark'!J$3:J$504)),"&gt;0"))</f>
        <v>6843435.2641521301</v>
      </c>
      <c r="H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forbrug'!H$3,'Forbrug af biomasse'!$B$2:$B$425,$F26)</f>
        <v>5879215.2019956242</v>
      </c>
      <c r="I26">
        <f>IF(F26="Vestdanmark",-IF(A26="Halm",SUMIFS(IF(E26=År1,'Resultater - Vestdanmark'!H$3:H$504,IF(E26=År2,'Resultater - Vestdanmark'!I$3:I$504,'Resultater - Vestdanmark'!J$3:J$504)),'Resultater - Vestdanmark'!$F$3:$F$504,$A26,'Resultater - Vestdanmark'!H$3:H$504,"&lt;0"),0),-IF(A26="Halm",SUMIFS(IF(E26=År1,'Resultater - Østdanmark'!H$3:H$504,IF(E26=År2,'Resultater - Østdanmark'!I$3:I$504,'Resultater - Østdanmark'!J$3:J$504)),'Resultater - Østdanmark'!$F$3:$F$504,$A26,'Resultater - Østdanmark'!H$3:H$504,"&lt;0"),0))</f>
        <v>0</v>
      </c>
      <c r="J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forbrug'!J$3,'Forbrug af biomasse'!$B$2:$B$425,$F26)</f>
        <v>286329.90483694919</v>
      </c>
      <c r="K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forbrug'!K$3,'Forbrug af biomasse'!$B$2:$B$425,$F26)</f>
        <v>2843.3935258054057</v>
      </c>
      <c r="L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forbrug'!L$3,'Forbrug af biomasse'!$B$2:$B$425,$F26)</f>
        <v>0</v>
      </c>
      <c r="M26" s="94">
        <f>IF(A26&lt;&gt;"Biogas",SUMIFS('Forbrug af biomasse'!$E$2:$E$425,'Forbrug af biomasse'!$C$2:$C$425,'Resultat-Produktion &amp; forbrug'!$A26,'Forbrug af biomasse'!$D$2:$D$425,'Resultat-Produktion &amp; forbrug'!$E26,'Forbrug af biomasse'!$A$2:$A$425,'Resultat-Produktion &amp; forbrug'!M$3,'Forbrug af biomasse'!$B$2:$B$425,$F26),G26)</f>
        <v>0</v>
      </c>
      <c r="N26" s="94">
        <f>SUMIFS('Forbrug af biomasse'!E:E,'Forbrug af biomasse'!C:C,'Resultat-Produktion &amp; forbrug'!$A26,'Forbrug af biomasse'!D:D,'Resultat-Produktion &amp; forbrug'!$E26,'Forbrug af biomasse'!G:G,1,'Forbrug af biomasse'!B:B,$F26)</f>
        <v>0</v>
      </c>
      <c r="O26" s="179">
        <f t="shared" si="10"/>
        <v>675046.7637937516</v>
      </c>
      <c r="P26" s="94">
        <f t="shared" si="4"/>
        <v>675046.7637937516</v>
      </c>
      <c r="Q26" s="180">
        <f t="shared" si="11"/>
        <v>2843.3935258054057</v>
      </c>
      <c r="R26">
        <f>IFERROR(VLOOKUP(A26,[1]Energiindhold!$A$2:$C$11,3,FALSE),IFERROR(VLOOKUP(A26,[1]Biogasudbytte!$A$2:$B$18,2,FALSE)*[1]Energiindhold!$C$10,0))*P26</f>
        <v>2.3119406594466687</v>
      </c>
      <c r="S26">
        <f>IF(A26&lt;&gt;"Biogas",IFERROR(VLOOKUP(A26,[1]Biogasudbytte!$A$2:$B$18,2,FALSE)*[1]Energiindhold!$C$10,0)*K26*IFERROR(VLOOKUP(A26,Biogasanlæg!$F$3:$G$8,2,FALSE),1)+IFERROR(VLOOKUP(A26,[1]Energiindhold!$A$2:$C$11,3,FALSE),0)*M26+IF(E26&lt;&gt;År1,R26,0),0)</f>
        <v>9.7382247507899044E-3</v>
      </c>
      <c r="T26">
        <f>IFERROR(VLOOKUP(A26,[1]Biogasudbytte!$A$2:$B$18,2,FALSE)*[1]Energiindhold!$C$10,0)*K26*IFERROR(VLOOKUP(A26,Biogasanlæg!$F$3:$G$8,2,FALSE),1)</f>
        <v>9.7382247507899044E-3</v>
      </c>
      <c r="U26" s="170">
        <f t="shared" si="12"/>
        <v>0</v>
      </c>
      <c r="V26" s="169">
        <f>P26*IFERROR(VLOOKUP(A26,[1]Tørstofindhold!A$2:B$24,2,FALSE),0)</f>
        <v>209264.496776063</v>
      </c>
      <c r="W26">
        <f>IF(E26=År1,Q26,SUM(P26,Q26))*IFERROR(VLOOKUP(A26,[1]Tørstofindhold!A$2:B$24,2,FALSE),0)</f>
        <v>881.45199299967578</v>
      </c>
      <c r="X26">
        <f>K26*IFERROR(VLOOKUP(A26,[1]Tørstofindhold!A$2:B$24,2,FALSE),0)</f>
        <v>881.45199299967578</v>
      </c>
      <c r="Y26" s="170">
        <f t="shared" si="13"/>
        <v>0</v>
      </c>
      <c r="Z26">
        <f t="shared" si="1"/>
        <v>0</v>
      </c>
      <c r="AA26">
        <f t="shared" si="2"/>
        <v>1</v>
      </c>
      <c r="AB26" s="94">
        <f t="shared" si="8"/>
        <v>961376.66863070056</v>
      </c>
      <c r="AC26">
        <f>AB26*D26*10000*VLOOKUP(A26,[1]kcal!$A$2:$C$49,3,FALSE)/1000000000000</f>
        <v>3.5186386071883637</v>
      </c>
    </row>
    <row r="27" spans="1:29" x14ac:dyDescent="0.25">
      <c r="A27" s="171" t="s">
        <v>115</v>
      </c>
      <c r="B27" s="171"/>
      <c r="C27" s="171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0</v>
      </c>
      <c r="D27" s="171">
        <v>0</v>
      </c>
      <c r="E27" s="171">
        <f t="shared" si="9"/>
        <v>2019</v>
      </c>
      <c r="F27" t="s">
        <v>23</v>
      </c>
      <c r="G27" s="94">
        <f>IF(F27="Vestdanmark",SUMIFS(IF(E27=År1,'Resultater - Vestdanmark'!H$3:H$504,IF(E27=År2,'Resultater - Vestdanmark'!I$3:I$504,'Resultater - Vestdanmark'!J$3:J$504)),'Resultater - Vestdanmark'!$F$3:$F$504,$A27,IF(E27=År1,'Resultater - Vestdanmark'!H$3:H$504,IF(E27=År2,'Resultater - Vestdanmark'!I$3:I$504,'Resultater - Vestdanmark'!J$3:J$504)),"&gt;0"),SUMIFS(IF(E27=År1,'Resultater - Østdanmark'!H$3:H$504,IF(E27=År2,'Resultater - Østdanmark'!I$3:I$504,'Resultater - Østdanmark'!J$3:J$504)),'Resultater - Østdanmark'!$F$3:$F$504,$A27,IF(E27=År1,'Resultater - Østdanmark'!H$3:H$504,IF(E27=År2,'Resultater - Østdanmark'!I$3:I$504,'Resultater - Østdanmark'!J$3:J$504)),"&gt;0"))</f>
        <v>0</v>
      </c>
      <c r="H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forbrug'!H$3,'Forbrug af biomasse'!$B$2:$B$425,$F27)</f>
        <v>0</v>
      </c>
      <c r="I27">
        <f>IF(F27="Vestdanmark",-IF(A27="Halm",SUMIFS(IF(E27=År1,'Resultater - Vestdanmark'!H$3:H$504,IF(E27=År2,'Resultater - Vestdanmark'!I$3:I$504,'Resultater - Vestdanmark'!J$3:J$504)),'Resultater - Vestdanmark'!$F$3:$F$504,$A27,'Resultater - Vestdanmark'!H$3:H$504,"&lt;0"),0),-IF(A27="Halm",SUMIFS(IF(E27=År1,'Resultater - Østdanmark'!H$3:H$504,IF(E27=År2,'Resultater - Østdanmark'!I$3:I$504,'Resultater - Østdanmark'!J$3:J$504)),'Resultater - Østdanmark'!$F$3:$F$504,$A27,'Resultater - Østdanmark'!H$3:H$504,"&lt;0"),0))</f>
        <v>0</v>
      </c>
      <c r="J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forbrug'!J$3,'Forbrug af biomasse'!$B$2:$B$425,$F27)</f>
        <v>0</v>
      </c>
      <c r="K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forbrug'!K$3,'Forbrug af biomasse'!$B$2:$B$425,$F27)</f>
        <v>0</v>
      </c>
      <c r="L27" s="94">
        <f ca="1">SUMIFS('Forbrug af biomasse'!$E$2:$E$425,'Forbrug af biomasse'!$C$2:$C$425,'Resultat-Produktion &amp; forbrug'!$A27,'Forbrug af biomasse'!$D$2:$D$425,'Resultat-Produktion &amp; forbrug'!$E27,'Forbrug af biomasse'!$A$2:$A$425,'Resultat-Produktion &amp; forbrug'!L$3,'Forbrug af biomasse'!$B$2:$B$425,$F27)</f>
        <v>569996.93502990273</v>
      </c>
      <c r="M27" s="94">
        <f>IF(A27&lt;&gt;"Biogas",SUMIFS('Forbrug af biomasse'!$E$2:$E$425,'Forbrug af biomasse'!$C$2:$C$425,'Resultat-Produktion &amp; forbrug'!$A27,'Forbrug af biomasse'!$D$2:$D$425,'Resultat-Produktion &amp; forbrug'!$E27,'Forbrug af biomasse'!$A$2:$A$425,'Resultat-Produktion &amp; forbrug'!M$3,'Forbrug af biomasse'!$B$2:$B$425,$F27),G27)</f>
        <v>0</v>
      </c>
      <c r="N27" s="94">
        <f>SUMIFS('Forbrug af biomasse'!E:E,'Forbrug af biomasse'!C:C,'Resultat-Produktion &amp; forbrug'!$A27,'Forbrug af biomasse'!D:D,'Resultat-Produktion &amp; forbrug'!$E27,'Forbrug af biomasse'!G:G,1,'Forbrug af biomasse'!B:B,$F27)</f>
        <v>0</v>
      </c>
      <c r="O27" s="179">
        <f t="shared" ca="1" si="10"/>
        <v>-569996.93502990273</v>
      </c>
      <c r="P27" s="94">
        <f t="shared" si="4"/>
        <v>0</v>
      </c>
      <c r="Q27" s="180">
        <f t="shared" si="11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IF(A27&lt;&gt;"Biogas",IFERROR(VLOOKUP(A27,[1]Biogasudbytte!$A$2:$B$18,2,FALSE)*[1]Energiindhold!$C$10,0)*K27*IFERROR(VLOOKUP(A27,Biogasanlæg!$F$3:$G$8,2,FALSE),1)+IFERROR(VLOOKUP(A27,[1]Energiindhold!$A$2:$C$11,3,FALSE),0)*M27+IF(E27&lt;&gt;År1,R27,0),0)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12"/>
        <v>0</v>
      </c>
      <c r="V27" s="169">
        <f>P27*IFERROR(VLOOKUP(A27,[1]Tørstofindhold!A$2:B$24,2,FALSE),0)</f>
        <v>0</v>
      </c>
      <c r="W27">
        <f>IF(E27=År1,Q27,SUM(P27,Q27))*IFERROR(VLOOKUP(A27,[1]Tørstofindhold!A$2:B$24,2,FALSE),0)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13"/>
        <v>0</v>
      </c>
      <c r="Z27">
        <f t="shared" ca="1" si="1"/>
        <v>1</v>
      </c>
      <c r="AA27">
        <f t="shared" ca="1" si="2"/>
        <v>0</v>
      </c>
      <c r="AB27" s="94">
        <f t="shared" ca="1" si="8"/>
        <v>-569996.93502990273</v>
      </c>
      <c r="AC27">
        <f ca="1">AB27*D27*10000*VLOOKUP(A27,[1]kcal!$A$2:$C$49,3,FALSE)/1000000000000</f>
        <v>0</v>
      </c>
    </row>
    <row r="28" spans="1:29" x14ac:dyDescent="0.25">
      <c r="A28" s="171" t="s">
        <v>136</v>
      </c>
      <c r="B28" s="171" t="s">
        <v>222</v>
      </c>
      <c r="C28" s="171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1</v>
      </c>
      <c r="D28" s="171">
        <v>0</v>
      </c>
      <c r="E28" s="171">
        <f t="shared" si="9"/>
        <v>2019</v>
      </c>
      <c r="F28" t="s">
        <v>23</v>
      </c>
      <c r="G28" s="94">
        <f>IF(F28="Vestdanmark",SUMIFS(IF(E28=År1,'Resultater - Vestdanmark'!H$3:H$504,IF(E28=År2,'Resultater - Vestdanmark'!I$3:I$504,'Resultater - Vestdanmark'!J$3:J$504)),'Resultater - Vestdanmark'!$F$3:$F$504,$A28,IF(E28=År1,'Resultater - Vestdanmark'!H$3:H$504,IF(E28=År2,'Resultater - Vestdanmark'!I$3:I$504,'Resultater - Vestdanmark'!J$3:J$504)),"&gt;0"),SUMIFS(IF(E28=År1,'Resultater - Østdanmark'!H$3:H$504,IF(E28=År2,'Resultater - Østdanmark'!I$3:I$504,'Resultater - Østdanmark'!J$3:J$504)),'Resultater - Østdanmark'!$F$3:$F$504,$A28,IF(E28=År1,'Resultater - Østdanmark'!H$3:H$504,IF(E28=År2,'Resultater - Østdanmark'!I$3:I$504,'Resultater - Østdanmark'!J$3:J$504)),"&gt;0"))</f>
        <v>13124915.780770566</v>
      </c>
      <c r="H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forbrug'!H$3,'Forbrug af biomasse'!$B$2:$B$425,$F28)</f>
        <v>0</v>
      </c>
      <c r="I28">
        <f>IF(F28="Vestdanmark",-IF(A28="Halm",SUMIFS(IF(E28=År1,'Resultater - Vestdanmark'!H$3:H$504,IF(E28=År2,'Resultater - Vestdanmark'!I$3:I$504,'Resultater - Vestdanmark'!J$3:J$504)),'Resultater - Vestdanmark'!$F$3:$F$504,$A28,'Resultater - Vestdanmark'!H$3:H$504,"&lt;0"),0),-IF(A28="Halm",SUMIFS(IF(E28=År1,'Resultater - Østdanmark'!H$3:H$504,IF(E28=År2,'Resultater - Østdanmark'!I$3:I$504,'Resultater - Østdanmark'!J$3:J$504)),'Resultater - Østdanmark'!$F$3:$F$504,$A28,'Resultater - Østdanmark'!H$3:H$504,"&lt;0"),0))</f>
        <v>0</v>
      </c>
      <c r="J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forbrug'!J$3,'Forbrug af biomasse'!$B$2:$B$425,$F28)</f>
        <v>0</v>
      </c>
      <c r="K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forbrug'!K$3,'Forbrug af biomasse'!$B$2:$B$425,$F28)</f>
        <v>4066864.6068164087</v>
      </c>
      <c r="L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forbrug'!L$3,'Forbrug af biomasse'!$B$2:$B$425,$F28)</f>
        <v>9058051.1739541572</v>
      </c>
      <c r="M28" s="94">
        <f>IF(A28&lt;&gt;"Biogas",SUMIFS('Forbrug af biomasse'!$E$2:$E$425,'Forbrug af biomasse'!$C$2:$C$425,'Resultat-Produktion &amp; forbrug'!$A28,'Forbrug af biomasse'!$D$2:$D$425,'Resultat-Produktion &amp; forbrug'!$E28,'Forbrug af biomasse'!$A$2:$A$425,'Resultat-Produktion &amp; forbrug'!M$3,'Forbrug af biomasse'!$B$2:$B$425,$F28),G28)</f>
        <v>0</v>
      </c>
      <c r="N28" s="94">
        <f>SUMIFS('Forbrug af biomasse'!E:E,'Forbrug af biomasse'!C:C,'Resultat-Produktion &amp; forbrug'!$A28,'Forbrug af biomasse'!D:D,'Resultat-Produktion &amp; forbrug'!$E28,'Forbrug af biomasse'!G:G,1,'Forbrug af biomasse'!B:B,$F28)</f>
        <v>0</v>
      </c>
      <c r="O28" s="179">
        <f t="shared" si="10"/>
        <v>0</v>
      </c>
      <c r="P28" s="94">
        <f t="shared" si="4"/>
        <v>0</v>
      </c>
      <c r="Q28" s="180">
        <f t="shared" si="11"/>
        <v>4066864.6068164087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IF(A28&lt;&gt;"Biogas",IFERROR(VLOOKUP(A28,[1]Biogasudbytte!$A$2:$B$18,2,FALSE)*[1]Energiindhold!$C$10,0)*K28*IFERROR(VLOOKUP(A28,Biogasanlæg!$F$3:$G$8,2,FALSE),1)+IFERROR(VLOOKUP(A28,[1]Energiindhold!$A$2:$C$11,3,FALSE),0)*M28+IF(E28&lt;&gt;År1,R28,0),0)</f>
        <v>2.0586061953243981</v>
      </c>
      <c r="T28">
        <f>IFERROR(VLOOKUP(A28,[1]Biogasudbytte!$A$2:$B$18,2,FALSE)*[1]Energiindhold!$C$10,0)*K28*IFERROR(VLOOKUP(A28,Biogasanlæg!$F$3:$G$8,2,FALSE),1)</f>
        <v>2.0586061953243981</v>
      </c>
      <c r="U28" s="170">
        <f t="shared" si="12"/>
        <v>0</v>
      </c>
      <c r="V28" s="169">
        <f>P28*IFERROR(VLOOKUP(A28,[1]Tørstofindhold!A$2:B$24,2,FALSE),0)</f>
        <v>0</v>
      </c>
      <c r="W28">
        <f>IF(E28=År1,Q28,SUM(P28,Q28))*IFERROR(VLOOKUP(A28,[1]Tørstofindhold!A$2:B$24,2,FALSE),0)</f>
        <v>309081.71011804708</v>
      </c>
      <c r="X28">
        <f>K28*IFERROR(VLOOKUP(A28,[1]Tørstofindhold!A$2:B$24,2,FALSE),0)</f>
        <v>309081.71011804708</v>
      </c>
      <c r="Y28" s="170">
        <f t="shared" si="13"/>
        <v>0</v>
      </c>
      <c r="Z28">
        <f t="shared" si="1"/>
        <v>0</v>
      </c>
      <c r="AA28">
        <f t="shared" si="2"/>
        <v>0</v>
      </c>
      <c r="AB28" s="94">
        <f t="shared" si="8"/>
        <v>0</v>
      </c>
      <c r="AC28">
        <f>AB28*D28*10000*VLOOKUP(A28,[1]kcal!$A$2:$C$49,3,FALSE)/1000000000000</f>
        <v>0</v>
      </c>
    </row>
    <row r="29" spans="1:29" x14ac:dyDescent="0.25">
      <c r="A29" s="171" t="s">
        <v>108</v>
      </c>
      <c r="B29" s="171"/>
      <c r="C29" s="171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0</v>
      </c>
      <c r="D29" s="171">
        <v>0</v>
      </c>
      <c r="E29" s="171">
        <f t="shared" si="9"/>
        <v>2019</v>
      </c>
      <c r="F29" t="s">
        <v>23</v>
      </c>
      <c r="G29" s="94">
        <f>IF(F29="Vestdanmark",SUMIFS(IF(E29=År1,'Resultater - Vestdanmark'!H$3:H$504,IF(E29=År2,'Resultater - Vestdanmark'!I$3:I$504,'Resultater - Vestdanmark'!J$3:J$504)),'Resultater - Vestdanmark'!$F$3:$F$504,$A29,IF(E29=År1,'Resultater - Vestdanmark'!H$3:H$504,IF(E29=År2,'Resultater - Vestdanmark'!I$3:I$504,'Resultater - Vestdanmark'!J$3:J$504)),"&gt;0"),SUMIFS(IF(E29=År1,'Resultater - Østdanmark'!H$3:H$504,IF(E29=År2,'Resultater - Østdanmark'!I$3:I$504,'Resultater - Østdanmark'!J$3:J$504)),'Resultater - Østdanmark'!$F$3:$F$504,$A29,IF(E29=År1,'Resultater - Østdanmark'!H$3:H$504,IF(E29=År2,'Resultater - Østdanmark'!I$3:I$504,'Resultater - Østdanmark'!J$3:J$504)),"&gt;0"))</f>
        <v>1638157.7192038004</v>
      </c>
      <c r="H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forbrug'!H$3,'Forbrug af biomasse'!$B$2:$B$425,$F29)</f>
        <v>1515714.1736670118</v>
      </c>
      <c r="I29">
        <f>IF(F29="Vestdanmark",-IF(A29="Halm",SUMIFS(IF(E29=År1,'Resultater - Vestdanmark'!H$3:H$504,IF(E29=År2,'Resultater - Vestdanmark'!I$3:I$504,'Resultater - Vestdanmark'!J$3:J$504)),'Resultater - Vestdanmark'!$F$3:$F$504,$A29,'Resultater - Vestdanmark'!H$3:H$504,"&lt;0"),0),-IF(A29="Halm",SUMIFS(IF(E29=År1,'Resultater - Østdanmark'!H$3:H$504,IF(E29=År2,'Resultater - Østdanmark'!I$3:I$504,'Resultater - Østdanmark'!J$3:J$504)),'Resultater - Østdanmark'!$F$3:$F$504,$A29,'Resultater - Østdanmark'!H$3:H$504,"&lt;0"),0))</f>
        <v>0</v>
      </c>
      <c r="J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forbrug'!J$3,'Forbrug af biomasse'!$B$2:$B$425,$F29)</f>
        <v>0</v>
      </c>
      <c r="K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forbrug'!K$3,'Forbrug af biomasse'!$B$2:$B$425,$F29)</f>
        <v>0</v>
      </c>
      <c r="L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forbrug'!L$3,'Forbrug af biomasse'!$B$2:$B$425,$F29)</f>
        <v>0</v>
      </c>
      <c r="M29" s="94">
        <f>IF(A29&lt;&gt;"Biogas",SUMIFS('Forbrug af biomasse'!$E$2:$E$425,'Forbrug af biomasse'!$C$2:$C$425,'Resultat-Produktion &amp; forbrug'!$A29,'Forbrug af biomasse'!$D$2:$D$425,'Resultat-Produktion &amp; forbrug'!$E29,'Forbrug af biomasse'!$A$2:$A$425,'Resultat-Produktion &amp; forbrug'!M$3,'Forbrug af biomasse'!$B$2:$B$425,$F29),G29)</f>
        <v>0</v>
      </c>
      <c r="N29" s="94">
        <f>SUMIFS('Forbrug af biomasse'!E:E,'Forbrug af biomasse'!C:C,'Resultat-Produktion &amp; forbrug'!$A29,'Forbrug af biomasse'!D:D,'Resultat-Produktion &amp; forbrug'!$E29,'Forbrug af biomasse'!G:G,1,'Forbrug af biomasse'!B:B,$F29)</f>
        <v>0</v>
      </c>
      <c r="O29" s="179">
        <f t="shared" si="10"/>
        <v>122443.54553678865</v>
      </c>
      <c r="P29" s="94">
        <f t="shared" si="4"/>
        <v>0</v>
      </c>
      <c r="Q29" s="180">
        <f t="shared" si="11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IF(A29&lt;&gt;"Biogas",IFERROR(VLOOKUP(A29,[1]Biogasudbytte!$A$2:$B$18,2,FALSE)*[1]Energiindhold!$C$10,0)*K29*IFERROR(VLOOKUP(A29,Biogasanlæg!$F$3:$G$8,2,FALSE),1)+IFERROR(VLOOKUP(A29,[1]Energiindhold!$A$2:$C$11,3,FALSE),0)*M29+IF(E29&lt;&gt;År1,R29,0),0)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12"/>
        <v>0</v>
      </c>
      <c r="V29" s="169">
        <f>P29*IFERROR(VLOOKUP(A29,[1]Tørstofindhold!A$2:B$24,2,FALSE),0)</f>
        <v>0</v>
      </c>
      <c r="W29">
        <f>IF(E29=År1,Q29,SUM(P29,Q29))*IFERROR(VLOOKUP(A29,[1]Tørstofindhold!A$2:B$24,2,FALSE),0)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13"/>
        <v>0</v>
      </c>
      <c r="Z29">
        <f t="shared" si="1"/>
        <v>0</v>
      </c>
      <c r="AA29">
        <f t="shared" si="2"/>
        <v>1</v>
      </c>
      <c r="AB29" s="94">
        <f t="shared" si="8"/>
        <v>122443.54553678865</v>
      </c>
      <c r="AC29">
        <f>AB29*D29*10000*VLOOKUP(A29,[1]kcal!$A$2:$C$49,3,FALSE)/1000000000000</f>
        <v>0</v>
      </c>
    </row>
    <row r="30" spans="1:29" x14ac:dyDescent="0.25">
      <c r="A30" t="s">
        <v>53</v>
      </c>
      <c r="B30" s="171" t="s">
        <v>224</v>
      </c>
      <c r="C30" s="171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1</v>
      </c>
      <c r="D30" s="171">
        <v>1</v>
      </c>
      <c r="E30" s="171">
        <f t="shared" si="9"/>
        <v>2019</v>
      </c>
      <c r="F30" t="s">
        <v>23</v>
      </c>
      <c r="G30" s="94">
        <f>IF(F30="Vestdanmark",SUMIFS(IF(E30=År1,'Resultater - Vestdanmark'!H$3:H$504,IF(E30=År2,'Resultater - Vestdanmark'!I$3:I$504,'Resultater - Vestdanmark'!J$3:J$504)),'Resultater - Vestdanmark'!$F$3:$F$504,$A30,IF(E30=År1,'Resultater - Vestdanmark'!H$3:H$504,IF(E30=År2,'Resultater - Vestdanmark'!I$3:I$504,'Resultater - Vestdanmark'!J$3:J$504)),"&gt;0"),SUMIFS(IF(E30=År1,'Resultater - Østdanmark'!H$3:H$504,IF(E30=År2,'Resultater - Østdanmark'!I$3:I$504,'Resultater - Østdanmark'!J$3:J$504)),'Resultater - Østdanmark'!$F$3:$F$504,$A30,IF(E30=År1,'Resultater - Østdanmark'!H$3:H$504,IF(E30=År2,'Resultater - Østdanmark'!I$3:I$504,'Resultater - Østdanmark'!J$3:J$504)),"&gt;0"))</f>
        <v>7590675.3960505147</v>
      </c>
      <c r="H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forbrug'!H$3,'Forbrug af biomasse'!$B$2:$B$425,$F30)</f>
        <v>5657053.7864699634</v>
      </c>
      <c r="I30">
        <f>IF(F30="Vestdanmark",-IF(A30="Halm",SUMIFS(IF(E30=År1,'Resultater - Vestdanmark'!H$3:H$504,IF(E30=År2,'Resultater - Vestdanmark'!I$3:I$504,'Resultater - Vestdanmark'!J$3:J$504)),'Resultater - Vestdanmark'!$F$3:$F$504,$A30,'Resultater - Vestdanmark'!H$3:H$504,"&lt;0"),0),-IF(A30="Halm",SUMIFS(IF(E30=År1,'Resultater - Østdanmark'!H$3:H$504,IF(E30=År2,'Resultater - Østdanmark'!I$3:I$504,'Resultater - Østdanmark'!J$3:J$504)),'Resultater - Østdanmark'!$F$3:$F$504,$A30,'Resultater - Østdanmark'!H$3:H$504,"&lt;0"),0))</f>
        <v>0</v>
      </c>
      <c r="J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forbrug'!J$3,'Forbrug af biomasse'!$B$2:$B$425,$F30)</f>
        <v>0</v>
      </c>
      <c r="K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forbrug'!K$3,'Forbrug af biomasse'!$B$2:$B$425,$F30)</f>
        <v>314874.94627501385</v>
      </c>
      <c r="L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forbrug'!L$3,'Forbrug af biomasse'!$B$2:$B$425,$F30)</f>
        <v>0</v>
      </c>
      <c r="M30" s="94">
        <f>IF(A30&lt;&gt;"Biogas",SUMIFS('Forbrug af biomasse'!$E$2:$E$425,'Forbrug af biomasse'!$C$2:$C$425,'Resultat-Produktion &amp; forbrug'!$A30,'Forbrug af biomasse'!$D$2:$D$425,'Resultat-Produktion &amp; forbrug'!$E30,'Forbrug af biomasse'!$A$2:$A$425,'Resultat-Produktion &amp; forbrug'!M$3,'Forbrug af biomasse'!$B$2:$B$425,$F30),G30)</f>
        <v>0</v>
      </c>
      <c r="N30" s="94">
        <f>SUMIFS('Forbrug af biomasse'!E:E,'Forbrug af biomasse'!C:C,'Resultat-Produktion &amp; forbrug'!$A30,'Forbrug af biomasse'!D:D,'Resultat-Produktion &amp; forbrug'!$E30,'Forbrug af biomasse'!G:G,1,'Forbrug af biomasse'!B:B,$F30)</f>
        <v>0</v>
      </c>
      <c r="O30" s="179">
        <f t="shared" si="10"/>
        <v>1618746.6633055378</v>
      </c>
      <c r="P30" s="94">
        <f t="shared" si="4"/>
        <v>1274488.0820395502</v>
      </c>
      <c r="Q30" s="180">
        <f t="shared" si="11"/>
        <v>314874.94627501385</v>
      </c>
      <c r="R30">
        <f>IFERROR(VLOOKUP(A30,[1]Energiindhold!$A$2:$C$11,3,FALSE),IFERROR(VLOOKUP(A30,[1]Biogasudbytte!$A$2:$B$18,2,FALSE)*[1]Energiindhold!$C$10,0))*P30</f>
        <v>4.575412214521986</v>
      </c>
      <c r="S30">
        <f>IF(A30&lt;&gt;"Biogas",IFERROR(VLOOKUP(A30,[1]Biogasudbytte!$A$2:$B$18,2,FALSE)*[1]Energiindhold!$C$10,0)*K30*IFERROR(VLOOKUP(A30,Biogasanlæg!$F$3:$G$8,2,FALSE),1)+IFERROR(VLOOKUP(A30,[1]Energiindhold!$A$2:$C$11,3,FALSE),0)*M30+IF(E30&lt;&gt;År1,R30,0),0)</f>
        <v>1.1304010571272998</v>
      </c>
      <c r="T30">
        <f>IFERROR(VLOOKUP(A30,[1]Biogasudbytte!$A$2:$B$18,2,FALSE)*[1]Energiindhold!$C$10,0)*K30*IFERROR(VLOOKUP(A30,Biogasanlæg!$F$3:$G$8,2,FALSE),1)</f>
        <v>1.1304010571272998</v>
      </c>
      <c r="U30" s="170">
        <f t="shared" si="12"/>
        <v>0</v>
      </c>
      <c r="V30" s="169">
        <f>P30*IFERROR(VLOOKUP(A30,[1]Tørstofindhold!A$2:B$24,2,FALSE),0)</f>
        <v>382346.42461186502</v>
      </c>
      <c r="W30">
        <f>IF(E30=År1,Q30,SUM(P30,Q30))*IFERROR(VLOOKUP(A30,[1]Tørstofindhold!A$2:B$24,2,FALSE),0)</f>
        <v>94462.483882504152</v>
      </c>
      <c r="X30">
        <f>K30*IFERROR(VLOOKUP(A30,[1]Tørstofindhold!A$2:B$24,2,FALSE),0)</f>
        <v>94462.483882504152</v>
      </c>
      <c r="Y30" s="170">
        <f t="shared" si="13"/>
        <v>0</v>
      </c>
      <c r="Z30">
        <f t="shared" si="1"/>
        <v>0</v>
      </c>
      <c r="AA30">
        <f t="shared" si="2"/>
        <v>1</v>
      </c>
      <c r="AB30" s="94">
        <f t="shared" si="8"/>
        <v>1618746.6633055378</v>
      </c>
      <c r="AC30">
        <f>AB30*D30*10000*VLOOKUP(A30,[1]kcal!$A$2:$C$49,3,FALSE)/1000000000000</f>
        <v>1.4730594636080394</v>
      </c>
    </row>
    <row r="31" spans="1:29" x14ac:dyDescent="0.25">
      <c r="A31" s="171" t="s">
        <v>116</v>
      </c>
      <c r="B31" s="171"/>
      <c r="C31" s="171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0</v>
      </c>
      <c r="D31" s="171">
        <v>1</v>
      </c>
      <c r="E31" s="171">
        <f t="shared" si="9"/>
        <v>2019</v>
      </c>
      <c r="F31" t="s">
        <v>23</v>
      </c>
      <c r="G31" s="94">
        <f>IF(F31="Vestdanmark",SUMIFS(IF(E31=År1,'Resultater - Vestdanmark'!H$3:H$504,IF(E31=År2,'Resultater - Vestdanmark'!I$3:I$504,'Resultater - Vestdanmark'!J$3:J$504)),'Resultater - Vestdanmark'!$F$3:$F$504,$A31,IF(E31=År1,'Resultater - Vestdanmark'!H$3:H$504,IF(E31=År2,'Resultater - Vestdanmark'!I$3:I$504,'Resultater - Vestdanmark'!J$3:J$504)),"&gt;0"),SUMIFS(IF(E31=År1,'Resultater - Østdanmark'!H$3:H$504,IF(E31=År2,'Resultater - Østdanmark'!I$3:I$504,'Resultater - Østdanmark'!J$3:J$504)),'Resultater - Østdanmark'!$F$3:$F$504,$A31,IF(E31=År1,'Resultater - Østdanmark'!H$3:H$504,IF(E31=År2,'Resultater - Østdanmark'!I$3:I$504,'Resultater - Østdanmark'!J$3:J$504)),"&gt;0"))</f>
        <v>3160794.2116654618</v>
      </c>
      <c r="H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forbrug'!H$3,'Forbrug af biomasse'!$B$2:$B$425,$F31)</f>
        <v>0</v>
      </c>
      <c r="I31">
        <f>IF(F31="Vestdanmark",-IF(A31="Halm",SUMIFS(IF(E31=År1,'Resultater - Vestdanmark'!H$3:H$504,IF(E31=År2,'Resultater - Vestdanmark'!I$3:I$504,'Resultater - Vestdanmark'!J$3:J$504)),'Resultater - Vestdanmark'!$F$3:$F$504,$A31,'Resultater - Vestdanmark'!H$3:H$504,"&lt;0"),0),-IF(A31="Halm",SUMIFS(IF(E31=År1,'Resultater - Østdanmark'!H$3:H$504,IF(E31=År2,'Resultater - Østdanmark'!I$3:I$504,'Resultater - Østdanmark'!J$3:J$504)),'Resultater - Østdanmark'!$F$3:$F$504,$A31,'Resultater - Østdanmark'!H$3:H$504,"&lt;0"),0))</f>
        <v>0</v>
      </c>
      <c r="J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forbrug'!J$3,'Forbrug af biomasse'!$B$2:$B$425,$F31)</f>
        <v>457077.09579476295</v>
      </c>
      <c r="K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forbrug'!K$3,'Forbrug af biomasse'!$B$2:$B$425,$F31)</f>
        <v>0</v>
      </c>
      <c r="L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forbrug'!L$3,'Forbrug af biomasse'!$B$2:$B$425,$F31)</f>
        <v>0</v>
      </c>
      <c r="M31" s="94">
        <f>IF(A31&lt;&gt;"Biogas",SUMIFS('Forbrug af biomasse'!$E$2:$E$425,'Forbrug af biomasse'!$C$2:$C$425,'Resultat-Produktion &amp; forbrug'!$A31,'Forbrug af biomasse'!$D$2:$D$425,'Resultat-Produktion &amp; forbrug'!$E31,'Forbrug af biomasse'!$A$2:$A$425,'Resultat-Produktion &amp; forbrug'!M$3,'Forbrug af biomasse'!$B$2:$B$425,$F31),G31)</f>
        <v>0</v>
      </c>
      <c r="N31" s="94">
        <f>SUMIFS('Forbrug af biomasse'!E:E,'Forbrug af biomasse'!C:C,'Resultat-Produktion &amp; forbrug'!$A31,'Forbrug af biomasse'!D:D,'Resultat-Produktion &amp; forbrug'!$E31,'Forbrug af biomasse'!G:G,1,'Forbrug af biomasse'!B:B,$F31)</f>
        <v>0</v>
      </c>
      <c r="O31" s="179">
        <f t="shared" si="10"/>
        <v>2703717.1158706988</v>
      </c>
      <c r="P31" s="94">
        <f t="shared" si="4"/>
        <v>0</v>
      </c>
      <c r="Q31" s="180">
        <f t="shared" si="11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IF(A31&lt;&gt;"Biogas",IFERROR(VLOOKUP(A31,[1]Biogasudbytte!$A$2:$B$18,2,FALSE)*[1]Energiindhold!$C$10,0)*K31*IFERROR(VLOOKUP(A31,Biogasanlæg!$F$3:$G$8,2,FALSE),1)+IFERROR(VLOOKUP(A31,[1]Energiindhold!$A$2:$C$11,3,FALSE),0)*M31+IF(E31&lt;&gt;År1,R31,0),0)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12"/>
        <v>0</v>
      </c>
      <c r="V31" s="169">
        <f>P31*IFERROR(VLOOKUP(A31,[1]Tørstofindhold!A$2:B$24,2,FALSE),0)</f>
        <v>0</v>
      </c>
      <c r="W31">
        <f>IF(E31=År1,Q31,SUM(P31,Q31))*IFERROR(VLOOKUP(A31,[1]Tørstofindhold!A$2:B$24,2,FALSE),0)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13"/>
        <v>0</v>
      </c>
      <c r="Z31">
        <f t="shared" si="1"/>
        <v>0</v>
      </c>
      <c r="AA31">
        <f t="shared" si="2"/>
        <v>1</v>
      </c>
      <c r="AB31" s="94">
        <f t="shared" si="8"/>
        <v>3160794.2116654618</v>
      </c>
      <c r="AC31">
        <f>AB31*D31*10000*VLOOKUP(A31,[1]kcal!$A$2:$C$49,3,FALSE)/1000000000000</f>
        <v>1.991300353349241</v>
      </c>
    </row>
    <row r="32" spans="1:29" x14ac:dyDescent="0.25">
      <c r="A32" s="171" t="s">
        <v>106</v>
      </c>
      <c r="B32" s="171" t="s">
        <v>226</v>
      </c>
      <c r="C32" s="171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1</v>
      </c>
      <c r="D32" s="171">
        <v>1</v>
      </c>
      <c r="E32" s="171">
        <f t="shared" si="9"/>
        <v>2019</v>
      </c>
      <c r="F32" t="s">
        <v>23</v>
      </c>
      <c r="G32" s="94">
        <f>IF(F32="Vestdanmark",SUMIFS(IF(E32=År1,'Resultater - Vestdanmark'!H$3:H$504,IF(E32=År2,'Resultater - Vestdanmark'!I$3:I$504,'Resultater - Vestdanmark'!J$3:J$504)),'Resultater - Vestdanmark'!$F$3:$F$504,$A32,IF(E32=År1,'Resultater - Vestdanmark'!H$3:H$504,IF(E32=År2,'Resultater - Vestdanmark'!I$3:I$504,'Resultater - Vestdanmark'!J$3:J$504)),"&gt;0"),SUMIFS(IF(E32=År1,'Resultater - Østdanmark'!H$3:H$504,IF(E32=År2,'Resultater - Østdanmark'!I$3:I$504,'Resultater - Østdanmark'!J$3:J$504)),'Resultater - Østdanmark'!$F$3:$F$504,$A32,IF(E32=År1,'Resultater - Østdanmark'!H$3:H$504,IF(E32=År2,'Resultater - Østdanmark'!I$3:I$504,'Resultater - Østdanmark'!J$3:J$504)),"&gt;0"))</f>
        <v>878.90231344976178</v>
      </c>
      <c r="H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forbrug'!H$3,'Forbrug af biomasse'!$B$2:$B$425,$F32)</f>
        <v>0</v>
      </c>
      <c r="I32">
        <f>IF(F32="Vestdanmark",-IF(A32="Halm",SUMIFS(IF(E32=År1,'Resultater - Vestdanmark'!H$3:H$504,IF(E32=År2,'Resultater - Vestdanmark'!I$3:I$504,'Resultater - Vestdanmark'!J$3:J$504)),'Resultater - Vestdanmark'!$F$3:$F$504,$A32,'Resultater - Vestdanmark'!H$3:H$504,"&lt;0"),0),-IF(A32="Halm",SUMIFS(IF(E32=År1,'Resultater - Østdanmark'!H$3:H$504,IF(E32=År2,'Resultater - Østdanmark'!I$3:I$504,'Resultater - Østdanmark'!J$3:J$504)),'Resultater - Østdanmark'!$F$3:$F$504,$A32,'Resultater - Østdanmark'!H$3:H$504,"&lt;0"),0))</f>
        <v>0</v>
      </c>
      <c r="J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forbrug'!J$3,'Forbrug af biomasse'!$B$2:$B$425,$F32)</f>
        <v>0</v>
      </c>
      <c r="K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forbrug'!K$3,'Forbrug af biomasse'!$B$2:$B$425,$F32)</f>
        <v>0</v>
      </c>
      <c r="L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forbrug'!L$3,'Forbrug af biomasse'!$B$2:$B$425,$F32)</f>
        <v>0</v>
      </c>
      <c r="M32" s="94">
        <f>IF(A32&lt;&gt;"Biogas",SUMIFS('Forbrug af biomasse'!$E$2:$E$425,'Forbrug af biomasse'!$C$2:$C$425,'Resultat-Produktion &amp; forbrug'!$A32,'Forbrug af biomasse'!$D$2:$D$425,'Resultat-Produktion &amp; forbrug'!$E32,'Forbrug af biomasse'!$A$2:$A$425,'Resultat-Produktion &amp; forbrug'!M$3,'Forbrug af biomasse'!$B$2:$B$425,$F32),G32)</f>
        <v>0</v>
      </c>
      <c r="N32" s="94">
        <f>SUMIFS('Forbrug af biomasse'!E:E,'Forbrug af biomasse'!C:C,'Resultat-Produktion &amp; forbrug'!$A32,'Forbrug af biomasse'!D:D,'Resultat-Produktion &amp; forbrug'!$E32,'Forbrug af biomasse'!G:G,1,'Forbrug af biomasse'!B:B,$F32)</f>
        <v>0</v>
      </c>
      <c r="O32" s="179">
        <f t="shared" si="10"/>
        <v>878.90231344976178</v>
      </c>
      <c r="P32" s="94">
        <f t="shared" si="4"/>
        <v>878.90231344976178</v>
      </c>
      <c r="Q32" s="180">
        <f t="shared" si="11"/>
        <v>0</v>
      </c>
      <c r="R32">
        <f>IFERROR(VLOOKUP(A32,[1]Energiindhold!$A$2:$C$11,3,FALSE),IFERROR(VLOOKUP(A32,[1]Biogasudbytte!$A$2:$B$18,2,FALSE)*[1]Energiindhold!$C$10,0))*P32</f>
        <v>7.8881482632116122E-4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IF(A32&lt;&gt;"Biogas",IFERROR(VLOOKUP(A32,[1]Biogasudbytte!$A$2:$B$18,2,FALSE)*[1]Energiindhold!$C$10,0)*K32*IFERROR(VLOOKUP(A32,Biogasanlæg!$F$3:$G$8,2,FALSE),1)+IFERROR(VLOOKUP(A32,[1]Energiindhold!$A$2:$C$11,3,FALSE),0)*M32+IF(E32&lt;&gt;År1,R32,0),0)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12"/>
        <v>0</v>
      </c>
      <c r="V32" s="169">
        <f>P32*IFERROR(VLOOKUP(A32,[1]Tørstofindhold!A$2:B$24,2,FALSE),0)</f>
        <v>131.83534701746427</v>
      </c>
      <c r="W32">
        <f>IF(E32=År1,Q32,SUM(P32,Q32))*IFERROR(VLOOKUP(A32,[1]Tørstofindhold!A$2:B$24,2,FALSE),0)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13"/>
        <v>0</v>
      </c>
      <c r="Z32">
        <f t="shared" si="1"/>
        <v>0</v>
      </c>
      <c r="AA32">
        <f t="shared" si="2"/>
        <v>1</v>
      </c>
      <c r="AB32" s="94">
        <f t="shared" si="8"/>
        <v>878.90231344976178</v>
      </c>
      <c r="AC32">
        <f>AB32*D32*10000*VLOOKUP(A32,[1]kcal!$A$2:$C$49,3,FALSE)/1000000000000</f>
        <v>7.2948892016330225E-4</v>
      </c>
    </row>
    <row r="33" spans="1:29" x14ac:dyDescent="0.25">
      <c r="A33" s="171" t="s">
        <v>14</v>
      </c>
      <c r="B33" s="171"/>
      <c r="C33" s="171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71">
        <v>1</v>
      </c>
      <c r="E33" s="171">
        <f t="shared" si="9"/>
        <v>2019</v>
      </c>
      <c r="F33" t="s">
        <v>23</v>
      </c>
      <c r="G33" s="94">
        <f>IF(F33="Vestdanmark",SUMIFS(IF(E33=År1,'Resultater - Vestdanmark'!H$3:H$504,IF(E33=År2,'Resultater - Vestdanmark'!I$3:I$504,'Resultater - Vestdanmark'!J$3:J$504)),'Resultater - Vestdanmark'!$F$3:$F$504,$A33,IF(E33=År1,'Resultater - Vestdanmark'!H$3:H$504,IF(E33=År2,'Resultater - Vestdanmark'!I$3:I$504,'Resultater - Vestdanmark'!J$3:J$504)),"&gt;0"),SUMIFS(IF(E33=År1,'Resultater - Østdanmark'!H$3:H$504,IF(E33=År2,'Resultater - Østdanmark'!I$3:I$504,'Resultater - Østdanmark'!J$3:J$504)),'Resultater - Østdanmark'!$F$3:$F$504,$A33,IF(E33=År1,'Resultater - Østdanmark'!H$3:H$504,IF(E33=År2,'Resultater - Østdanmark'!I$3:I$504,'Resultater - Østdanmark'!J$3:J$504)),"&gt;0"))</f>
        <v>108094.85577035608</v>
      </c>
      <c r="H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forbrug'!H$3,'Forbrug af biomasse'!$B$2:$B$425,$F33)</f>
        <v>0</v>
      </c>
      <c r="I33">
        <f>IF(F33="Vestdanmark",-IF(A33="Halm",SUMIFS(IF(E33=År1,'Resultater - Vestdanmark'!H$3:H$504,IF(E33=År2,'Resultater - Vestdanmark'!I$3:I$504,'Resultater - Vestdanmark'!J$3:J$504)),'Resultater - Vestdanmark'!$F$3:$F$504,$A33,'Resultater - Vestdanmark'!H$3:H$504,"&lt;0"),0),-IF(A33="Halm",SUMIFS(IF(E33=År1,'Resultater - Østdanmark'!H$3:H$504,IF(E33=År2,'Resultater - Østdanmark'!I$3:I$504,'Resultater - Østdanmark'!J$3:J$504)),'Resultater - Østdanmark'!$F$3:$F$504,$A33,'Resultater - Østdanmark'!H$3:H$504,"&lt;0"),0))</f>
        <v>0</v>
      </c>
      <c r="J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forbrug'!J$3,'Forbrug af biomasse'!$B$2:$B$425,$F33)</f>
        <v>58080.313724265572</v>
      </c>
      <c r="K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forbrug'!K$3,'Forbrug af biomasse'!$B$2:$B$425,$F33)</f>
        <v>0</v>
      </c>
      <c r="L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forbrug'!L$3,'Forbrug af biomasse'!$B$2:$B$425,$F33)</f>
        <v>0</v>
      </c>
      <c r="M33" s="94">
        <f>IF(A33&lt;&gt;"Biogas",SUMIFS('Forbrug af biomasse'!$E$2:$E$425,'Forbrug af biomasse'!$C$2:$C$425,'Resultat-Produktion &amp; forbrug'!$A33,'Forbrug af biomasse'!$D$2:$D$425,'Resultat-Produktion &amp; forbrug'!$E33,'Forbrug af biomasse'!$A$2:$A$425,'Resultat-Produktion &amp; forbrug'!M$3,'Forbrug af biomasse'!$B$2:$B$425,$F33),G33)</f>
        <v>0</v>
      </c>
      <c r="N33" s="94">
        <f>SUMIFS('Forbrug af biomasse'!E:E,'Forbrug af biomasse'!C:C,'Resultat-Produktion &amp; forbrug'!$A33,'Forbrug af biomasse'!D:D,'Resultat-Produktion &amp; forbrug'!$E33,'Forbrug af biomasse'!G:G,1,'Forbrug af biomasse'!B:B,$F33)</f>
        <v>0</v>
      </c>
      <c r="O33" s="179">
        <f t="shared" si="10"/>
        <v>50014.542046090508</v>
      </c>
      <c r="P33" s="94">
        <f t="shared" si="4"/>
        <v>0</v>
      </c>
      <c r="Q33" s="180">
        <f t="shared" si="11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IF(A33&lt;&gt;"Biogas",IFERROR(VLOOKUP(A33,[1]Biogasudbytte!$A$2:$B$18,2,FALSE)*[1]Energiindhold!$C$10,0)*K33*IFERROR(VLOOKUP(A33,Biogasanlæg!$F$3:$G$8,2,FALSE),1)+IFERROR(VLOOKUP(A33,[1]Energiindhold!$A$2:$C$11,3,FALSE),0)*M33+IF(E33&lt;&gt;År1,R33,0),0)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12"/>
        <v>0</v>
      </c>
      <c r="V33" s="169">
        <f>P33*IFERROR(VLOOKUP(A33,[1]Tørstofindhold!A$2:B$24,2,FALSE),0)</f>
        <v>0</v>
      </c>
      <c r="W33">
        <f>IF(E33=År1,Q33,SUM(P33,Q33))*IFERROR(VLOOKUP(A33,[1]Tørstofindhold!A$2:B$24,2,FALSE),0)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13"/>
        <v>0</v>
      </c>
      <c r="Z33">
        <f t="shared" si="1"/>
        <v>0</v>
      </c>
      <c r="AA33">
        <f t="shared" si="2"/>
        <v>1</v>
      </c>
      <c r="AB33" s="94">
        <f t="shared" si="8"/>
        <v>108094.85577035608</v>
      </c>
      <c r="AC33">
        <f>AB33*D33*10000*VLOOKUP(A33,[1]kcal!$A$2:$C$49,3,FALSE)/1000000000000</f>
        <v>0.21078496875219438</v>
      </c>
    </row>
    <row r="34" spans="1:29" x14ac:dyDescent="0.25">
      <c r="A34" s="171" t="s">
        <v>55</v>
      </c>
      <c r="B34" s="171"/>
      <c r="C34" s="171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0</v>
      </c>
      <c r="D34" s="171">
        <v>1</v>
      </c>
      <c r="E34" s="171">
        <f t="shared" si="9"/>
        <v>2019</v>
      </c>
      <c r="F34" t="s">
        <v>23</v>
      </c>
      <c r="G34" s="94">
        <f>IF(F34="Vestdanmark",SUMIFS(IF(E34=År1,'Resultater - Vestdanmark'!H$3:H$504,IF(E34=År2,'Resultater - Vestdanmark'!I$3:I$504,'Resultater - Vestdanmark'!J$3:J$504)),'Resultater - Vestdanmark'!$F$3:$F$504,$A34,IF(E34=År1,'Resultater - Vestdanmark'!H$3:H$504,IF(E34=År2,'Resultater - Vestdanmark'!I$3:I$504,'Resultater - Vestdanmark'!J$3:J$504)),"&gt;0"),SUMIFS(IF(E34=År1,'Resultater - Østdanmark'!H$3:H$504,IF(E34=År2,'Resultater - Østdanmark'!I$3:I$504,'Resultater - Østdanmark'!J$3:J$504)),'Resultater - Østdanmark'!$F$3:$F$504,$A34,IF(E34=År1,'Resultater - Østdanmark'!H$3:H$504,IF(E34=År2,'Resultater - Østdanmark'!I$3:I$504,'Resultater - Østdanmark'!J$3:J$504)),"&gt;0"))</f>
        <v>1610618.3345669576</v>
      </c>
      <c r="H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forbrug'!H$3,'Forbrug af biomasse'!$B$2:$B$425,$F34)</f>
        <v>0</v>
      </c>
      <c r="I34">
        <f>IF(F34="Vestdanmark",-IF(A34="Halm",SUMIFS(IF(E34=År1,'Resultater - Vestdanmark'!H$3:H$504,IF(E34=År2,'Resultater - Vestdanmark'!I$3:I$504,'Resultater - Vestdanmark'!J$3:J$504)),'Resultater - Vestdanmark'!$F$3:$F$504,$A34,'Resultater - Vestdanmark'!H$3:H$504,"&lt;0"),0),-IF(A34="Halm",SUMIFS(IF(E34=År1,'Resultater - Østdanmark'!H$3:H$504,IF(E34=År2,'Resultater - Østdanmark'!I$3:I$504,'Resultater - Østdanmark'!J$3:J$504)),'Resultater - Østdanmark'!$F$3:$F$504,$A34,'Resultater - Østdanmark'!H$3:H$504,"&lt;0"),0))</f>
        <v>0</v>
      </c>
      <c r="J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forbrug'!J$3,'Forbrug af biomasse'!$B$2:$B$425,$F34)</f>
        <v>0</v>
      </c>
      <c r="K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forbrug'!K$3,'Forbrug af biomasse'!$B$2:$B$425,$F34)</f>
        <v>0</v>
      </c>
      <c r="L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forbrug'!L$3,'Forbrug af biomasse'!$B$2:$B$425,$F34)</f>
        <v>0</v>
      </c>
      <c r="M34" s="94">
        <f>IF(A34&lt;&gt;"Biogas",SUMIFS('Forbrug af biomasse'!$E$2:$E$425,'Forbrug af biomasse'!$C$2:$C$425,'Resultat-Produktion &amp; forbrug'!$A34,'Forbrug af biomasse'!$D$2:$D$425,'Resultat-Produktion &amp; forbrug'!$E34,'Forbrug af biomasse'!$A$2:$A$425,'Resultat-Produktion &amp; forbrug'!M$3,'Forbrug af biomasse'!$B$2:$B$425,$F34),G34)</f>
        <v>0</v>
      </c>
      <c r="N34" s="94">
        <f>SUMIFS('Forbrug af biomasse'!E:E,'Forbrug af biomasse'!C:C,'Resultat-Produktion &amp; forbrug'!$A34,'Forbrug af biomasse'!D:D,'Resultat-Produktion &amp; forbrug'!$E34,'Forbrug af biomasse'!G:G,1,'Forbrug af biomasse'!B:B,$F34)</f>
        <v>0</v>
      </c>
      <c r="O34" s="179">
        <f t="shared" si="10"/>
        <v>1610618.3345669576</v>
      </c>
      <c r="P34" s="94">
        <f t="shared" si="4"/>
        <v>0</v>
      </c>
      <c r="Q34" s="180">
        <f t="shared" si="11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IF(A34&lt;&gt;"Biogas",IFERROR(VLOOKUP(A34,[1]Biogasudbytte!$A$2:$B$18,2,FALSE)*[1]Energiindhold!$C$10,0)*K34*IFERROR(VLOOKUP(A34,Biogasanlæg!$F$3:$G$8,2,FALSE),1)+IFERROR(VLOOKUP(A34,[1]Energiindhold!$A$2:$C$11,3,FALSE),0)*M34+IF(E34&lt;&gt;År1,R34,0),0)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12"/>
        <v>0</v>
      </c>
      <c r="V34" s="169">
        <f>P34*IFERROR(VLOOKUP(A34,[1]Tørstofindhold!A$2:B$24,2,FALSE),0)</f>
        <v>0</v>
      </c>
      <c r="W34">
        <f>IF(E34=År1,Q34,SUM(P34,Q34))*IFERROR(VLOOKUP(A34,[1]Tørstofindhold!A$2:B$24,2,FALSE),0)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13"/>
        <v>0</v>
      </c>
      <c r="Z34">
        <f t="shared" si="1"/>
        <v>0</v>
      </c>
      <c r="AA34">
        <f t="shared" si="2"/>
        <v>1</v>
      </c>
      <c r="AB34" s="94">
        <f t="shared" si="8"/>
        <v>1610618.3345669576</v>
      </c>
      <c r="AC34">
        <f>AB34*D34*10000*VLOOKUP(A34,[1]kcal!$A$2:$C$49,3,FALSE)/1000000000000</f>
        <v>0.62814115048111341</v>
      </c>
    </row>
    <row r="35" spans="1:29" x14ac:dyDescent="0.25">
      <c r="A35" s="171" t="s">
        <v>95</v>
      </c>
      <c r="B35" s="171" t="s">
        <v>225</v>
      </c>
      <c r="C35" s="171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71">
        <v>0</v>
      </c>
      <c r="E35" s="171">
        <f t="shared" si="9"/>
        <v>2019</v>
      </c>
      <c r="F35" t="s">
        <v>23</v>
      </c>
      <c r="G35" s="94">
        <f>IF(F35="Vestdanmark",SUMIFS(IF(E35=År1,'Resultater - Vestdanmark'!H$3:H$504,IF(E35=År2,'Resultater - Vestdanmark'!I$3:I$504,'Resultater - Vestdanmark'!J$3:J$504)),'Resultater - Vestdanmark'!$F$3:$F$504,$A35,IF(E35=År1,'Resultater - Vestdanmark'!H$3:H$504,IF(E35=År2,'Resultater - Vestdanmark'!I$3:I$504,'Resultater - Vestdanmark'!J$3:J$504)),"&gt;0"),SUMIFS(IF(E35=År1,'Resultater - Østdanmark'!H$3:H$504,IF(E35=År2,'Resultater - Østdanmark'!I$3:I$504,'Resultater - Østdanmark'!J$3:J$504)),'Resultater - Østdanmark'!$F$3:$F$504,$A35,IF(E35=År1,'Resultater - Østdanmark'!H$3:H$504,IF(E35=År2,'Resultater - Østdanmark'!I$3:I$504,'Resultater - Østdanmark'!J$3:J$504)),"&gt;0"))</f>
        <v>171006.78248665464</v>
      </c>
      <c r="H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forbrug'!H$3,'Forbrug af biomasse'!$B$2:$B$425,$F35)</f>
        <v>0</v>
      </c>
      <c r="I35">
        <f>IF(F35="Vestdanmark",-IF(A35="Halm",SUMIFS(IF(E35=År1,'Resultater - Vestdanmark'!H$3:H$504,IF(E35=År2,'Resultater - Vestdanmark'!I$3:I$504,'Resultater - Vestdanmark'!J$3:J$504)),'Resultater - Vestdanmark'!$F$3:$F$504,$A35,'Resultater - Vestdanmark'!H$3:H$504,"&lt;0"),0),-IF(A35="Halm",SUMIFS(IF(E35=År1,'Resultater - Østdanmark'!H$3:H$504,IF(E35=År2,'Resultater - Østdanmark'!I$3:I$504,'Resultater - Østdanmark'!J$3:J$504)),'Resultater - Østdanmark'!$F$3:$F$504,$A35,'Resultater - Østdanmark'!H$3:H$504,"&lt;0"),0))</f>
        <v>0</v>
      </c>
      <c r="J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forbrug'!J$3,'Forbrug af biomasse'!$B$2:$B$425,$F35)</f>
        <v>0</v>
      </c>
      <c r="K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forbrug'!K$3,'Forbrug af biomasse'!$B$2:$B$425,$F35)</f>
        <v>0</v>
      </c>
      <c r="L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forbrug'!L$3,'Forbrug af biomasse'!$B$2:$B$425,$F35)</f>
        <v>0</v>
      </c>
      <c r="M35" s="94">
        <f>IF(A35&lt;&gt;"Biogas",SUMIFS('Forbrug af biomasse'!$E$2:$E$425,'Forbrug af biomasse'!$C$2:$C$425,'Resultat-Produktion &amp; forbrug'!$A35,'Forbrug af biomasse'!$D$2:$D$425,'Resultat-Produktion &amp; forbrug'!$E35,'Forbrug af biomasse'!$A$2:$A$425,'Resultat-Produktion &amp; forbrug'!M$3,'Forbrug af biomasse'!$B$2:$B$425,$F35),G35)</f>
        <v>171006.78248665464</v>
      </c>
      <c r="N35" s="94">
        <f>SUMIFS('Forbrug af biomasse'!E:E,'Forbrug af biomasse'!C:C,'Resultat-Produktion &amp; forbrug'!$A35,'Forbrug af biomasse'!D:D,'Resultat-Produktion &amp; forbrug'!$E35,'Forbrug af biomasse'!G:G,1,'Forbrug af biomasse'!B:B,$F35)</f>
        <v>0</v>
      </c>
      <c r="O35" s="179">
        <f t="shared" si="10"/>
        <v>0</v>
      </c>
      <c r="P35" s="94">
        <f t="shared" si="4"/>
        <v>0</v>
      </c>
      <c r="Q35" s="180">
        <f t="shared" si="11"/>
        <v>171006.78248665464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IF(A35&lt;&gt;"Biogas",IFERROR(VLOOKUP(A35,[1]Biogasudbytte!$A$2:$B$18,2,FALSE)*[1]Energiindhold!$C$10,0)*K35*IFERROR(VLOOKUP(A35,Biogasanlæg!$F$3:$G$8,2,FALSE),1)+IFERROR(VLOOKUP(A35,[1]Energiindhold!$A$2:$C$11,3,FALSE),0)*M35+IF(E35&lt;&gt;År1,R35,0),0)</f>
        <v>3.146524797754445</v>
      </c>
      <c r="T35">
        <f>IFERROR(VLOOKUP(A35,[1]Biogasudbytte!$A$2:$B$18,2,FALSE)*[1]Energiindhold!$C$10,0)*K35*IFERROR(VLOOKUP(A35,Biogasanlæg!$F$3:$G$8,2,FALSE),1)</f>
        <v>0</v>
      </c>
      <c r="U35" s="170">
        <f t="shared" si="12"/>
        <v>3.146524797754445</v>
      </c>
      <c r="V35" s="169">
        <f>P35*IFERROR(VLOOKUP(A35,[1]Tørstofindhold!A$2:B$24,2,FALSE),0)</f>
        <v>0</v>
      </c>
      <c r="W35">
        <f>IF(E35=År1,Q35,SUM(P35,Q35))*IFERROR(VLOOKUP(A35,[1]Tørstofindhold!A$2:B$24,2,FALSE),0)</f>
        <v>70967.814731961684</v>
      </c>
      <c r="X35">
        <f>K35*IFERROR(VLOOKUP(A35,[1]Tørstofindhold!A$2:B$24,2,FALSE),0)</f>
        <v>0</v>
      </c>
      <c r="Y35" s="170">
        <f t="shared" si="13"/>
        <v>70967.814731961684</v>
      </c>
      <c r="Z35">
        <f t="shared" si="1"/>
        <v>0</v>
      </c>
      <c r="AA35">
        <f t="shared" si="2"/>
        <v>0</v>
      </c>
      <c r="AB35" s="94">
        <f t="shared" si="8"/>
        <v>171006.78248665464</v>
      </c>
      <c r="AC35">
        <f>AB35*D35*10000*VLOOKUP(A35,[1]kcal!$A$2:$C$49,3,FALSE)/1000000000000</f>
        <v>0</v>
      </c>
    </row>
    <row r="36" spans="1:29" x14ac:dyDescent="0.25">
      <c r="A36" s="171" t="s">
        <v>306</v>
      </c>
      <c r="B36" s="171" t="s">
        <v>312</v>
      </c>
      <c r="C36" s="171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71">
        <v>0</v>
      </c>
      <c r="E36" s="171">
        <f t="shared" si="9"/>
        <v>2019</v>
      </c>
      <c r="F36" t="s">
        <v>23</v>
      </c>
      <c r="G36" s="94">
        <f>IF(F36="Vestdanmark",SUMIFS(IF(E36=År1,'Resultater - Vestdanmark'!H$3:H$504,IF(E36=År2,'Resultater - Vestdanmark'!I$3:I$504,'Resultater - Vestdanmark'!J$3:J$504)),'Resultater - Vestdanmark'!$F$3:$F$504,$A36,IF(E36=År1,'Resultater - Vestdanmark'!H$3:H$504,IF(E36=År2,'Resultater - Vestdanmark'!I$3:I$504,'Resultater - Vestdanmark'!J$3:J$504)),"&gt;0"),SUMIFS(IF(E36=År1,'Resultater - Østdanmark'!H$3:H$504,IF(E36=År2,'Resultater - Østdanmark'!I$3:I$504,'Resultater - Østdanmark'!J$3:J$504)),'Resultater - Østdanmark'!$F$3:$F$504,$A36,IF(E36=År1,'Resultater - Østdanmark'!H$3:H$504,IF(E36=År2,'Resultater - Østdanmark'!I$3:I$504,'Resultater - Østdanmark'!J$3:J$504)),"&gt;0"))</f>
        <v>0</v>
      </c>
      <c r="H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forbrug'!H$3,'Forbrug af biomasse'!$B$2:$B$425,$F36)</f>
        <v>0</v>
      </c>
      <c r="I36">
        <f>IF(F36="Vestdanmark",-IF(A36="Halm",SUMIFS(IF(E36=År1,'Resultater - Vestdanmark'!H$3:H$504,IF(E36=År2,'Resultater - Vestdanmark'!I$3:I$504,'Resultater - Vestdanmark'!J$3:J$504)),'Resultater - Vestdanmark'!$F$3:$F$504,$A36,'Resultater - Vestdanmark'!H$3:H$504,"&lt;0"),0),-IF(A36="Halm",SUMIFS(IF(E36=År1,'Resultater - Østdanmark'!H$3:H$504,IF(E36=År2,'Resultater - Østdanmark'!I$3:I$504,'Resultater - Østdanmark'!J$3:J$504)),'Resultater - Østdanmark'!$F$3:$F$504,$A36,'Resultater - Østdanmark'!H$3:H$504,"&lt;0"),0))</f>
        <v>0</v>
      </c>
      <c r="J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forbrug'!J$3,'Forbrug af biomasse'!$B$2:$B$425,$F36)</f>
        <v>0</v>
      </c>
      <c r="K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forbrug'!K$3,'Forbrug af biomasse'!$B$2:$B$425,$F36)</f>
        <v>0</v>
      </c>
      <c r="L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forbrug'!L$3,'Forbrug af biomasse'!$B$2:$B$425,$F36)</f>
        <v>0</v>
      </c>
      <c r="M36" s="94">
        <f>IF(A36&lt;&gt;"Biogas",SUMIFS('Forbrug af biomasse'!$E$2:$E$425,'Forbrug af biomasse'!$C$2:$C$425,'Resultat-Produktion &amp; forbrug'!$A36,'Forbrug af biomasse'!$D$2:$D$425,'Resultat-Produktion &amp; forbrug'!$E36,'Forbrug af biomasse'!$A$2:$A$425,'Resultat-Produktion &amp; forbrug'!M$3,'Forbrug af biomasse'!$B$2:$B$425,$F36),G36)</f>
        <v>0</v>
      </c>
      <c r="N36" s="94">
        <f>SUMIFS('Forbrug af biomasse'!E:E,'Forbrug af biomasse'!C:C,'Resultat-Produktion &amp; forbrug'!$A36,'Forbrug af biomasse'!D:D,'Resultat-Produktion &amp; forbrug'!$E36,'Forbrug af biomasse'!G:G,1,'Forbrug af biomasse'!B:B,$F36)</f>
        <v>0</v>
      </c>
      <c r="O36" s="179">
        <f t="shared" ref="O36:O37" si="14">G36-SUM(H36:N36)</f>
        <v>0</v>
      </c>
      <c r="P36" s="94">
        <f t="shared" si="4"/>
        <v>0</v>
      </c>
      <c r="Q36" s="180">
        <f t="shared" ref="Q36:Q37" si="15">SUM(K36,M36)</f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IF(A36&lt;&gt;"Biogas",IFERROR(VLOOKUP(A36,[1]Biogasudbytte!$A$2:$B$18,2,FALSE)*[1]Energiindhold!$C$10,0)*K36*IFERROR(VLOOKUP(A36,Biogasanlæg!$F$3:$G$8,2,FALSE),1)+IFERROR(VLOOKUP(A36,[1]Energiindhold!$A$2:$C$11,3,FALSE),0)*M36+IF(E36&lt;&gt;År1,R36,0),0)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ref="U36:U37" si="16">S36-T36</f>
        <v>0</v>
      </c>
      <c r="V36" s="169">
        <f>P36*IFERROR(VLOOKUP(A36,[1]Tørstofindhold!A$2:B$24,2,FALSE),0)</f>
        <v>0</v>
      </c>
      <c r="W36">
        <f>IF(E36=År1,Q36,SUM(P36,Q36))*IFERROR(VLOOKUP(A36,[1]Tørstofindhold!A$2:B$24,2,FALSE),0)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ref="Y36:Y37" si="17">W36-X36</f>
        <v>0</v>
      </c>
      <c r="Z36">
        <f t="shared" si="1"/>
        <v>0</v>
      </c>
      <c r="AA36">
        <f t="shared" si="2"/>
        <v>0</v>
      </c>
      <c r="AB36" s="94">
        <f t="shared" si="8"/>
        <v>0</v>
      </c>
      <c r="AC36">
        <f>AB36*D36*10000*VLOOKUP(A36,[1]kcal!$A$2:$C$49,3,FALSE)/1000000000000</f>
        <v>0</v>
      </c>
    </row>
    <row r="37" spans="1:29" x14ac:dyDescent="0.25">
      <c r="A37" s="171" t="s">
        <v>307</v>
      </c>
      <c r="B37" s="171" t="s">
        <v>312</v>
      </c>
      <c r="C37" s="171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1</v>
      </c>
      <c r="D37" s="171">
        <v>0</v>
      </c>
      <c r="E37" s="171">
        <f t="shared" si="9"/>
        <v>2019</v>
      </c>
      <c r="F37" t="s">
        <v>23</v>
      </c>
      <c r="G37" s="94">
        <f>IF(F37="Vestdanmark",SUMIFS(IF(E37=År1,'Resultater - Vestdanmark'!H$3:H$504,IF(E37=År2,'Resultater - Vestdanmark'!I$3:I$504,'Resultater - Vestdanmark'!J$3:J$504)),'Resultater - Vestdanmark'!$F$3:$F$504,$A37,IF(E37=År1,'Resultater - Vestdanmark'!H$3:H$504,IF(E37=År2,'Resultater - Vestdanmark'!I$3:I$504,'Resultater - Vestdanmark'!J$3:J$504)),"&gt;0"),SUMIFS(IF(E37=År1,'Resultater - Østdanmark'!H$3:H$504,IF(E37=År2,'Resultater - Østdanmark'!I$3:I$504,'Resultater - Østdanmark'!J$3:J$504)),'Resultater - Østdanmark'!$F$3:$F$504,$A37,IF(E37=År1,'Resultater - Østdanmark'!H$3:H$504,IF(E37=År2,'Resultater - Østdanmark'!I$3:I$504,'Resultater - Østdanmark'!J$3:J$504)),"&gt;0"))</f>
        <v>0</v>
      </c>
      <c r="H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forbrug'!H$3,'Forbrug af biomasse'!$B$2:$B$425,$F37)</f>
        <v>0</v>
      </c>
      <c r="I37">
        <f>IF(F37="Vestdanmark",-IF(A37="Halm",SUMIFS(IF(E37=År1,'Resultater - Vestdanmark'!H$3:H$504,IF(E37=År2,'Resultater - Vestdanmark'!I$3:I$504,'Resultater - Vestdanmark'!J$3:J$504)),'Resultater - Vestdanmark'!$F$3:$F$504,$A37,'Resultater - Vestdanmark'!H$3:H$504,"&lt;0"),0),-IF(A37="Halm",SUMIFS(IF(E37=År1,'Resultater - Østdanmark'!H$3:H$504,IF(E37=År2,'Resultater - Østdanmark'!I$3:I$504,'Resultater - Østdanmark'!J$3:J$504)),'Resultater - Østdanmark'!$F$3:$F$504,$A37,'Resultater - Østdanmark'!H$3:H$504,"&lt;0"),0))</f>
        <v>0</v>
      </c>
      <c r="J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forbrug'!J$3,'Forbrug af biomasse'!$B$2:$B$425,$F37)</f>
        <v>0</v>
      </c>
      <c r="K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forbrug'!K$3,'Forbrug af biomasse'!$B$2:$B$425,$F37)</f>
        <v>0</v>
      </c>
      <c r="L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forbrug'!L$3,'Forbrug af biomasse'!$B$2:$B$425,$F37)</f>
        <v>0</v>
      </c>
      <c r="M37" s="94">
        <f>IF(A37&lt;&gt;"Biogas",SUMIFS('Forbrug af biomasse'!$E$2:$E$425,'Forbrug af biomasse'!$C$2:$C$425,'Resultat-Produktion &amp; forbrug'!$A37,'Forbrug af biomasse'!$D$2:$D$425,'Resultat-Produktion &amp; forbrug'!$E37,'Forbrug af biomasse'!$A$2:$A$425,'Resultat-Produktion &amp; forbrug'!M$3,'Forbrug af biomasse'!$B$2:$B$425,$F37),G37)</f>
        <v>0</v>
      </c>
      <c r="N37" s="94">
        <f>SUMIFS('Forbrug af biomasse'!E:E,'Forbrug af biomasse'!C:C,'Resultat-Produktion &amp; forbrug'!$A37,'Forbrug af biomasse'!D:D,'Resultat-Produktion &amp; forbrug'!$E37,'Forbrug af biomasse'!G:G,1,'Forbrug af biomasse'!B:B,$F37)</f>
        <v>0</v>
      </c>
      <c r="O37" s="179">
        <f t="shared" si="14"/>
        <v>0</v>
      </c>
      <c r="P37" s="94">
        <f t="shared" si="4"/>
        <v>0</v>
      </c>
      <c r="Q37" s="180">
        <f t="shared" si="15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IF(A37&lt;&gt;"Biogas",IFERROR(VLOOKUP(A37,[1]Biogasudbytte!$A$2:$B$18,2,FALSE)*[1]Energiindhold!$C$10,0)*K37*IFERROR(VLOOKUP(A37,Biogasanlæg!$F$3:$G$8,2,FALSE),1)+IFERROR(VLOOKUP(A37,[1]Energiindhold!$A$2:$C$11,3,FALSE),0)*M37+IF(E37&lt;&gt;År1,R37,0),0)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16"/>
        <v>0</v>
      </c>
      <c r="V37" s="169">
        <f>P37*IFERROR(VLOOKUP(A37,[1]Tørstofindhold!A$2:B$24,2,FALSE),0)</f>
        <v>0</v>
      </c>
      <c r="W37">
        <f>IF(E37=År1,Q37,SUM(P37,Q37))*IFERROR(VLOOKUP(A37,[1]Tørstofindhold!A$2:B$24,2,FALSE),0)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si="17"/>
        <v>0</v>
      </c>
      <c r="Z37">
        <f t="shared" si="1"/>
        <v>0</v>
      </c>
      <c r="AA37">
        <f t="shared" si="2"/>
        <v>0</v>
      </c>
      <c r="AB37" s="94">
        <f t="shared" si="8"/>
        <v>0</v>
      </c>
      <c r="AC37">
        <f>AB37*D37*10000*VLOOKUP(A37,[1]kcal!$A$2:$C$49,3,FALSE)/1000000000000</f>
        <v>0</v>
      </c>
    </row>
    <row r="38" spans="1:29" x14ac:dyDescent="0.25">
      <c r="A38" s="171" t="s">
        <v>117</v>
      </c>
      <c r="B38" s="171"/>
      <c r="C38" s="171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71">
        <v>0</v>
      </c>
      <c r="E38" s="171">
        <f t="shared" si="9"/>
        <v>2019</v>
      </c>
      <c r="F38" t="s">
        <v>23</v>
      </c>
      <c r="G38" s="94">
        <f>IF(F38="Vestdanmark",SUMIFS(IF(E38=År1,'Resultater - Vestdanmark'!H$3:H$504,IF(E38=År2,'Resultater - Vestdanmark'!I$3:I$504,'Resultater - Vestdanmark'!J$3:J$504)),'Resultater - Vestdanmark'!$F$3:$F$504,$A38,IF(E38=År1,'Resultater - Vestdanmark'!H$3:H$504,IF(E38=År2,'Resultater - Vestdanmark'!I$3:I$504,'Resultater - Vestdanmark'!J$3:J$504)),"&gt;0"),SUMIFS(IF(E38=År1,'Resultater - Østdanmark'!H$3:H$504,IF(E38=År2,'Resultater - Østdanmark'!I$3:I$504,'Resultater - Østdanmark'!J$3:J$504)),'Resultater - Østdanmark'!$F$3:$F$504,$A38,IF(E38=År1,'Resultater - Østdanmark'!H$3:H$504,IF(E38=År2,'Resultater - Østdanmark'!I$3:I$504,'Resultater - Østdanmark'!J$3:J$504)),"&gt;0"))</f>
        <v>4922001.9803787302</v>
      </c>
      <c r="H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forbrug'!H$3,'Forbrug af biomasse'!$B$2:$B$425,$F38)</f>
        <v>0</v>
      </c>
      <c r="I38">
        <f>IF(F38="Vestdanmark",-IF(A38="Halm",SUMIFS(IF(E38=År1,'Resultater - Vestdanmark'!H$3:H$504,IF(E38=År2,'Resultater - Vestdanmark'!I$3:I$504,'Resultater - Vestdanmark'!J$3:J$504)),'Resultater - Vestdanmark'!$F$3:$F$504,$A38,'Resultater - Vestdanmark'!H$3:H$504,"&lt;0"),0),-IF(A38="Halm",SUMIFS(IF(E38=År1,'Resultater - Østdanmark'!H$3:H$504,IF(E38=År2,'Resultater - Østdanmark'!I$3:I$504,'Resultater - Østdanmark'!J$3:J$504)),'Resultater - Østdanmark'!$F$3:$F$504,$A38,'Resultater - Østdanmark'!H$3:H$504,"&lt;0"),0))</f>
        <v>0</v>
      </c>
      <c r="J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forbrug'!J$3,'Forbrug af biomasse'!$B$2:$B$425,$F38)</f>
        <v>0</v>
      </c>
      <c r="K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forbrug'!K$3,'Forbrug af biomasse'!$B$2:$B$425,$F38)</f>
        <v>0</v>
      </c>
      <c r="L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forbrug'!L$3,'Forbrug af biomasse'!$B$2:$B$425,$F38)</f>
        <v>0</v>
      </c>
      <c r="M38" s="94">
        <f>IF(A38&lt;&gt;"Biogas",SUMIFS('Forbrug af biomasse'!$E$2:$E$425,'Forbrug af biomasse'!$C$2:$C$425,'Resultat-Produktion &amp; forbrug'!$A38,'Forbrug af biomasse'!$D$2:$D$425,'Resultat-Produktion &amp; forbrug'!$E38,'Forbrug af biomasse'!$A$2:$A$425,'Resultat-Produktion &amp; forbrug'!M$3,'Forbrug af biomasse'!$B$2:$B$425,$F38),G38)</f>
        <v>0</v>
      </c>
      <c r="N38" s="94">
        <f>SUMIFS('Forbrug af biomasse'!E:E,'Forbrug af biomasse'!C:C,'Resultat-Produktion &amp; forbrug'!$A38,'Forbrug af biomasse'!D:D,'Resultat-Produktion &amp; forbrug'!$E38,'Forbrug af biomasse'!G:G,1,'Forbrug af biomasse'!B:B,$F38)</f>
        <v>0</v>
      </c>
      <c r="O38" s="179">
        <f t="shared" si="10"/>
        <v>4922001.9803787302</v>
      </c>
      <c r="P38" s="94">
        <f t="shared" si="4"/>
        <v>0</v>
      </c>
      <c r="Q38" s="180">
        <f t="shared" si="11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IF(A38&lt;&gt;"Biogas",IFERROR(VLOOKUP(A38,[1]Biogasudbytte!$A$2:$B$18,2,FALSE)*[1]Energiindhold!$C$10,0)*K38*IFERROR(VLOOKUP(A38,Biogasanlæg!$F$3:$G$8,2,FALSE),1)+IFERROR(VLOOKUP(A38,[1]Energiindhold!$A$2:$C$11,3,FALSE),0)*M38+IF(E38&lt;&gt;År1,R38,0),0)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12"/>
        <v>0</v>
      </c>
      <c r="V38" s="169">
        <f>P38*IFERROR(VLOOKUP(A38,[1]Tørstofindhold!A$2:B$24,2,FALSE),0)</f>
        <v>0</v>
      </c>
      <c r="W38">
        <f>IF(E38=År1,Q38,SUM(P38,Q38))*IFERROR(VLOOKUP(A38,[1]Tørstofindhold!A$2:B$24,2,FALSE),0)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13"/>
        <v>0</v>
      </c>
      <c r="Z38">
        <f t="shared" si="1"/>
        <v>0</v>
      </c>
      <c r="AA38">
        <f t="shared" si="2"/>
        <v>1</v>
      </c>
      <c r="AB38" s="94">
        <f t="shared" si="8"/>
        <v>4922001.9803787302</v>
      </c>
      <c r="AC38">
        <f>AB38*D38*10000*VLOOKUP(A38,[1]kcal!$A$2:$C$49,3,FALSE)/1000000000000</f>
        <v>0</v>
      </c>
    </row>
    <row r="39" spans="1:29" x14ac:dyDescent="0.25">
      <c r="A39" t="s">
        <v>50</v>
      </c>
      <c r="B39" s="171"/>
      <c r="C39" s="171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71">
        <v>0</v>
      </c>
      <c r="E39" s="171">
        <f t="shared" si="9"/>
        <v>2019</v>
      </c>
      <c r="F39" t="s">
        <v>23</v>
      </c>
      <c r="G39" s="94">
        <f>IF(F39="Vestdanmark",SUMIFS(IF(E39=År1,'Resultater - Vestdanmark'!H$3:H$504,IF(E39=År2,'Resultater - Vestdanmark'!I$3:I$504,'Resultater - Vestdanmark'!J$3:J$504)),'Resultater - Vestdanmark'!$F$3:$F$504,$A39,IF(E39=År1,'Resultater - Vestdanmark'!H$3:H$504,IF(E39=År2,'Resultater - Vestdanmark'!I$3:I$504,'Resultater - Vestdanmark'!J$3:J$504)),"&gt;0"),SUMIFS(IF(E39=År1,'Resultater - Østdanmark'!H$3:H$504,IF(E39=År2,'Resultater - Østdanmark'!I$3:I$504,'Resultater - Østdanmark'!J$3:J$504)),'Resultater - Østdanmark'!$F$3:$F$504,$A39,IF(E39=År1,'Resultater - Østdanmark'!H$3:H$504,IF(E39=År2,'Resultater - Østdanmark'!I$3:I$504,'Resultater - Østdanmark'!J$3:J$504)),"&gt;0"))</f>
        <v>485762.00237315823</v>
      </c>
      <c r="H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forbrug'!H$3,'Forbrug af biomasse'!$B$2:$B$425,$F39)</f>
        <v>0</v>
      </c>
      <c r="I39">
        <f>IF(F39="Vestdanmark",-IF(A39="Halm",SUMIFS(IF(E39=År1,'Resultater - Vestdanmark'!H$3:H$504,IF(E39=År2,'Resultater - Vestdanmark'!I$3:I$504,'Resultater - Vestdanmark'!J$3:J$504)),'Resultater - Vestdanmark'!$F$3:$F$504,$A39,'Resultater - Vestdanmark'!H$3:H$504,"&lt;0"),0),-IF(A39="Halm",SUMIFS(IF(E39=År1,'Resultater - Østdanmark'!H$3:H$504,IF(E39=År2,'Resultater - Østdanmark'!I$3:I$504,'Resultater - Østdanmark'!J$3:J$504)),'Resultater - Østdanmark'!$F$3:$F$504,$A39,'Resultater - Østdanmark'!H$3:H$504,"&lt;0"),0))</f>
        <v>0</v>
      </c>
      <c r="J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forbrug'!J$3,'Forbrug af biomasse'!$B$2:$B$425,$F39)</f>
        <v>0</v>
      </c>
      <c r="K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forbrug'!K$3,'Forbrug af biomasse'!$B$2:$B$425,$F39)</f>
        <v>0</v>
      </c>
      <c r="L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forbrug'!L$3,'Forbrug af biomasse'!$B$2:$B$425,$F39)</f>
        <v>0</v>
      </c>
      <c r="M39" s="94">
        <f>IF(A39&lt;&gt;"Biogas",SUMIFS('Forbrug af biomasse'!$E$2:$E$425,'Forbrug af biomasse'!$C$2:$C$425,'Resultat-Produktion &amp; forbrug'!$A39,'Forbrug af biomasse'!$D$2:$D$425,'Resultat-Produktion &amp; forbrug'!$E39,'Forbrug af biomasse'!$A$2:$A$425,'Resultat-Produktion &amp; forbrug'!M$3,'Forbrug af biomasse'!$B$2:$B$425,$F39),G39)</f>
        <v>0</v>
      </c>
      <c r="N39" s="94">
        <f>SUMIFS('Forbrug af biomasse'!E:E,'Forbrug af biomasse'!C:C,'Resultat-Produktion &amp; forbrug'!$A39,'Forbrug af biomasse'!D:D,'Resultat-Produktion &amp; forbrug'!$E39,'Forbrug af biomasse'!G:G,1,'Forbrug af biomasse'!B:B,$F39)</f>
        <v>485762.00237315823</v>
      </c>
      <c r="O39" s="179">
        <f t="shared" si="10"/>
        <v>0</v>
      </c>
      <c r="P39" s="94">
        <f t="shared" si="4"/>
        <v>0</v>
      </c>
      <c r="Q39" s="180">
        <f t="shared" si="11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IF(A39&lt;&gt;"Biogas",IFERROR(VLOOKUP(A39,[1]Biogasudbytte!$A$2:$B$18,2,FALSE)*[1]Energiindhold!$C$10,0)*K39*IFERROR(VLOOKUP(A39,Biogasanlæg!$F$3:$G$8,2,FALSE),1)+IFERROR(VLOOKUP(A39,[1]Energiindhold!$A$2:$C$11,3,FALSE),0)*M39+IF(E39&lt;&gt;År1,R39,0),0)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12"/>
        <v>0</v>
      </c>
      <c r="V39" s="169">
        <f>P39*IFERROR(VLOOKUP(A39,[1]Tørstofindhold!A$2:B$24,2,FALSE),0)</f>
        <v>0</v>
      </c>
      <c r="W39">
        <f>IF(E39=År1,Q39,SUM(P39,Q39))*IFERROR(VLOOKUP(A39,[1]Tørstofindhold!A$2:B$24,2,FALSE),0)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13"/>
        <v>0</v>
      </c>
      <c r="Z39">
        <f t="shared" si="1"/>
        <v>0</v>
      </c>
      <c r="AA39">
        <f t="shared" si="2"/>
        <v>0</v>
      </c>
      <c r="AB39" s="94">
        <f t="shared" si="8"/>
        <v>485762.00237315823</v>
      </c>
      <c r="AC39">
        <f>AB39*D39*10000*VLOOKUP(A39,[1]kcal!$A$2:$C$49,3,FALSE)/1000000000000</f>
        <v>0</v>
      </c>
    </row>
    <row r="40" spans="1:29" x14ac:dyDescent="0.25">
      <c r="A40" t="s">
        <v>238</v>
      </c>
      <c r="B40" s="171"/>
      <c r="C40" s="171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0</v>
      </c>
      <c r="D40" s="171">
        <v>0</v>
      </c>
      <c r="E40" s="171">
        <f t="shared" si="9"/>
        <v>2019</v>
      </c>
      <c r="F40" t="s">
        <v>23</v>
      </c>
      <c r="G40" s="94">
        <f>IF(F40="Vestdanmark",SUMIFS(IF(E40=År1,'Resultater - Vestdanmark'!H$3:H$504,IF(E40=År2,'Resultater - Vestdanmark'!I$3:I$504,'Resultater - Vestdanmark'!J$3:J$504)),'Resultater - Vestdanmark'!$F$3:$F$504,$A40,IF(E40=År1,'Resultater - Vestdanmark'!H$3:H$504,IF(E40=År2,'Resultater - Vestdanmark'!I$3:I$504,'Resultater - Vestdanmark'!J$3:J$504)),"&gt;0"),SUMIFS(IF(E40=År1,'Resultater - Østdanmark'!H$3:H$504,IF(E40=År2,'Resultater - Østdanmark'!I$3:I$504,'Resultater - Østdanmark'!J$3:J$504)),'Resultater - Østdanmark'!$F$3:$F$504,$A40,IF(E40=År1,'Resultater - Østdanmark'!H$3:H$504,IF(E40=År2,'Resultater - Østdanmark'!I$3:I$504,'Resultater - Østdanmark'!J$3:J$504)),"&gt;0"))</f>
        <v>242881.00118657912</v>
      </c>
      <c r="H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forbrug'!H$3,'Forbrug af biomasse'!$B$2:$B$425,$F40)</f>
        <v>214099.10609126228</v>
      </c>
      <c r="I40">
        <f>IF(F40="Vestdanmark",-IF(A40="Halm",SUMIFS(IF(E40=År1,'Resultater - Vestdanmark'!H$3:H$504,IF(E40=År2,'Resultater - Vestdanmark'!I$3:I$504,'Resultater - Vestdanmark'!J$3:J$504)),'Resultater - Vestdanmark'!$F$3:$F$504,$A40,'Resultater - Vestdanmark'!H$3:H$504,"&lt;0"),0),-IF(A40="Halm",SUMIFS(IF(E40=År1,'Resultater - Østdanmark'!H$3:H$504,IF(E40=År2,'Resultater - Østdanmark'!I$3:I$504,'Resultater - Østdanmark'!J$3:J$504)),'Resultater - Østdanmark'!$F$3:$F$504,$A40,'Resultater - Østdanmark'!H$3:H$504,"&lt;0"),0))</f>
        <v>0</v>
      </c>
      <c r="J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forbrug'!J$3,'Forbrug af biomasse'!$B$2:$B$425,$F40)</f>
        <v>0</v>
      </c>
      <c r="K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forbrug'!K$3,'Forbrug af biomasse'!$B$2:$B$425,$F40)</f>
        <v>0</v>
      </c>
      <c r="L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forbrug'!L$3,'Forbrug af biomasse'!$B$2:$B$425,$F40)</f>
        <v>0</v>
      </c>
      <c r="M40" s="94">
        <f>IF(A40&lt;&gt;"Biogas",SUMIFS('Forbrug af biomasse'!$E$2:$E$425,'Forbrug af biomasse'!$C$2:$C$425,'Resultat-Produktion &amp; forbrug'!$A40,'Forbrug af biomasse'!$D$2:$D$425,'Resultat-Produktion &amp; forbrug'!$E40,'Forbrug af biomasse'!$A$2:$A$425,'Resultat-Produktion &amp; forbrug'!M$3,'Forbrug af biomasse'!$B$2:$B$425,$F40),G40)</f>
        <v>0</v>
      </c>
      <c r="N40" s="94">
        <f>SUMIFS('Forbrug af biomasse'!E:E,'Forbrug af biomasse'!C:C,'Resultat-Produktion &amp; forbrug'!$A40,'Forbrug af biomasse'!D:D,'Resultat-Produktion &amp; forbrug'!$E40,'Forbrug af biomasse'!G:G,1,'Forbrug af biomasse'!B:B,$F40)</f>
        <v>0</v>
      </c>
      <c r="O40" s="179">
        <f t="shared" si="10"/>
        <v>28781.895095316839</v>
      </c>
      <c r="P40" s="94">
        <f t="shared" si="4"/>
        <v>0</v>
      </c>
      <c r="Q40" s="180">
        <f t="shared" si="11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IF(A40&lt;&gt;"Biogas",IFERROR(VLOOKUP(A40,[1]Biogasudbytte!$A$2:$B$18,2,FALSE)*[1]Energiindhold!$C$10,0)*K40*IFERROR(VLOOKUP(A40,Biogasanlæg!$F$3:$G$8,2,FALSE),1)+IFERROR(VLOOKUP(A40,[1]Energiindhold!$A$2:$C$11,3,FALSE),0)*M40+IF(E40&lt;&gt;År1,R40,0),0)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12"/>
        <v>0</v>
      </c>
      <c r="V40" s="169">
        <f>P40*IFERROR(VLOOKUP(A40,[1]Tørstofindhold!A$2:B$24,2,FALSE),0)</f>
        <v>0</v>
      </c>
      <c r="W40">
        <f>IF(E40=År1,Q40,SUM(P40,Q40))*IFERROR(VLOOKUP(A40,[1]Tørstofindhold!A$2:B$24,2,FALSE),0)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13"/>
        <v>0</v>
      </c>
      <c r="Z40">
        <f t="shared" si="1"/>
        <v>0</v>
      </c>
      <c r="AA40">
        <f t="shared" si="2"/>
        <v>1</v>
      </c>
      <c r="AB40" s="94">
        <f t="shared" si="8"/>
        <v>28781.895095316839</v>
      </c>
      <c r="AC40">
        <f>AB40*D40*10000*VLOOKUP(A40,[1]kcal!$A$2:$C$49,3,FALSE)/1000000000000</f>
        <v>0</v>
      </c>
    </row>
    <row r="41" spans="1:29" x14ac:dyDescent="0.25">
      <c r="A41" t="s">
        <v>231</v>
      </c>
      <c r="B41" s="171" t="s">
        <v>231</v>
      </c>
      <c r="C41" s="171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71">
        <v>1</v>
      </c>
      <c r="E41" s="171">
        <f t="shared" si="9"/>
        <v>2019</v>
      </c>
      <c r="F41" t="s">
        <v>23</v>
      </c>
      <c r="G41" s="94">
        <f>IF(F41="Vestdanmark",SUMIFS(IF(E41=År1,'Resultater - Vestdanmark'!H$3:H$504,IF(E41=År2,'Resultater - Vestdanmark'!I$3:I$504,'Resultater - Vestdanmark'!J$3:J$504)),'Resultater - Vestdanmark'!$F$3:$F$504,$A41,IF(E41=År1,'Resultater - Vestdanmark'!H$3:H$504,IF(E41=År2,'Resultater - Vestdanmark'!I$3:I$504,'Resultater - Vestdanmark'!J$3:J$504)),"&gt;0"),SUMIFS(IF(E41=År1,'Resultater - Østdanmark'!H$3:H$504,IF(E41=År2,'Resultater - Østdanmark'!I$3:I$504,'Resultater - Østdanmark'!J$3:J$504)),'Resultater - Østdanmark'!$F$3:$F$504,$A41,IF(E41=År1,'Resultater - Østdanmark'!H$3:H$504,IF(E41=År2,'Resultater - Østdanmark'!I$3:I$504,'Resultater - Østdanmark'!J$3:J$504)),"&gt;0"))</f>
        <v>155443.84075941064</v>
      </c>
      <c r="H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forbrug'!H$3,'Forbrug af biomasse'!$B$2:$B$425,$F41)</f>
        <v>0</v>
      </c>
      <c r="I41">
        <f>IF(F41="Vestdanmark",-IF(A41="Halm",SUMIFS(IF(E41=År1,'Resultater - Vestdanmark'!H$3:H$504,IF(E41=År2,'Resultater - Vestdanmark'!I$3:I$504,'Resultater - Vestdanmark'!J$3:J$504)),'Resultater - Vestdanmark'!$F$3:$F$504,$A41,'Resultater - Vestdanmark'!H$3:H$504,"&lt;0"),0),-IF(A41="Halm",SUMIFS(IF(E41=År1,'Resultater - Østdanmark'!H$3:H$504,IF(E41=År2,'Resultater - Østdanmark'!I$3:I$504,'Resultater - Østdanmark'!J$3:J$504)),'Resultater - Østdanmark'!$F$3:$F$504,$A41,'Resultater - Østdanmark'!H$3:H$504,"&lt;0"),0))</f>
        <v>0</v>
      </c>
      <c r="J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forbrug'!J$3,'Forbrug af biomasse'!$B$2:$B$425,$F41)</f>
        <v>0</v>
      </c>
      <c r="K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forbrug'!K$3,'Forbrug af biomasse'!$B$2:$B$425,$F41)</f>
        <v>0</v>
      </c>
      <c r="L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forbrug'!L$3,'Forbrug af biomasse'!$B$2:$B$425,$F41)</f>
        <v>0</v>
      </c>
      <c r="M41" s="94">
        <f>IF(A41&lt;&gt;"Biogas",SUMIFS('Forbrug af biomasse'!$E$2:$E$425,'Forbrug af biomasse'!$C$2:$C$425,'Resultat-Produktion &amp; forbrug'!$A41,'Forbrug af biomasse'!$D$2:$D$425,'Resultat-Produktion &amp; forbrug'!$E41,'Forbrug af biomasse'!$A$2:$A$425,'Resultat-Produktion &amp; forbrug'!M$3,'Forbrug af biomasse'!$B$2:$B$425,$F41),G41)</f>
        <v>80830.79719489353</v>
      </c>
      <c r="N41" s="94">
        <f>SUMIFS('Forbrug af biomasse'!E:E,'Forbrug af biomasse'!C:C,'Resultat-Produktion &amp; forbrug'!$A41,'Forbrug af biomasse'!D:D,'Resultat-Produktion &amp; forbrug'!$E41,'Forbrug af biomasse'!G:G,1,'Forbrug af biomasse'!B:B,$F41)</f>
        <v>74613.043564517109</v>
      </c>
      <c r="O41" s="179">
        <f t="shared" si="10"/>
        <v>0</v>
      </c>
      <c r="P41" s="94">
        <f t="shared" si="4"/>
        <v>0</v>
      </c>
      <c r="Q41" s="180">
        <f t="shared" si="11"/>
        <v>80830.79719489353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IF(A41&lt;&gt;"Biogas",IFERROR(VLOOKUP(A41,[1]Biogasudbytte!$A$2:$B$18,2,FALSE)*[1]Energiindhold!$C$10,0)*K41*IFERROR(VLOOKUP(A41,Biogasanlæg!$F$3:$G$8,2,FALSE),1)+IFERROR(VLOOKUP(A41,[1]Energiindhold!$A$2:$C$11,3,FALSE),0)*M41+IF(E41&lt;&gt;År1,R41,0),0)</f>
        <v>2.8290779018212735</v>
      </c>
      <c r="T41">
        <f>IFERROR(VLOOKUP(A41,[1]Biogasudbytte!$A$2:$B$18,2,FALSE)*[1]Energiindhold!$C$10,0)*K41*IFERROR(VLOOKUP(A41,Biogasanlæg!$F$3:$G$8,2,FALSE),1)</f>
        <v>0</v>
      </c>
      <c r="U41" s="170">
        <f t="shared" si="12"/>
        <v>2.8290779018212735</v>
      </c>
      <c r="V41" s="169">
        <f>P41*IFERROR(VLOOKUP(A41,[1]Tørstofindhold!A$2:B$24,2,FALSE),0)</f>
        <v>0</v>
      </c>
      <c r="W41">
        <f>IF(E41=År1,Q41,SUM(P41,Q41))*IFERROR(VLOOKUP(A41,[1]Tørstofindhold!A$2:B$24,2,FALSE),0)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13"/>
        <v>0</v>
      </c>
      <c r="Z41">
        <f t="shared" si="1"/>
        <v>0</v>
      </c>
      <c r="AA41">
        <f t="shared" si="2"/>
        <v>0</v>
      </c>
      <c r="AB41" s="94">
        <f t="shared" si="8"/>
        <v>155443.84075941064</v>
      </c>
      <c r="AC41">
        <f>AB41*D41*10000*VLOOKUP(A41,[1]kcal!$A$2:$C$49,3,FALSE)/1000000000000</f>
        <v>1.3989945668346957</v>
      </c>
    </row>
    <row r="42" spans="1:29" x14ac:dyDescent="0.25">
      <c r="A42" t="s">
        <v>52</v>
      </c>
      <c r="B42" s="171" t="s">
        <v>224</v>
      </c>
      <c r="C42" s="171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1</v>
      </c>
      <c r="D42" s="171">
        <v>1</v>
      </c>
      <c r="E42" s="171">
        <f t="shared" si="9"/>
        <v>2019</v>
      </c>
      <c r="F42" t="s">
        <v>23</v>
      </c>
      <c r="G42" s="94">
        <f>IF(F42="Vestdanmark",SUMIFS(IF(E42=År1,'Resultater - Vestdanmark'!H$3:H$504,IF(E42=År2,'Resultater - Vestdanmark'!I$3:I$504,'Resultater - Vestdanmark'!J$3:J$504)),'Resultater - Vestdanmark'!$F$3:$F$504,$A42,IF(E42=År1,'Resultater - Vestdanmark'!H$3:H$504,IF(E42=År2,'Resultater - Vestdanmark'!I$3:I$504,'Resultater - Vestdanmark'!J$3:J$504)),"&gt;0"),SUMIFS(IF(E42=År1,'Resultater - Østdanmark'!H$3:H$504,IF(E42=År2,'Resultater - Østdanmark'!I$3:I$504,'Resultater - Østdanmark'!J$3:J$504)),'Resultater - Østdanmark'!$F$3:$F$504,$A42,IF(E42=År1,'Resultater - Østdanmark'!H$3:H$504,IF(E42=År2,'Resultater - Østdanmark'!I$3:I$504,'Resultater - Østdanmark'!J$3:J$504)),"&gt;0"))</f>
        <v>377517.57644613879</v>
      </c>
      <c r="H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forbrug'!H$3,'Forbrug af biomasse'!$B$2:$B$425,$F42)</f>
        <v>841167.61765562883</v>
      </c>
      <c r="I42">
        <f>IF(F42="Vestdanmark",-IF(A42="Halm",SUMIFS(IF(E42=År1,'Resultater - Vestdanmark'!H$3:H$504,IF(E42=År2,'Resultater - Vestdanmark'!I$3:I$504,'Resultater - Vestdanmark'!J$3:J$504)),'Resultater - Vestdanmark'!$F$3:$F$504,$A42,'Resultater - Vestdanmark'!H$3:H$504,"&lt;0"),0),-IF(A42="Halm",SUMIFS(IF(E42=År1,'Resultater - Østdanmark'!H$3:H$504,IF(E42=År2,'Resultater - Østdanmark'!I$3:I$504,'Resultater - Østdanmark'!J$3:J$504)),'Resultater - Østdanmark'!$F$3:$F$504,$A42,'Resultater - Østdanmark'!H$3:H$504,"&lt;0"),0))</f>
        <v>0</v>
      </c>
      <c r="J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forbrug'!J$3,'Forbrug af biomasse'!$B$2:$B$425,$F42)</f>
        <v>0</v>
      </c>
      <c r="K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forbrug'!K$3,'Forbrug af biomasse'!$B$2:$B$425,$F42)</f>
        <v>4141.9679702877811</v>
      </c>
      <c r="L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forbrug'!L$3,'Forbrug af biomasse'!$B$2:$B$425,$F42)</f>
        <v>0</v>
      </c>
      <c r="M42" s="94">
        <f>IF(A42&lt;&gt;"Biogas",SUMIFS('Forbrug af biomasse'!$E$2:$E$425,'Forbrug af biomasse'!$C$2:$C$425,'Resultat-Produktion &amp; forbrug'!$A42,'Forbrug af biomasse'!$D$2:$D$425,'Resultat-Produktion &amp; forbrug'!$E42,'Forbrug af biomasse'!$A$2:$A$425,'Resultat-Produktion &amp; forbrug'!M$3,'Forbrug af biomasse'!$B$2:$B$425,$F42),G42)</f>
        <v>0</v>
      </c>
      <c r="N42" s="94">
        <f>SUMIFS('Forbrug af biomasse'!E:E,'Forbrug af biomasse'!C:C,'Resultat-Produktion &amp; forbrug'!$A42,'Forbrug af biomasse'!D:D,'Resultat-Produktion &amp; forbrug'!$E42,'Forbrug af biomasse'!G:G,1,'Forbrug af biomasse'!B:B,$F42)</f>
        <v>0</v>
      </c>
      <c r="O42" s="179">
        <f t="shared" si="10"/>
        <v>-467792.00917977782</v>
      </c>
      <c r="P42" s="94">
        <f t="shared" si="4"/>
        <v>0</v>
      </c>
      <c r="Q42" s="180">
        <f t="shared" si="11"/>
        <v>4141.9679702877811</v>
      </c>
      <c r="R42">
        <f>IFERROR(VLOOKUP(A42,[1]Energiindhold!$A$2:$C$11,3,FALSE),IFERROR(VLOOKUP(A42,[1]Biogasudbytte!$A$2:$B$18,2,FALSE)*[1]Energiindhold!$C$10,0))*P42</f>
        <v>0</v>
      </c>
      <c r="S42">
        <f>IF(A42&lt;&gt;"Biogas",IFERROR(VLOOKUP(A42,[1]Biogasudbytte!$A$2:$B$18,2,FALSE)*[1]Energiindhold!$C$10,0)*K42*IFERROR(VLOOKUP(A42,Biogasanlæg!$F$3:$G$8,2,FALSE),1)+IFERROR(VLOOKUP(A42,[1]Energiindhold!$A$2:$C$11,3,FALSE),0)*M42+IF(E42&lt;&gt;År1,R42,0),0)</f>
        <v>1.1241466750079849E-2</v>
      </c>
      <c r="T42">
        <f>IFERROR(VLOOKUP(A42,[1]Biogasudbytte!$A$2:$B$18,2,FALSE)*[1]Energiindhold!$C$10,0)*K42*IFERROR(VLOOKUP(A42,Biogasanlæg!$F$3:$G$8,2,FALSE),1)</f>
        <v>1.1241466750079849E-2</v>
      </c>
      <c r="U42" s="170">
        <f t="shared" si="12"/>
        <v>0</v>
      </c>
      <c r="V42" s="169">
        <f>P42*IFERROR(VLOOKUP(A42,[1]Tørstofindhold!A$2:B$24,2,FALSE),0)</f>
        <v>0</v>
      </c>
      <c r="W42">
        <f>IF(E42=År1,Q42,SUM(P42,Q42))*IFERROR(VLOOKUP(A42,[1]Tørstofindhold!A$2:B$24,2,FALSE),0)</f>
        <v>828.39359405755624</v>
      </c>
      <c r="X42">
        <f>K42*IFERROR(VLOOKUP(A42,[1]Tørstofindhold!A$2:B$24,2,FALSE),0)</f>
        <v>828.39359405755624</v>
      </c>
      <c r="Y42" s="170">
        <f t="shared" si="13"/>
        <v>0</v>
      </c>
      <c r="Z42">
        <f t="shared" si="1"/>
        <v>0</v>
      </c>
      <c r="AA42">
        <f t="shared" si="2"/>
        <v>1</v>
      </c>
      <c r="AB42" s="94">
        <f t="shared" si="8"/>
        <v>-467792.00917977782</v>
      </c>
      <c r="AC42">
        <f>AB42*D42*10000*VLOOKUP(A42,[1]kcal!$A$2:$C$49,3,FALSE)/1000000000000</f>
        <v>-0.14033760275393334</v>
      </c>
    </row>
    <row r="43" spans="1:29" x14ac:dyDescent="0.25">
      <c r="A43" t="s">
        <v>121</v>
      </c>
      <c r="B43" s="171"/>
      <c r="C43" s="171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71">
        <v>0</v>
      </c>
      <c r="E43" s="171">
        <f t="shared" si="9"/>
        <v>2019</v>
      </c>
      <c r="F43" t="s">
        <v>23</v>
      </c>
      <c r="G43" s="94">
        <f>IF(F43="Vestdanmark",SUMIFS(IF(E43=År1,'Resultater - Vestdanmark'!H$3:H$504,IF(E43=År2,'Resultater - Vestdanmark'!I$3:I$504,'Resultater - Vestdanmark'!J$3:J$504)),'Resultater - Vestdanmark'!$F$3:$F$504,$A43,IF(E43=År1,'Resultater - Vestdanmark'!H$3:H$504,IF(E43=År2,'Resultater - Vestdanmark'!I$3:I$504,'Resultater - Vestdanmark'!J$3:J$504)),"&gt;0"),SUMIFS(IF(E43=År1,'Resultater - Østdanmark'!H$3:H$504,IF(E43=År2,'Resultater - Østdanmark'!I$3:I$504,'Resultater - Østdanmark'!J$3:J$504)),'Resultater - Østdanmark'!$F$3:$F$504,$A43,IF(E43=År1,'Resultater - Østdanmark'!H$3:H$504,IF(E43=År2,'Resultater - Østdanmark'!I$3:I$504,'Resultater - Østdanmark'!J$3:J$504)),"&gt;0"))</f>
        <v>193830.89221723122</v>
      </c>
      <c r="H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forbrug'!H$3,'Forbrug af biomasse'!$B$2:$B$425,$F43)</f>
        <v>0</v>
      </c>
      <c r="I43">
        <f>IF(F43="Vestdanmark",-IF(A43="Halm",SUMIFS(IF(E43=År1,'Resultater - Vestdanmark'!H$3:H$504,IF(E43=År2,'Resultater - Vestdanmark'!I$3:I$504,'Resultater - Vestdanmark'!J$3:J$504)),'Resultater - Vestdanmark'!$F$3:$F$504,$A43,'Resultater - Vestdanmark'!H$3:H$504,"&lt;0"),0),-IF(A43="Halm",SUMIFS(IF(E43=År1,'Resultater - Østdanmark'!H$3:H$504,IF(E43=År2,'Resultater - Østdanmark'!I$3:I$504,'Resultater - Østdanmark'!J$3:J$504)),'Resultater - Østdanmark'!$F$3:$F$504,$A43,'Resultater - Østdanmark'!H$3:H$504,"&lt;0"),0))</f>
        <v>0</v>
      </c>
      <c r="J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forbrug'!J$3,'Forbrug af biomasse'!$B$2:$B$425,$F43)</f>
        <v>0</v>
      </c>
      <c r="K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forbrug'!K$3,'Forbrug af biomasse'!$B$2:$B$425,$F43)</f>
        <v>0</v>
      </c>
      <c r="L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forbrug'!L$3,'Forbrug af biomasse'!$B$2:$B$425,$F43)</f>
        <v>0</v>
      </c>
      <c r="M43" s="94">
        <f>IF(A43&lt;&gt;"Biogas",SUMIFS('Forbrug af biomasse'!$E$2:$E$425,'Forbrug af biomasse'!$C$2:$C$425,'Resultat-Produktion &amp; forbrug'!$A43,'Forbrug af biomasse'!$D$2:$D$425,'Resultat-Produktion &amp; forbrug'!$E43,'Forbrug af biomasse'!$A$2:$A$425,'Resultat-Produktion &amp; forbrug'!M$3,'Forbrug af biomasse'!$B$2:$B$425,$F43),G43)</f>
        <v>0</v>
      </c>
      <c r="N43" s="94">
        <f>SUMIFS('Forbrug af biomasse'!E:E,'Forbrug af biomasse'!C:C,'Resultat-Produktion &amp; forbrug'!$A43,'Forbrug af biomasse'!D:D,'Resultat-Produktion &amp; forbrug'!$E43,'Forbrug af biomasse'!G:G,1,'Forbrug af biomasse'!B:B,$F43)</f>
        <v>0</v>
      </c>
      <c r="O43" s="179">
        <f t="shared" si="10"/>
        <v>193830.89221723122</v>
      </c>
      <c r="P43" s="94">
        <f t="shared" si="4"/>
        <v>0</v>
      </c>
      <c r="Q43" s="180">
        <f t="shared" si="11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IF(A43&lt;&gt;"Biogas",IFERROR(VLOOKUP(A43,[1]Biogasudbytte!$A$2:$B$18,2,FALSE)*[1]Energiindhold!$C$10,0)*K43*IFERROR(VLOOKUP(A43,Biogasanlæg!$F$3:$G$8,2,FALSE),1)+IFERROR(VLOOKUP(A43,[1]Energiindhold!$A$2:$C$11,3,FALSE),0)*M43+IF(E43&lt;&gt;År1,R43,0),0)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12"/>
        <v>0</v>
      </c>
      <c r="V43" s="169">
        <f>P43*IFERROR(VLOOKUP(A43,[1]Tørstofindhold!A$2:B$24,2,FALSE),0)</f>
        <v>0</v>
      </c>
      <c r="W43">
        <f>IF(E43=År1,Q43,SUM(P43,Q43))*IFERROR(VLOOKUP(A43,[1]Tørstofindhold!A$2:B$24,2,FALSE),0)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13"/>
        <v>0</v>
      </c>
      <c r="Z43">
        <f t="shared" si="1"/>
        <v>0</v>
      </c>
      <c r="AA43">
        <f t="shared" si="2"/>
        <v>1</v>
      </c>
      <c r="AB43" s="94">
        <f t="shared" si="8"/>
        <v>193830.89221723122</v>
      </c>
      <c r="AC43">
        <f>AB43*D43*10000*VLOOKUP(A43,[1]kcal!$A$2:$C$49,3,FALSE)/1000000000000</f>
        <v>0</v>
      </c>
    </row>
    <row r="44" spans="1:29" x14ac:dyDescent="0.25">
      <c r="A44" t="s">
        <v>107</v>
      </c>
      <c r="B44" s="171"/>
      <c r="C44" s="171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0</v>
      </c>
      <c r="D44" s="171">
        <v>0</v>
      </c>
      <c r="E44" s="171">
        <f t="shared" si="9"/>
        <v>2019</v>
      </c>
      <c r="F44" t="s">
        <v>23</v>
      </c>
      <c r="G44" s="94">
        <f>IF(F44="Vestdanmark",SUMIFS(IF(E44=År1,'Resultater - Vestdanmark'!H$3:H$504,IF(E44=År2,'Resultater - Vestdanmark'!I$3:I$504,'Resultater - Vestdanmark'!J$3:J$504)),'Resultater - Vestdanmark'!$F$3:$F$504,$A44,IF(E44=År1,'Resultater - Vestdanmark'!H$3:H$504,IF(E44=År2,'Resultater - Vestdanmark'!I$3:I$504,'Resultater - Vestdanmark'!J$3:J$504)),"&gt;0"),SUMIFS(IF(E44=År1,'Resultater - Østdanmark'!H$3:H$504,IF(E44=År2,'Resultater - Østdanmark'!I$3:I$504,'Resultater - Østdanmark'!J$3:J$504)),'Resultater - Østdanmark'!$F$3:$F$504,$A44,IF(E44=År1,'Resultater - Østdanmark'!H$3:H$504,IF(E44=År2,'Resultater - Østdanmark'!I$3:I$504,'Resultater - Østdanmark'!J$3:J$504)),"&gt;0"))</f>
        <v>131276.07587880219</v>
      </c>
      <c r="H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forbrug'!H$3,'Forbrug af biomasse'!$B$2:$B$425,$F44)</f>
        <v>39415.735012617326</v>
      </c>
      <c r="I44">
        <f>IF(F44="Vestdanmark",-IF(A44="Halm",SUMIFS(IF(E44=År1,'Resultater - Vestdanmark'!H$3:H$504,IF(E44=År2,'Resultater - Vestdanmark'!I$3:I$504,'Resultater - Vestdanmark'!J$3:J$504)),'Resultater - Vestdanmark'!$F$3:$F$504,$A44,'Resultater - Vestdanmark'!H$3:H$504,"&lt;0"),0),-IF(A44="Halm",SUMIFS(IF(E44=År1,'Resultater - Østdanmark'!H$3:H$504,IF(E44=År2,'Resultater - Østdanmark'!I$3:I$504,'Resultater - Østdanmark'!J$3:J$504)),'Resultater - Østdanmark'!$F$3:$F$504,$A44,'Resultater - Østdanmark'!H$3:H$504,"&lt;0"),0))</f>
        <v>0</v>
      </c>
      <c r="J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forbrug'!J$3,'Forbrug af biomasse'!$B$2:$B$425,$F44)</f>
        <v>0</v>
      </c>
      <c r="K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forbrug'!K$3,'Forbrug af biomasse'!$B$2:$B$425,$F44)</f>
        <v>0</v>
      </c>
      <c r="L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forbrug'!L$3,'Forbrug af biomasse'!$B$2:$B$425,$F44)</f>
        <v>0</v>
      </c>
      <c r="M44" s="94">
        <f>IF(A44&lt;&gt;"Biogas",SUMIFS('Forbrug af biomasse'!$E$2:$E$425,'Forbrug af biomasse'!$C$2:$C$425,'Resultat-Produktion &amp; forbrug'!$A44,'Forbrug af biomasse'!$D$2:$D$425,'Resultat-Produktion &amp; forbrug'!$E44,'Forbrug af biomasse'!$A$2:$A$425,'Resultat-Produktion &amp; forbrug'!M$3,'Forbrug af biomasse'!$B$2:$B$425,$F44),G44)</f>
        <v>0</v>
      </c>
      <c r="N44" s="94">
        <f>SUMIFS('Forbrug af biomasse'!E:E,'Forbrug af biomasse'!C:C,'Resultat-Produktion &amp; forbrug'!$A44,'Forbrug af biomasse'!D:D,'Resultat-Produktion &amp; forbrug'!$E44,'Forbrug af biomasse'!G:G,1,'Forbrug af biomasse'!B:B,$F44)</f>
        <v>0</v>
      </c>
      <c r="O44" s="179">
        <f t="shared" si="10"/>
        <v>91860.340866184866</v>
      </c>
      <c r="P44" s="94">
        <f t="shared" si="4"/>
        <v>0</v>
      </c>
      <c r="Q44" s="180">
        <f t="shared" si="11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IF(A44&lt;&gt;"Biogas",IFERROR(VLOOKUP(A44,[1]Biogasudbytte!$A$2:$B$18,2,FALSE)*[1]Energiindhold!$C$10,0)*K44*IFERROR(VLOOKUP(A44,Biogasanlæg!$F$3:$G$8,2,FALSE),1)+IFERROR(VLOOKUP(A44,[1]Energiindhold!$A$2:$C$11,3,FALSE),0)*M44+IF(E44&lt;&gt;År1,R44,0),0)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12"/>
        <v>0</v>
      </c>
      <c r="V44" s="169">
        <f>P44*IFERROR(VLOOKUP(A44,[1]Tørstofindhold!A$2:B$24,2,FALSE),0)</f>
        <v>0</v>
      </c>
      <c r="W44">
        <f>IF(E44=År1,Q44,SUM(P44,Q44))*IFERROR(VLOOKUP(A44,[1]Tørstofindhold!A$2:B$24,2,FALSE),0)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13"/>
        <v>0</v>
      </c>
      <c r="Z44">
        <f t="shared" si="1"/>
        <v>0</v>
      </c>
      <c r="AA44">
        <f t="shared" si="2"/>
        <v>1</v>
      </c>
      <c r="AB44" s="94">
        <f t="shared" si="8"/>
        <v>91860.340866184866</v>
      </c>
      <c r="AC44">
        <f>AB44*D44*10000*VLOOKUP(A44,[1]kcal!$A$2:$C$49,3,FALSE)/1000000000000</f>
        <v>0</v>
      </c>
    </row>
    <row r="45" spans="1:29" x14ac:dyDescent="0.25">
      <c r="A45" s="171" t="s">
        <v>140</v>
      </c>
      <c r="B45" s="171" t="s">
        <v>230</v>
      </c>
      <c r="C45" s="171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71">
        <v>0</v>
      </c>
      <c r="E45" s="171">
        <f t="shared" si="9"/>
        <v>2019</v>
      </c>
      <c r="F45" t="s">
        <v>23</v>
      </c>
      <c r="G45" s="94">
        <f>IF(F45="Vestdanmark",SUMIFS(IF(E45=År1,'Resultater - Vestdanmark'!H$3:H$504,IF(E45=År2,'Resultater - Vestdanmark'!I$3:I$504,'Resultater - Vestdanmark'!J$3:J$504)),'Resultater - Vestdanmark'!$F$3:$F$504,$A45,IF(E45=År1,'Resultater - Vestdanmark'!H$3:H$504,IF(E45=År2,'Resultater - Vestdanmark'!I$3:I$504,'Resultater - Vestdanmark'!J$3:J$504)),"&gt;0"),SUMIFS(IF(E45=År1,'Resultater - Østdanmark'!H$3:H$504,IF(E45=År2,'Resultater - Østdanmark'!I$3:I$504,'Resultater - Østdanmark'!J$3:J$504)),'Resultater - Østdanmark'!$F$3:$F$504,$A45,IF(E45=År1,'Resultater - Østdanmark'!H$3:H$504,IF(E45=År2,'Resultater - Østdanmark'!I$3:I$504,'Resultater - Østdanmark'!J$3:J$504)),"&gt;0"))</f>
        <v>3850196.5402414175</v>
      </c>
      <c r="H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forbrug'!H$3,'Forbrug af biomasse'!$B$2:$B$425,$F45)</f>
        <v>0</v>
      </c>
      <c r="I45">
        <f>IF(F45="Vestdanmark",-IF(A45="Halm",SUMIFS(IF(E45=År1,'Resultater - Vestdanmark'!H$3:H$504,IF(E45=År2,'Resultater - Vestdanmark'!I$3:I$504,'Resultater - Vestdanmark'!J$3:J$504)),'Resultater - Vestdanmark'!$F$3:$F$504,$A45,'Resultater - Vestdanmark'!H$3:H$504,"&lt;0"),0),-IF(A45="Halm",SUMIFS(IF(E45=År1,'Resultater - Østdanmark'!H$3:H$504,IF(E45=År2,'Resultater - Østdanmark'!I$3:I$504,'Resultater - Østdanmark'!J$3:J$504)),'Resultater - Østdanmark'!$F$3:$F$504,$A45,'Resultater - Østdanmark'!H$3:H$504,"&lt;0"),0))</f>
        <v>0</v>
      </c>
      <c r="J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forbrug'!J$3,'Forbrug af biomasse'!$B$2:$B$425,$F45)</f>
        <v>0</v>
      </c>
      <c r="K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forbrug'!K$3,'Forbrug af biomasse'!$B$2:$B$425,$F45)</f>
        <v>1460182.5874658169</v>
      </c>
      <c r="L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forbrug'!L$3,'Forbrug af biomasse'!$B$2:$B$425,$F45)</f>
        <v>0</v>
      </c>
      <c r="M45" s="94">
        <f>IF(A45&lt;&gt;"Biogas",SUMIFS('Forbrug af biomasse'!$E$2:$E$425,'Forbrug af biomasse'!$C$2:$C$425,'Resultat-Produktion &amp; forbrug'!$A45,'Forbrug af biomasse'!$D$2:$D$425,'Resultat-Produktion &amp; forbrug'!$E45,'Forbrug af biomasse'!$A$2:$A$425,'Resultat-Produktion &amp; forbrug'!M$3,'Forbrug af biomasse'!$B$2:$B$425,$F45),G45)</f>
        <v>0</v>
      </c>
      <c r="N45" s="94">
        <f>SUMIFS('Forbrug af biomasse'!E:E,'Forbrug af biomasse'!C:C,'Resultat-Produktion &amp; forbrug'!$A45,'Forbrug af biomasse'!D:D,'Resultat-Produktion &amp; forbrug'!$E45,'Forbrug af biomasse'!G:G,1,'Forbrug af biomasse'!B:B,$F45)</f>
        <v>0</v>
      </c>
      <c r="O45" s="179">
        <f t="shared" si="10"/>
        <v>2390013.9527756004</v>
      </c>
      <c r="P45" s="94">
        <f t="shared" si="4"/>
        <v>2390013.9527756004</v>
      </c>
      <c r="Q45" s="180">
        <f t="shared" si="11"/>
        <v>1460182.5874658169</v>
      </c>
      <c r="R45">
        <f>IFERROR(VLOOKUP(A45,[1]Energiindhold!$A$2:$C$11,3,FALSE),IFERROR(VLOOKUP(A45,[1]Biogasudbytte!$A$2:$B$18,2,FALSE)*[1]Energiindhold!$C$10,0))*P45</f>
        <v>1.1926408625745526</v>
      </c>
      <c r="S45">
        <f>IF(A45&lt;&gt;"Biogas",IFERROR(VLOOKUP(A45,[1]Biogasudbytte!$A$2:$B$18,2,FALSE)*[1]Energiindhold!$C$10,0)*K45*IFERROR(VLOOKUP(A45,Biogasanlæg!$F$3:$G$8,2,FALSE),1)+IFERROR(VLOOKUP(A45,[1]Energiindhold!$A$2:$C$11,3,FALSE),0)*M45+IF(E45&lt;&gt;År1,R45,0),0)</f>
        <v>0.72864571297131742</v>
      </c>
      <c r="T45">
        <f>IFERROR(VLOOKUP(A45,[1]Biogasudbytte!$A$2:$B$18,2,FALSE)*[1]Energiindhold!$C$10,0)*K45*IFERROR(VLOOKUP(A45,Biogasanlæg!$F$3:$G$8,2,FALSE),1)</f>
        <v>0.72864571297131742</v>
      </c>
      <c r="U45" s="170">
        <f t="shared" si="12"/>
        <v>0</v>
      </c>
      <c r="V45" s="169">
        <f>P45*IFERROR(VLOOKUP(A45,[1]Tørstofindhold!A$2:B$24,2,FALSE),0)</f>
        <v>143400.83716653602</v>
      </c>
      <c r="W45">
        <f>IF(E45=År1,Q45,SUM(P45,Q45))*IFERROR(VLOOKUP(A45,[1]Tørstofindhold!A$2:B$24,2,FALSE),0)</f>
        <v>87610.955247949008</v>
      </c>
      <c r="X45">
        <f>K45*IFERROR(VLOOKUP(A45,[1]Tørstofindhold!A$2:B$24,2,FALSE),0)</f>
        <v>87610.955247949008</v>
      </c>
      <c r="Y45" s="170">
        <f t="shared" si="13"/>
        <v>0</v>
      </c>
      <c r="Z45">
        <f t="shared" si="1"/>
        <v>0</v>
      </c>
      <c r="AA45">
        <f t="shared" si="2"/>
        <v>1</v>
      </c>
      <c r="AB45" s="94">
        <f t="shared" si="8"/>
        <v>2390013.9527756004</v>
      </c>
      <c r="AC45">
        <f>AB45*D45*10000*VLOOKUP(A45,[1]kcal!$A$2:$C$49,3,FALSE)/1000000000000</f>
        <v>0</v>
      </c>
    </row>
    <row r="46" spans="1:29" x14ac:dyDescent="0.25">
      <c r="A46" s="171" t="s">
        <v>135</v>
      </c>
      <c r="B46" s="171" t="s">
        <v>222</v>
      </c>
      <c r="C46" s="171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1</v>
      </c>
      <c r="D46" s="171">
        <v>0</v>
      </c>
      <c r="E46" s="171">
        <f t="shared" si="9"/>
        <v>2019</v>
      </c>
      <c r="F46" t="s">
        <v>23</v>
      </c>
      <c r="G46" s="94">
        <f>IF(F46="Vestdanmark",SUMIFS(IF(E46=År1,'Resultater - Vestdanmark'!H$3:H$504,IF(E46=År2,'Resultater - Vestdanmark'!I$3:I$504,'Resultater - Vestdanmark'!J$3:J$504)),'Resultater - Vestdanmark'!$F$3:$F$504,$A46,IF(E46=År1,'Resultater - Vestdanmark'!H$3:H$504,IF(E46=År2,'Resultater - Vestdanmark'!I$3:I$504,'Resultater - Vestdanmark'!J$3:J$504)),"&gt;0"),SUMIFS(IF(E46=År1,'Resultater - Østdanmark'!H$3:H$504,IF(E46=År2,'Resultater - Østdanmark'!I$3:I$504,'Resultater - Østdanmark'!J$3:J$504)),'Resultater - Østdanmark'!$F$3:$F$504,$A46,IF(E46=År1,'Resultater - Østdanmark'!H$3:H$504,IF(E46=År2,'Resultater - Østdanmark'!I$3:I$504,'Resultater - Østdanmark'!J$3:J$504)),"&gt;0"))</f>
        <v>15352538.506892066</v>
      </c>
      <c r="H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forbrug'!H$3,'Forbrug af biomasse'!$B$2:$B$425,$F46)</f>
        <v>0</v>
      </c>
      <c r="I46">
        <f>IF(F46="Vestdanmark",-IF(A46="Halm",SUMIFS(IF(E46=År1,'Resultater - Vestdanmark'!H$3:H$504,IF(E46=År2,'Resultater - Vestdanmark'!I$3:I$504,'Resultater - Vestdanmark'!J$3:J$504)),'Resultater - Vestdanmark'!$F$3:$F$504,$A46,'Resultater - Vestdanmark'!H$3:H$504,"&lt;0"),0),-IF(A46="Halm",SUMIFS(IF(E46=År1,'Resultater - Østdanmark'!H$3:H$504,IF(E46=År2,'Resultater - Østdanmark'!I$3:I$504,'Resultater - Østdanmark'!J$3:J$504)),'Resultater - Østdanmark'!$F$3:$F$504,$A46,'Resultater - Østdanmark'!H$3:H$504,"&lt;0"),0))</f>
        <v>0</v>
      </c>
      <c r="J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forbrug'!J$3,'Forbrug af biomasse'!$B$2:$B$425,$F46)</f>
        <v>0</v>
      </c>
      <c r="K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forbrug'!K$3,'Forbrug af biomasse'!$B$2:$B$425,$F46)</f>
        <v>2534442.072977222</v>
      </c>
      <c r="L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forbrug'!L$3,'Forbrug af biomasse'!$B$2:$B$425,$F46)</f>
        <v>12818096.433914844</v>
      </c>
      <c r="M46" s="94">
        <f>IF(A46&lt;&gt;"Biogas",SUMIFS('Forbrug af biomasse'!$E$2:$E$425,'Forbrug af biomasse'!$C$2:$C$425,'Resultat-Produktion &amp; forbrug'!$A46,'Forbrug af biomasse'!$D$2:$D$425,'Resultat-Produktion &amp; forbrug'!$E46,'Forbrug af biomasse'!$A$2:$A$425,'Resultat-Produktion &amp; forbrug'!M$3,'Forbrug af biomasse'!$B$2:$B$425,$F46),G46)</f>
        <v>0</v>
      </c>
      <c r="N46" s="94">
        <f>SUMIFS('Forbrug af biomasse'!E:E,'Forbrug af biomasse'!C:C,'Resultat-Produktion &amp; forbrug'!$A46,'Forbrug af biomasse'!D:D,'Resultat-Produktion &amp; forbrug'!$E46,'Forbrug af biomasse'!G:G,1,'Forbrug af biomasse'!B:B,$F46)</f>
        <v>0</v>
      </c>
      <c r="O46" s="179">
        <f t="shared" si="10"/>
        <v>0</v>
      </c>
      <c r="P46" s="94">
        <f t="shared" si="4"/>
        <v>0</v>
      </c>
      <c r="Q46" s="180">
        <f t="shared" si="11"/>
        <v>2534442.072977222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IF(A46&lt;&gt;"Biogas",IFERROR(VLOOKUP(A46,[1]Biogasudbytte!$A$2:$B$18,2,FALSE)*[1]Energiindhold!$C$10,0)*K46*IFERROR(VLOOKUP(A46,Biogasanlæg!$F$3:$G$8,2,FALSE),1)+IFERROR(VLOOKUP(A46,[1]Energiindhold!$A$2:$C$11,3,FALSE),0)*M46+IF(E46&lt;&gt;År1,R46,0),0)</f>
        <v>1.0918376450385874</v>
      </c>
      <c r="T46">
        <f>IFERROR(VLOOKUP(A46,[1]Biogasudbytte!$A$2:$B$18,2,FALSE)*[1]Energiindhold!$C$10,0)*K46*IFERROR(VLOOKUP(A46,Biogasanlæg!$F$3:$G$8,2,FALSE),1)</f>
        <v>1.0918376450385874</v>
      </c>
      <c r="U46" s="170">
        <f t="shared" si="12"/>
        <v>0</v>
      </c>
      <c r="V46" s="169">
        <f>P46*IFERROR(VLOOKUP(A46,[1]Tørstofindhold!A$2:B$24,2,FALSE),0)</f>
        <v>0</v>
      </c>
      <c r="W46">
        <f>IF(E46=År1,Q46,SUM(P46,Q46))*IFERROR(VLOOKUP(A46,[1]Tørstofindhold!A$2:B$24,2,FALSE),0)</f>
        <v>126722.10364886111</v>
      </c>
      <c r="X46">
        <f>K46*IFERROR(VLOOKUP(A46,[1]Tørstofindhold!A$2:B$24,2,FALSE),0)</f>
        <v>126722.10364886111</v>
      </c>
      <c r="Y46" s="170">
        <f t="shared" si="13"/>
        <v>0</v>
      </c>
      <c r="Z46">
        <f t="shared" si="1"/>
        <v>0</v>
      </c>
      <c r="AA46">
        <f t="shared" si="2"/>
        <v>0</v>
      </c>
      <c r="AB46" s="94">
        <f t="shared" si="8"/>
        <v>0</v>
      </c>
      <c r="AC46">
        <f>AB46*D46*10000*VLOOKUP(A46,[1]kcal!$A$2:$C$49,3,FALSE)/1000000000000</f>
        <v>0</v>
      </c>
    </row>
    <row r="47" spans="1:29" x14ac:dyDescent="0.25">
      <c r="A47" s="171" t="s">
        <v>13</v>
      </c>
      <c r="B47" s="171"/>
      <c r="C47" s="171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0</v>
      </c>
      <c r="D47" s="171">
        <v>1</v>
      </c>
      <c r="E47" s="171">
        <f t="shared" si="9"/>
        <v>2019</v>
      </c>
      <c r="F47" t="s">
        <v>23</v>
      </c>
      <c r="G47" s="94">
        <f>IF(F47="Vestdanmark",SUMIFS(IF(E47=År1,'Resultater - Vestdanmark'!H$3:H$504,IF(E47=År2,'Resultater - Vestdanmark'!I$3:I$504,'Resultater - Vestdanmark'!J$3:J$504)),'Resultater - Vestdanmark'!$F$3:$F$504,$A47,IF(E47=År1,'Resultater - Vestdanmark'!H$3:H$504,IF(E47=År2,'Resultater - Vestdanmark'!I$3:I$504,'Resultater - Vestdanmark'!J$3:J$504)),"&gt;0"),SUMIFS(IF(E47=År1,'Resultater - Østdanmark'!H$3:H$504,IF(E47=År2,'Resultater - Østdanmark'!I$3:I$504,'Resultater - Østdanmark'!J$3:J$504)),'Resultater - Østdanmark'!$F$3:$F$504,$A47,IF(E47=År1,'Resultater - Østdanmark'!H$3:H$504,IF(E47=År2,'Resultater - Østdanmark'!I$3:I$504,'Resultater - Østdanmark'!J$3:J$504)),"&gt;0"))</f>
        <v>1394376.9846055224</v>
      </c>
      <c r="H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forbrug'!H$3,'Forbrug af biomasse'!$B$2:$B$425,$F47)</f>
        <v>0</v>
      </c>
      <c r="I47">
        <f>IF(F47="Vestdanmark",-IF(A47="Halm",SUMIFS(IF(E47=År1,'Resultater - Vestdanmark'!H$3:H$504,IF(E47=År2,'Resultater - Vestdanmark'!I$3:I$504,'Resultater - Vestdanmark'!J$3:J$504)),'Resultater - Vestdanmark'!$F$3:$F$504,$A47,'Resultater - Vestdanmark'!H$3:H$504,"&lt;0"),0),-IF(A47="Halm",SUMIFS(IF(E47=År1,'Resultater - Østdanmark'!H$3:H$504,IF(E47=År2,'Resultater - Østdanmark'!I$3:I$504,'Resultater - Østdanmark'!J$3:J$504)),'Resultater - Østdanmark'!$F$3:$F$504,$A47,'Resultater - Østdanmark'!H$3:H$504,"&lt;0"),0))</f>
        <v>0</v>
      </c>
      <c r="J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forbrug'!J$3,'Forbrug af biomasse'!$B$2:$B$425,$F47)</f>
        <v>117920.63695532705</v>
      </c>
      <c r="K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forbrug'!K$3,'Forbrug af biomasse'!$B$2:$B$425,$F47)</f>
        <v>0</v>
      </c>
      <c r="L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forbrug'!L$3,'Forbrug af biomasse'!$B$2:$B$425,$F47)</f>
        <v>0</v>
      </c>
      <c r="M47" s="94">
        <f>IF(A47&lt;&gt;"Biogas",SUMIFS('Forbrug af biomasse'!$E$2:$E$425,'Forbrug af biomasse'!$C$2:$C$425,'Resultat-Produktion &amp; forbrug'!$A47,'Forbrug af biomasse'!$D$2:$D$425,'Resultat-Produktion &amp; forbrug'!$E47,'Forbrug af biomasse'!$A$2:$A$425,'Resultat-Produktion &amp; forbrug'!M$3,'Forbrug af biomasse'!$B$2:$B$425,$F47),G47)</f>
        <v>0</v>
      </c>
      <c r="N47" s="94">
        <f>SUMIFS('Forbrug af biomasse'!E:E,'Forbrug af biomasse'!C:C,'Resultat-Produktion &amp; forbrug'!$A47,'Forbrug af biomasse'!D:D,'Resultat-Produktion &amp; forbrug'!$E47,'Forbrug af biomasse'!G:G,1,'Forbrug af biomasse'!B:B,$F47)</f>
        <v>0</v>
      </c>
      <c r="O47" s="179">
        <f t="shared" si="10"/>
        <v>1276456.3476501952</v>
      </c>
      <c r="P47" s="94">
        <f t="shared" si="4"/>
        <v>0</v>
      </c>
      <c r="Q47" s="180">
        <f t="shared" si="11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IF(A47&lt;&gt;"Biogas",IFERROR(VLOOKUP(A47,[1]Biogasudbytte!$A$2:$B$18,2,FALSE)*[1]Energiindhold!$C$10,0)*K47*IFERROR(VLOOKUP(A47,Biogasanlæg!$F$3:$G$8,2,FALSE),1)+IFERROR(VLOOKUP(A47,[1]Energiindhold!$A$2:$C$11,3,FALSE),0)*M47+IF(E47&lt;&gt;År1,R47,0),0)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12"/>
        <v>0</v>
      </c>
      <c r="V47" s="169">
        <f>P47*IFERROR(VLOOKUP(A47,[1]Tørstofindhold!A$2:B$24,2,FALSE),0)</f>
        <v>0</v>
      </c>
      <c r="W47">
        <f>IF(E47=År1,Q47,SUM(P47,Q47))*IFERROR(VLOOKUP(A47,[1]Tørstofindhold!A$2:B$24,2,FALSE),0)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13"/>
        <v>0</v>
      </c>
      <c r="Z47">
        <f t="shared" si="1"/>
        <v>0</v>
      </c>
      <c r="AA47">
        <f t="shared" si="2"/>
        <v>1</v>
      </c>
      <c r="AB47" s="94">
        <f t="shared" si="8"/>
        <v>1394376.9846055224</v>
      </c>
      <c r="AC47">
        <f>AB47*D47*10000*VLOOKUP(A47,[1]kcal!$A$2:$C$49,3,FALSE)/1000000000000</f>
        <v>2.7190351199807687</v>
      </c>
    </row>
    <row r="48" spans="1:29" x14ac:dyDescent="0.25">
      <c r="A48" s="171" t="s">
        <v>99</v>
      </c>
      <c r="B48" s="171" t="s">
        <v>226</v>
      </c>
      <c r="C48" s="171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71">
        <v>1</v>
      </c>
      <c r="E48" s="171">
        <f t="shared" si="9"/>
        <v>2019</v>
      </c>
      <c r="F48" t="s">
        <v>23</v>
      </c>
      <c r="G48" s="94">
        <f>IF(F48="Vestdanmark",SUMIFS(IF(E48=År1,'Resultater - Vestdanmark'!H$3:H$504,IF(E48=År2,'Resultater - Vestdanmark'!I$3:I$504,'Resultater - Vestdanmark'!J$3:J$504)),'Resultater - Vestdanmark'!$F$3:$F$504,$A48,IF(E48=År1,'Resultater - Vestdanmark'!H$3:H$504,IF(E48=År2,'Resultater - Vestdanmark'!I$3:I$504,'Resultater - Vestdanmark'!J$3:J$504)),"&gt;0"),SUMIFS(IF(E48=År1,'Resultater - Østdanmark'!H$3:H$504,IF(E48=År2,'Resultater - Østdanmark'!I$3:I$504,'Resultater - Østdanmark'!J$3:J$504)),'Resultater - Østdanmark'!$F$3:$F$504,$A48,IF(E48=År1,'Resultater - Østdanmark'!H$3:H$504,IF(E48=År2,'Resultater - Østdanmark'!I$3:I$504,'Resultater - Østdanmark'!J$3:J$504)),"&gt;0"))</f>
        <v>76.5</v>
      </c>
      <c r="H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forbrug'!H$3,'Forbrug af biomasse'!$B$2:$B$425,$F48)</f>
        <v>0</v>
      </c>
      <c r="I48">
        <f>IF(F48="Vestdanmark",-IF(A48="Halm",SUMIFS(IF(E48=År1,'Resultater - Vestdanmark'!H$3:H$504,IF(E48=År2,'Resultater - Vestdanmark'!I$3:I$504,'Resultater - Vestdanmark'!J$3:J$504)),'Resultater - Vestdanmark'!$F$3:$F$504,$A48,'Resultater - Vestdanmark'!H$3:H$504,"&lt;0"),0),-IF(A48="Halm",SUMIFS(IF(E48=År1,'Resultater - Østdanmark'!H$3:H$504,IF(E48=År2,'Resultater - Østdanmark'!I$3:I$504,'Resultater - Østdanmark'!J$3:J$504)),'Resultater - Østdanmark'!$F$3:$F$504,$A48,'Resultater - Østdanmark'!H$3:H$504,"&lt;0"),0))</f>
        <v>0</v>
      </c>
      <c r="J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forbrug'!J$3,'Forbrug af biomasse'!$B$2:$B$425,$F48)</f>
        <v>0</v>
      </c>
      <c r="K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forbrug'!K$3,'Forbrug af biomasse'!$B$2:$B$425,$F48)</f>
        <v>0</v>
      </c>
      <c r="L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forbrug'!L$3,'Forbrug af biomasse'!$B$2:$B$425,$F48)</f>
        <v>0</v>
      </c>
      <c r="M48" s="94">
        <f>IF(A48&lt;&gt;"Biogas",SUMIFS('Forbrug af biomasse'!$E$2:$E$425,'Forbrug af biomasse'!$C$2:$C$425,'Resultat-Produktion &amp; forbrug'!$A48,'Forbrug af biomasse'!$D$2:$D$425,'Resultat-Produktion &amp; forbrug'!$E48,'Forbrug af biomasse'!$A$2:$A$425,'Resultat-Produktion &amp; forbrug'!M$3,'Forbrug af biomasse'!$B$2:$B$425,$F48),G48)</f>
        <v>0</v>
      </c>
      <c r="N48" s="94">
        <f>SUMIFS('Forbrug af biomasse'!E:E,'Forbrug af biomasse'!C:C,'Resultat-Produktion &amp; forbrug'!$A48,'Forbrug af biomasse'!D:D,'Resultat-Produktion &amp; forbrug'!$E48,'Forbrug af biomasse'!G:G,1,'Forbrug af biomasse'!B:B,$F48)</f>
        <v>0</v>
      </c>
      <c r="O48" s="179">
        <f t="shared" si="10"/>
        <v>76.5</v>
      </c>
      <c r="P48" s="94">
        <f t="shared" si="4"/>
        <v>76.5</v>
      </c>
      <c r="Q48" s="180">
        <f t="shared" si="11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IF(A48&lt;&gt;"Biogas",IFERROR(VLOOKUP(A48,[1]Biogasudbytte!$A$2:$B$18,2,FALSE)*[1]Energiindhold!$C$10,0)*K48*IFERROR(VLOOKUP(A48,Biogasanlæg!$F$3:$G$8,2,FALSE),1)+IFERROR(VLOOKUP(A48,[1]Energiindhold!$A$2:$C$11,3,FALSE),0)*M48+IF(E48&lt;&gt;År1,R48,0),0)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12"/>
        <v>0</v>
      </c>
      <c r="V48" s="169">
        <f>P48*IFERROR(VLOOKUP(A48,[1]Tørstofindhold!A$2:B$24,2,FALSE),0)</f>
        <v>11.475</v>
      </c>
      <c r="W48">
        <f>IF(E48=År1,Q48,SUM(P48,Q48))*IFERROR(VLOOKUP(A48,[1]Tørstofindhold!A$2:B$24,2,FALSE),0)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13"/>
        <v>0</v>
      </c>
      <c r="Z48">
        <f t="shared" si="1"/>
        <v>0</v>
      </c>
      <c r="AA48">
        <f t="shared" si="2"/>
        <v>1</v>
      </c>
      <c r="AB48" s="94">
        <f t="shared" si="8"/>
        <v>76.5</v>
      </c>
      <c r="AC48">
        <f>AB48*D48*10000*VLOOKUP(A48,[1]kcal!$A$2:$C$49,3,FALSE)/1000000000000</f>
        <v>3.1211999999999999E-5</v>
      </c>
    </row>
    <row r="49" spans="1:29" x14ac:dyDescent="0.25">
      <c r="A49" s="171" t="s">
        <v>104</v>
      </c>
      <c r="B49" s="171"/>
      <c r="C49" s="171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71">
        <v>0</v>
      </c>
      <c r="E49" s="171">
        <f t="shared" si="9"/>
        <v>2019</v>
      </c>
      <c r="F49" t="s">
        <v>23</v>
      </c>
      <c r="G49" s="94">
        <f>IF(F49="Vestdanmark",SUMIFS(IF(E49=År1,'Resultater - Vestdanmark'!H$3:H$504,IF(E49=År2,'Resultater - Vestdanmark'!I$3:I$504,'Resultater - Vestdanmark'!J$3:J$504)),'Resultater - Vestdanmark'!$F$3:$F$504,$A49,IF(E49=År1,'Resultater - Vestdanmark'!H$3:H$504,IF(E49=År2,'Resultater - Vestdanmark'!I$3:I$504,'Resultater - Vestdanmark'!J$3:J$504)),"&gt;0"),SUMIFS(IF(E49=År1,'Resultater - Østdanmark'!H$3:H$504,IF(E49=År2,'Resultater - Østdanmark'!I$3:I$504,'Resultater - Østdanmark'!J$3:J$504)),'Resultater - Østdanmark'!$F$3:$F$504,$A49,IF(E49=År1,'Resultater - Østdanmark'!H$3:H$504,IF(E49=År2,'Resultater - Østdanmark'!I$3:I$504,'Resultater - Østdanmark'!J$3:J$504)),"&gt;0"))</f>
        <v>0</v>
      </c>
      <c r="H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forbrug'!H$3,'Forbrug af biomasse'!$B$2:$B$425,$F49)</f>
        <v>0</v>
      </c>
      <c r="I49">
        <f>IF(F49="Vestdanmark",-IF(A49="Halm",SUMIFS(IF(E49=År1,'Resultater - Vestdanmark'!H$3:H$504,IF(E49=År2,'Resultater - Vestdanmark'!I$3:I$504,'Resultater - Vestdanmark'!J$3:J$504)),'Resultater - Vestdanmark'!$F$3:$F$504,$A49,'Resultater - Vestdanmark'!H$3:H$504,"&lt;0"),0),-IF(A49="Halm",SUMIFS(IF(E49=År1,'Resultater - Østdanmark'!H$3:H$504,IF(E49=År2,'Resultater - Østdanmark'!I$3:I$504,'Resultater - Østdanmark'!J$3:J$504)),'Resultater - Østdanmark'!$F$3:$F$504,$A49,'Resultater - Østdanmark'!H$3:H$504,"&lt;0"),0))</f>
        <v>0</v>
      </c>
      <c r="J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forbrug'!J$3,'Forbrug af biomasse'!$B$2:$B$425,$F49)</f>
        <v>0</v>
      </c>
      <c r="K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forbrug'!K$3,'Forbrug af biomasse'!$B$2:$B$425,$F49)</f>
        <v>0</v>
      </c>
      <c r="L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forbrug'!L$3,'Forbrug af biomasse'!$B$2:$B$425,$F49)</f>
        <v>0</v>
      </c>
      <c r="M49" s="94">
        <f>IF(A49&lt;&gt;"Biogas",SUMIFS('Forbrug af biomasse'!$E$2:$E$425,'Forbrug af biomasse'!$C$2:$C$425,'Resultat-Produktion &amp; forbrug'!$A49,'Forbrug af biomasse'!$D$2:$D$425,'Resultat-Produktion &amp; forbrug'!$E49,'Forbrug af biomasse'!$A$2:$A$425,'Resultat-Produktion &amp; forbrug'!M$3,'Forbrug af biomasse'!$B$2:$B$425,$F49),G49)</f>
        <v>0</v>
      </c>
      <c r="N49" s="94">
        <f>SUMIFS('Forbrug af biomasse'!E:E,'Forbrug af biomasse'!C:C,'Resultat-Produktion &amp; forbrug'!$A49,'Forbrug af biomasse'!D:D,'Resultat-Produktion &amp; forbrug'!$E49,'Forbrug af biomasse'!G:G,1,'Forbrug af biomasse'!B:B,$F49)</f>
        <v>0</v>
      </c>
      <c r="O49" s="179">
        <f t="shared" si="10"/>
        <v>0</v>
      </c>
      <c r="P49" s="94">
        <f t="shared" si="4"/>
        <v>0</v>
      </c>
      <c r="Q49" s="180">
        <f t="shared" si="11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IF(A49&lt;&gt;"Biogas",IFERROR(VLOOKUP(A49,[1]Biogasudbytte!$A$2:$B$18,2,FALSE)*[1]Energiindhold!$C$10,0)*K49*IFERROR(VLOOKUP(A49,Biogasanlæg!$F$3:$G$8,2,FALSE),1)+IFERROR(VLOOKUP(A49,[1]Energiindhold!$A$2:$C$11,3,FALSE),0)*M49+IF(E49&lt;&gt;År1,R49,0),0)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12"/>
        <v>0</v>
      </c>
      <c r="V49" s="169">
        <f>P49*IFERROR(VLOOKUP(A49,[1]Tørstofindhold!A$2:B$24,2,FALSE),0)</f>
        <v>0</v>
      </c>
      <c r="W49">
        <f>IF(E49=År1,Q49,SUM(P49,Q49))*IFERROR(VLOOKUP(A49,[1]Tørstofindhold!A$2:B$24,2,FALSE),0)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13"/>
        <v>0</v>
      </c>
      <c r="Z49">
        <f t="shared" si="1"/>
        <v>0</v>
      </c>
      <c r="AA49">
        <f t="shared" si="2"/>
        <v>0</v>
      </c>
      <c r="AB49" s="94">
        <f t="shared" si="8"/>
        <v>0</v>
      </c>
      <c r="AC49">
        <f>AB49*D49*10000*VLOOKUP(A49,[1]kcal!$A$2:$C$49,3,FALSE)/1000000000000</f>
        <v>0</v>
      </c>
    </row>
    <row r="50" spans="1:29" x14ac:dyDescent="0.25">
      <c r="A50" s="171" t="s">
        <v>119</v>
      </c>
      <c r="B50" s="171" t="s">
        <v>225</v>
      </c>
      <c r="C50" s="171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1</v>
      </c>
      <c r="D50" s="171">
        <v>0</v>
      </c>
      <c r="E50" s="171">
        <f t="shared" si="9"/>
        <v>2019</v>
      </c>
      <c r="F50" t="s">
        <v>23</v>
      </c>
      <c r="G50" s="94">
        <f>IF(F50="Vestdanmark",SUMIFS(IF(E50=År1,'Resultater - Vestdanmark'!H$3:H$504,IF(E50=År2,'Resultater - Vestdanmark'!I$3:I$504,'Resultater - Vestdanmark'!J$3:J$504)),'Resultater - Vestdanmark'!$F$3:$F$504,$A50,IF(E50=År1,'Resultater - Vestdanmark'!H$3:H$504,IF(E50=År2,'Resultater - Vestdanmark'!I$3:I$504,'Resultater - Vestdanmark'!J$3:J$504)),"&gt;0"),SUMIFS(IF(E50=År1,'Resultater - Østdanmark'!H$3:H$504,IF(E50=År2,'Resultater - Østdanmark'!I$3:I$504,'Resultater - Østdanmark'!J$3:J$504)),'Resultater - Østdanmark'!$F$3:$F$504,$A50,IF(E50=År1,'Resultater - Østdanmark'!H$3:H$504,IF(E50=År2,'Resultater - Østdanmark'!I$3:I$504,'Resultater - Østdanmark'!J$3:J$504)),"&gt;0"))</f>
        <v>2328677.081002241</v>
      </c>
      <c r="H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forbrug'!H$3,'Forbrug af biomasse'!$B$2:$B$425,$F50)</f>
        <v>0</v>
      </c>
      <c r="I50">
        <f>IF(F50="Vestdanmark",-IF(A50="Halm",SUMIFS(IF(E50=År1,'Resultater - Vestdanmark'!H$3:H$504,IF(E50=År2,'Resultater - Vestdanmark'!I$3:I$504,'Resultater - Vestdanmark'!J$3:J$504)),'Resultater - Vestdanmark'!$F$3:$F$504,$A50,'Resultater - Vestdanmark'!H$3:H$504,"&lt;0"),0),-IF(A50="Halm",SUMIFS(IF(E50=År1,'Resultater - Østdanmark'!H$3:H$504,IF(E50=År2,'Resultater - Østdanmark'!I$3:I$504,'Resultater - Østdanmark'!J$3:J$504)),'Resultater - Østdanmark'!$F$3:$F$504,$A50,'Resultater - Østdanmark'!H$3:H$504,"&lt;0"),0))</f>
        <v>0</v>
      </c>
      <c r="J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forbrug'!J$3,'Forbrug af biomasse'!$B$2:$B$425,$F50)</f>
        <v>0</v>
      </c>
      <c r="K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forbrug'!K$3,'Forbrug af biomasse'!$B$2:$B$425,$F50)</f>
        <v>0</v>
      </c>
      <c r="L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forbrug'!L$3,'Forbrug af biomasse'!$B$2:$B$425,$F50)</f>
        <v>0</v>
      </c>
      <c r="M50" s="94">
        <f ca="1">IF(A50&lt;&gt;"Biogas",SUMIFS('Forbrug af biomasse'!$E$2:$E$425,'Forbrug af biomasse'!$C$2:$C$425,'Resultat-Produktion &amp; forbrug'!$A50,'Forbrug af biomasse'!$D$2:$D$425,'Resultat-Produktion &amp; forbrug'!$E50,'Forbrug af biomasse'!$A$2:$A$425,'Resultat-Produktion &amp; forbrug'!M$3,'Forbrug af biomasse'!$B$2:$B$425,$F50),G50)</f>
        <v>2328677.081002241</v>
      </c>
      <c r="N50" s="94">
        <f>SUMIFS('Forbrug af biomasse'!E:E,'Forbrug af biomasse'!C:C,'Resultat-Produktion &amp; forbrug'!$A50,'Forbrug af biomasse'!D:D,'Resultat-Produktion &amp; forbrug'!$E50,'Forbrug af biomasse'!G:G,1,'Forbrug af biomasse'!B:B,$F50)</f>
        <v>0</v>
      </c>
      <c r="O50" s="179">
        <f t="shared" ca="1" si="10"/>
        <v>0</v>
      </c>
      <c r="P50" s="94">
        <f t="shared" ca="1" si="4"/>
        <v>0</v>
      </c>
      <c r="Q50" s="180">
        <f t="shared" ca="1" si="11"/>
        <v>2328677.081002241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IF(A50&lt;&gt;"Biogas",IFERROR(VLOOKUP(A50,[1]Biogasudbytte!$A$2:$B$18,2,FALSE)*[1]Energiindhold!$C$10,0)*K50*IFERROR(VLOOKUP(A50,Biogasanlæg!$F$3:$G$8,2,FALSE),1)+IFERROR(VLOOKUP(A50,[1]Energiindhold!$A$2:$C$11,3,FALSE),0)*M50+IF(E50&lt;&gt;År1,R50,0),0)</f>
        <v>33.750841721162331</v>
      </c>
      <c r="T50">
        <f>IFERROR(VLOOKUP(A50,[1]Biogasudbytte!$A$2:$B$18,2,FALSE)*[1]Energiindhold!$C$10,0)*K50*IFERROR(VLOOKUP(A50,Biogasanlæg!$F$3:$G$8,2,FALSE),1)</f>
        <v>0</v>
      </c>
      <c r="U50" s="170">
        <f t="shared" ca="1" si="12"/>
        <v>33.750841721162331</v>
      </c>
      <c r="V50" s="169">
        <f ca="1">P50*IFERROR(VLOOKUP(A50,[1]Tørstofindhold!A$2:B$24,2,FALSE),0)</f>
        <v>0</v>
      </c>
      <c r="W50">
        <f ca="1">IF(E50=År1,Q50,SUM(P50,Q50))*IFERROR(VLOOKUP(A50,[1]Tørstofindhold!A$2:B$24,2,FALSE),0)</f>
        <v>1151724.8729790249</v>
      </c>
      <c r="X50">
        <f>K50*IFERROR(VLOOKUP(A50,[1]Tørstofindhold!A$2:B$24,2,FALSE),0)</f>
        <v>0</v>
      </c>
      <c r="Y50" s="170">
        <f t="shared" ca="1" si="13"/>
        <v>1151724.8729790249</v>
      </c>
      <c r="Z50">
        <f t="shared" ca="1" si="1"/>
        <v>0</v>
      </c>
      <c r="AA50">
        <f t="shared" ca="1" si="2"/>
        <v>0</v>
      </c>
      <c r="AB50" s="94">
        <f t="shared" ca="1" si="8"/>
        <v>2328677.081002241</v>
      </c>
      <c r="AC50">
        <f ca="1">AB50*D50*10000*VLOOKUP(A50,[1]kcal!$A$2:$C$49,3,FALSE)/1000000000000</f>
        <v>0</v>
      </c>
    </row>
    <row r="51" spans="1:29" x14ac:dyDescent="0.25">
      <c r="A51" s="171" t="s">
        <v>118</v>
      </c>
      <c r="B51" s="171"/>
      <c r="C51" s="171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71">
        <v>0</v>
      </c>
      <c r="E51" s="171">
        <f t="shared" si="9"/>
        <v>2019</v>
      </c>
      <c r="F51" t="s">
        <v>23</v>
      </c>
      <c r="G51" s="94">
        <f>IF(F51="Vestdanmark",SUMIFS(IF(E51=År1,'Resultater - Vestdanmark'!H$3:H$504,IF(E51=År2,'Resultater - Vestdanmark'!I$3:I$504,'Resultater - Vestdanmark'!J$3:J$504)),'Resultater - Vestdanmark'!$F$3:$F$504,$A51,IF(E51=År1,'Resultater - Vestdanmark'!H$3:H$504,IF(E51=År2,'Resultater - Vestdanmark'!I$3:I$504,'Resultater - Vestdanmark'!J$3:J$504)),"&gt;0"),SUMIFS(IF(E51=År1,'Resultater - Østdanmark'!H$3:H$504,IF(E51=År2,'Resultater - Østdanmark'!I$3:I$504,'Resultater - Østdanmark'!J$3:J$504)),'Resultater - Østdanmark'!$F$3:$F$504,$A51,IF(E51=År1,'Resultater - Østdanmark'!H$3:H$504,IF(E51=År2,'Resultater - Østdanmark'!I$3:I$504,'Resultater - Østdanmark'!J$3:J$504)),"&gt;0"))</f>
        <v>640291.52551137318</v>
      </c>
      <c r="H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forbrug'!H$3,'Forbrug af biomasse'!$B$2:$B$425,$F51)</f>
        <v>0</v>
      </c>
      <c r="I51">
        <f>IF(F51="Vestdanmark",-IF(A51="Halm",SUMIFS(IF(E51=År1,'Resultater - Vestdanmark'!H$3:H$504,IF(E51=År2,'Resultater - Vestdanmark'!I$3:I$504,'Resultater - Vestdanmark'!J$3:J$504)),'Resultater - Vestdanmark'!$F$3:$F$504,$A51,'Resultater - Vestdanmark'!H$3:H$504,"&lt;0"),0),-IF(A51="Halm",SUMIFS(IF(E51=År1,'Resultater - Østdanmark'!H$3:H$504,IF(E51=År2,'Resultater - Østdanmark'!I$3:I$504,'Resultater - Østdanmark'!J$3:J$504)),'Resultater - Østdanmark'!$F$3:$F$504,$A51,'Resultater - Østdanmark'!H$3:H$504,"&lt;0"),0))</f>
        <v>0</v>
      </c>
      <c r="J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forbrug'!J$3,'Forbrug af biomasse'!$B$2:$B$425,$F51)</f>
        <v>0</v>
      </c>
      <c r="K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forbrug'!K$3,'Forbrug af biomasse'!$B$2:$B$425,$F51)</f>
        <v>0</v>
      </c>
      <c r="L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forbrug'!L$3,'Forbrug af biomasse'!$B$2:$B$425,$F51)</f>
        <v>0</v>
      </c>
      <c r="M51" s="94">
        <f>IF(A51&lt;&gt;"Biogas",SUMIFS('Forbrug af biomasse'!$E$2:$E$425,'Forbrug af biomasse'!$C$2:$C$425,'Resultat-Produktion &amp; forbrug'!$A51,'Forbrug af biomasse'!$D$2:$D$425,'Resultat-Produktion &amp; forbrug'!$E51,'Forbrug af biomasse'!$A$2:$A$425,'Resultat-Produktion &amp; forbrug'!M$3,'Forbrug af biomasse'!$B$2:$B$425,$F51),G51)</f>
        <v>0</v>
      </c>
      <c r="N51" s="94">
        <f>SUMIFS('Forbrug af biomasse'!E:E,'Forbrug af biomasse'!C:C,'Resultat-Produktion &amp; forbrug'!$A51,'Forbrug af biomasse'!D:D,'Resultat-Produktion &amp; forbrug'!$E51,'Forbrug af biomasse'!G:G,1,'Forbrug af biomasse'!B:B,$F51)</f>
        <v>640291.52551137318</v>
      </c>
      <c r="O51" s="179">
        <f t="shared" si="10"/>
        <v>0</v>
      </c>
      <c r="P51" s="94">
        <f t="shared" si="4"/>
        <v>0</v>
      </c>
      <c r="Q51" s="180">
        <f t="shared" si="11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IF(A51&lt;&gt;"Biogas",IFERROR(VLOOKUP(A51,[1]Biogasudbytte!$A$2:$B$18,2,FALSE)*[1]Energiindhold!$C$10,0)*K51*IFERROR(VLOOKUP(A51,Biogasanlæg!$F$3:$G$8,2,FALSE),1)+IFERROR(VLOOKUP(A51,[1]Energiindhold!$A$2:$C$11,3,FALSE),0)*M51+IF(E51&lt;&gt;År1,R51,0),0)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12"/>
        <v>0</v>
      </c>
      <c r="V51" s="169">
        <f>P51*IFERROR(VLOOKUP(A51,[1]Tørstofindhold!A$2:B$24,2,FALSE),0)</f>
        <v>0</v>
      </c>
      <c r="W51">
        <f>IF(E51=År1,Q51,SUM(P51,Q51))*IFERROR(VLOOKUP(A51,[1]Tørstofindhold!A$2:B$24,2,FALSE),0)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13"/>
        <v>0</v>
      </c>
      <c r="Z51">
        <f t="shared" ca="1" si="1"/>
        <v>0</v>
      </c>
      <c r="AA51">
        <f t="shared" ca="1" si="2"/>
        <v>0</v>
      </c>
      <c r="AB51" s="94">
        <f t="shared" si="8"/>
        <v>640291.52551137318</v>
      </c>
      <c r="AC51">
        <f>AB51*D51*10000*VLOOKUP(A51,[1]kcal!$A$2:$C$49,3,FALSE)/1000000000000</f>
        <v>0</v>
      </c>
    </row>
    <row r="52" spans="1:29" x14ac:dyDescent="0.25">
      <c r="A52" s="171" t="str">
        <f t="shared" ref="A52:A83" si="18">A4</f>
        <v>Æg</v>
      </c>
      <c r="B52" s="171" t="str">
        <f t="shared" ref="B52:B83" si="19">IF(B4&lt;&gt;"",B4,"")</f>
        <v/>
      </c>
      <c r="C52" s="171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71">
        <f>D4</f>
        <v>1</v>
      </c>
      <c r="E52" s="171">
        <f t="shared" ref="E52:E99" si="20">År2</f>
        <v>2030</v>
      </c>
      <c r="F52" t="s">
        <v>23</v>
      </c>
      <c r="G52" s="94">
        <f>IF(F52="Vestdanmark",SUMIFS(IF(E52=År1,'Resultater - Vestdanmark'!H$3:H$504,IF(E52=År2,'Resultater - Vestdanmark'!I$3:I$504,'Resultater - Vestdanmark'!J$3:J$504)),'Resultater - Vestdanmark'!$F$3:$F$504,$A52,IF(E52=År1,'Resultater - Vestdanmark'!H$3:H$504,IF(E52=År2,'Resultater - Vestdanmark'!I$3:I$504,'Resultater - Vestdanmark'!J$3:J$504)),"&gt;0"),SUMIFS(IF(E52=År1,'Resultater - Østdanmark'!H$3:H$504,IF(E52=År2,'Resultater - Østdanmark'!I$3:I$504,'Resultater - Østdanmark'!J$3:J$504)),'Resultater - Østdanmark'!$F$3:$F$504,$A52,IF(E52=År1,'Resultater - Østdanmark'!H$3:H$504,IF(E52=År2,'Resultater - Østdanmark'!I$3:I$504,'Resultater - Østdanmark'!J$3:J$504)),"&gt;0"))</f>
        <v>137289.06413917695</v>
      </c>
      <c r="H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forbrug'!H$3,'Forbrug af biomasse'!$B$2:$B$425,$F52)</f>
        <v>0</v>
      </c>
      <c r="I52">
        <f>IF(F52="Vestdanmark",-IF(A52="Halm",SUMIFS(IF(E52=År1,'Resultater - Vestdanmark'!H$3:H$504,IF(E52=År2,'Resultater - Vestdanmark'!I$3:I$504,'Resultater - Vestdanmark'!J$3:J$504)),'Resultater - Vestdanmark'!$F$3:$F$504,$A52,'Resultater - Vestdanmark'!H$3:H$504,"&lt;0"),0),-IF(A52="Halm",SUMIFS(IF(E52=År1,'Resultater - Østdanmark'!H$3:H$504,IF(E52=År2,'Resultater - Østdanmark'!I$3:I$504,'Resultater - Østdanmark'!J$3:J$504)),'Resultater - Østdanmark'!$F$3:$F$504,$A52,'Resultater - Østdanmark'!H$3:H$504,"&lt;0"),0))</f>
        <v>0</v>
      </c>
      <c r="J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forbrug'!J$3,'Forbrug af biomasse'!$B$2:$B$425,$F52)</f>
        <v>32579.784552999867</v>
      </c>
      <c r="K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forbrug'!K$3,'Forbrug af biomasse'!$B$2:$B$425,$F52)</f>
        <v>0</v>
      </c>
      <c r="L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forbrug'!L$3,'Forbrug af biomasse'!$B$2:$B$425,$F52)</f>
        <v>0</v>
      </c>
      <c r="M52" s="94">
        <f>IF(A52&lt;&gt;"Biogas",SUMIFS('Forbrug af biomasse'!$E$2:$E$425,'Forbrug af biomasse'!$C$2:$C$425,'Resultat-Produktion &amp; forbrug'!$A52,'Forbrug af biomasse'!$D$2:$D$425,'Resultat-Produktion &amp; forbrug'!$E52,'Forbrug af biomasse'!$A$2:$A$425,'Resultat-Produktion &amp; forbrug'!M$3,'Forbrug af biomasse'!$B$2:$B$425,$F52),G52)</f>
        <v>0</v>
      </c>
      <c r="N52" s="94">
        <f>SUMIFS('Forbrug af biomasse'!E:E,'Forbrug af biomasse'!C:C,'Resultat-Produktion &amp; forbrug'!$A52,'Forbrug af biomasse'!D:D,'Resultat-Produktion &amp; forbrug'!$E52,'Forbrug af biomasse'!G:G,1,'Forbrug af biomasse'!B:B,$F52)</f>
        <v>0</v>
      </c>
      <c r="O52" s="179">
        <f t="shared" si="10"/>
        <v>104709.27958617709</v>
      </c>
      <c r="P52" s="94">
        <f t="shared" si="4"/>
        <v>0</v>
      </c>
      <c r="Q52" s="180">
        <f t="shared" si="11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IF(A52&lt;&gt;"Biogas",IFERROR(VLOOKUP(A52,[1]Biogasudbytte!$A$2:$B$18,2,FALSE)*[1]Energiindhold!$C$10,0)*K52*IFERROR(VLOOKUP(A52,Biogasanlæg!$F$3:$G$8,2,FALSE),1)+IFERROR(VLOOKUP(A52,[1]Energiindhold!$A$2:$C$11,3,FALSE),0)*M52+IF(E52&lt;&gt;År1,R52,0),0)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12"/>
        <v>0</v>
      </c>
      <c r="V52" s="169">
        <f>P52*IFERROR(VLOOKUP(A52,[1]Tørstofindhold!A$2:B$24,2,FALSE),0)</f>
        <v>0</v>
      </c>
      <c r="W52">
        <f>IF(E52=År1,Q52,SUM(P52,Q52))*IFERROR(VLOOKUP(A52,[1]Tørstofindhold!A$2:B$24,2,FALSE),0)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13"/>
        <v>0</v>
      </c>
      <c r="Z52">
        <f t="shared" si="1"/>
        <v>0</v>
      </c>
      <c r="AA52">
        <f t="shared" si="2"/>
        <v>1</v>
      </c>
      <c r="AB52" s="94">
        <f t="shared" si="8"/>
        <v>137289.06413917695</v>
      </c>
      <c r="AC52">
        <f>AB52*D52*10000*VLOOKUP(A52,[1]kcal!$A$2:$C$49,3,FALSE)/1000000000000</f>
        <v>0.18945890851206418</v>
      </c>
    </row>
    <row r="53" spans="1:29" x14ac:dyDescent="0.25">
      <c r="A53" s="171" t="str">
        <f t="shared" si="18"/>
        <v>Bælgsæd</v>
      </c>
      <c r="B53" s="171" t="str">
        <f t="shared" si="19"/>
        <v/>
      </c>
      <c r="C53" s="171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0</v>
      </c>
      <c r="D53" s="171">
        <f t="shared" ref="D53:D116" si="21">D5</f>
        <v>1</v>
      </c>
      <c r="E53" s="171">
        <f t="shared" si="20"/>
        <v>2030</v>
      </c>
      <c r="F53" t="s">
        <v>23</v>
      </c>
      <c r="G53" s="94">
        <f>IF(F53="Vestdanmark",SUMIFS(IF(E53=År1,'Resultater - Vestdanmark'!H$3:H$504,IF(E53=År2,'Resultater - Vestdanmark'!I$3:I$504,'Resultater - Vestdanmark'!J$3:J$504)),'Resultater - Vestdanmark'!$F$3:$F$504,$A53,IF(E53=År1,'Resultater - Vestdanmark'!H$3:H$504,IF(E53=År2,'Resultater - Vestdanmark'!I$3:I$504,'Resultater - Vestdanmark'!J$3:J$504)),"&gt;0"),SUMIFS(IF(E53=År1,'Resultater - Østdanmark'!H$3:H$504,IF(E53=År2,'Resultater - Østdanmark'!I$3:I$504,'Resultater - Østdanmark'!J$3:J$504)),'Resultater - Østdanmark'!$F$3:$F$504,$A53,IF(E53=År1,'Resultater - Østdanmark'!H$3:H$504,IF(E53=År2,'Resultater - Østdanmark'!I$3:I$504,'Resultater - Østdanmark'!J$3:J$504)),"&gt;0"))</f>
        <v>807391.35086832882</v>
      </c>
      <c r="H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forbrug'!H$3,'Forbrug af biomasse'!$B$2:$B$425,$F53)</f>
        <v>43580.743031500795</v>
      </c>
      <c r="I53">
        <f>IF(F53="Vestdanmark",-IF(A53="Halm",SUMIFS(IF(E53=År1,'Resultater - Vestdanmark'!H$3:H$504,IF(E53=År2,'Resultater - Vestdanmark'!I$3:I$504,'Resultater - Vestdanmark'!J$3:J$504)),'Resultater - Vestdanmark'!$F$3:$F$504,$A53,'Resultater - Vestdanmark'!H$3:H$504,"&lt;0"),0),-IF(A53="Halm",SUMIFS(IF(E53=År1,'Resultater - Østdanmark'!H$3:H$504,IF(E53=År2,'Resultater - Østdanmark'!I$3:I$504,'Resultater - Østdanmark'!J$3:J$504)),'Resultater - Østdanmark'!$F$3:$F$504,$A53,'Resultater - Østdanmark'!H$3:H$504,"&lt;0"),0))</f>
        <v>0</v>
      </c>
      <c r="J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forbrug'!J$3,'Forbrug af biomasse'!$B$2:$B$425,$F53)</f>
        <v>0</v>
      </c>
      <c r="K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forbrug'!K$3,'Forbrug af biomasse'!$B$2:$B$425,$F53)</f>
        <v>0</v>
      </c>
      <c r="L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forbrug'!L$3,'Forbrug af biomasse'!$B$2:$B$425,$F53)</f>
        <v>0</v>
      </c>
      <c r="M53" s="94">
        <f>IF(A53&lt;&gt;"Biogas",SUMIFS('Forbrug af biomasse'!$E$2:$E$425,'Forbrug af biomasse'!$C$2:$C$425,'Resultat-Produktion &amp; forbrug'!$A53,'Forbrug af biomasse'!$D$2:$D$425,'Resultat-Produktion &amp; forbrug'!$E53,'Forbrug af biomasse'!$A$2:$A$425,'Resultat-Produktion &amp; forbrug'!M$3,'Forbrug af biomasse'!$B$2:$B$425,$F53),G53)</f>
        <v>0</v>
      </c>
      <c r="N53" s="94">
        <f>SUMIFS('Forbrug af biomasse'!E:E,'Forbrug af biomasse'!C:C,'Resultat-Produktion &amp; forbrug'!$A53,'Forbrug af biomasse'!D:D,'Resultat-Produktion &amp; forbrug'!$E53,'Forbrug af biomasse'!G:G,1,'Forbrug af biomasse'!B:B,$F53)</f>
        <v>0</v>
      </c>
      <c r="O53" s="179">
        <f t="shared" si="10"/>
        <v>763810.60783682799</v>
      </c>
      <c r="P53" s="94">
        <f t="shared" si="4"/>
        <v>0</v>
      </c>
      <c r="Q53" s="180">
        <f t="shared" si="11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IF(A53&lt;&gt;"Biogas",IFERROR(VLOOKUP(A53,[1]Biogasudbytte!$A$2:$B$18,2,FALSE)*[1]Energiindhold!$C$10,0)*K53*IFERROR(VLOOKUP(A53,Biogasanlæg!$F$3:$G$8,2,FALSE),1)+IFERROR(VLOOKUP(A53,[1]Energiindhold!$A$2:$C$11,3,FALSE),0)*M53+IF(E53&lt;&gt;År1,R53,0),0)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12"/>
        <v>0</v>
      </c>
      <c r="V53" s="169">
        <f>P53*IFERROR(VLOOKUP(A53,[1]Tørstofindhold!A$2:B$24,2,FALSE),0)</f>
        <v>0</v>
      </c>
      <c r="W53">
        <f>IF(E53=År1,Q53,SUM(P53,Q53))*IFERROR(VLOOKUP(A53,[1]Tørstofindhold!A$2:B$24,2,FALSE),0)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13"/>
        <v>0</v>
      </c>
      <c r="Z53">
        <f t="shared" si="1"/>
        <v>0</v>
      </c>
      <c r="AA53">
        <f t="shared" si="2"/>
        <v>1</v>
      </c>
      <c r="AB53" s="94">
        <f t="shared" si="8"/>
        <v>763810.60783682799</v>
      </c>
      <c r="AC53">
        <f>AB53*D53*10000*VLOOKUP(A53,[1]kcal!$A$2:$C$49,3,FALSE)/1000000000000</f>
        <v>5.3046646714267709</v>
      </c>
    </row>
    <row r="54" spans="1:29" x14ac:dyDescent="0.25">
      <c r="A54" s="171" t="str">
        <f t="shared" si="18"/>
        <v>Bioaffald</v>
      </c>
      <c r="B54" s="171" t="str">
        <f t="shared" si="19"/>
        <v>Bionedbrydeligt affald</v>
      </c>
      <c r="C54" s="171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71">
        <f t="shared" si="21"/>
        <v>0</v>
      </c>
      <c r="E54" s="171">
        <f t="shared" si="20"/>
        <v>2030</v>
      </c>
      <c r="F54" t="s">
        <v>23</v>
      </c>
      <c r="G54" s="94">
        <f ca="1">IF(F54="Vestdanmark",SUMIFS(IF(E54=År1,'Resultater - Vestdanmark'!H$3:H$504,IF(E54=År2,'Resultater - Vestdanmark'!I$3:I$504,'Resultater - Vestdanmark'!J$3:J$504)),'Resultater - Vestdanmark'!$F$3:$F$504,$A54,IF(E54=År1,'Resultater - Vestdanmark'!H$3:H$504,IF(E54=År2,'Resultater - Vestdanmark'!I$3:I$504,'Resultater - Vestdanmark'!J$3:J$504)),"&gt;0"),SUMIFS(IF(E54=År1,'Resultater - Østdanmark'!H$3:H$504,IF(E54=År2,'Resultater - Østdanmark'!I$3:I$504,'Resultater - Østdanmark'!J$3:J$504)),'Resultater - Østdanmark'!$F$3:$F$504,$A54,IF(E54=År1,'Resultater - Østdanmark'!H$3:H$504,IF(E54=År2,'Resultater - Østdanmark'!I$3:I$504,'Resultater - Østdanmark'!J$3:J$504)),"&gt;0"))</f>
        <v>195082.22598438186</v>
      </c>
      <c r="H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forbrug'!H$3,'Forbrug af biomasse'!$B$2:$B$425,$F54)</f>
        <v>0</v>
      </c>
      <c r="I54">
        <f>IF(F54="Vestdanmark",-IF(A54="Halm",SUMIFS(IF(E54=År1,'Resultater - Vestdanmark'!H$3:H$504,IF(E54=År2,'Resultater - Vestdanmark'!I$3:I$504,'Resultater - Vestdanmark'!J$3:J$504)),'Resultater - Vestdanmark'!$F$3:$F$504,$A54,'Resultater - Vestdanmark'!H$3:H$504,"&lt;0"),0),-IF(A54="Halm",SUMIFS(IF(E54=År1,'Resultater - Østdanmark'!H$3:H$504,IF(E54=År2,'Resultater - Østdanmark'!I$3:I$504,'Resultater - Østdanmark'!J$3:J$504)),'Resultater - Østdanmark'!$F$3:$F$504,$A54,'Resultater - Østdanmark'!H$3:H$504,"&lt;0"),0))</f>
        <v>0</v>
      </c>
      <c r="J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forbrug'!J$3,'Forbrug af biomasse'!$B$2:$B$425,$F54)</f>
        <v>0</v>
      </c>
      <c r="K54" s="94">
        <f ca="1">SUMIFS('Forbrug af biomasse'!$E$2:$E$425,'Forbrug af biomasse'!$C$2:$C$425,'Resultat-Produktion &amp; forbrug'!$A54,'Forbrug af biomasse'!$D$2:$D$425,'Resultat-Produktion &amp; forbrug'!$E54,'Forbrug af biomasse'!$A$2:$A$425,'Resultat-Produktion &amp; forbrug'!K$3,'Forbrug af biomasse'!$B$2:$B$425,$F54)</f>
        <v>0</v>
      </c>
      <c r="L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forbrug'!L$3,'Forbrug af biomasse'!$B$2:$B$425,$F54)</f>
        <v>0</v>
      </c>
      <c r="M54" s="94">
        <f ca="1">IF(A54&lt;&gt;"Biogas",SUMIFS('Forbrug af biomasse'!$E$2:$E$425,'Forbrug af biomasse'!$C$2:$C$425,'Resultat-Produktion &amp; forbrug'!$A54,'Forbrug af biomasse'!$D$2:$D$425,'Resultat-Produktion &amp; forbrug'!$E54,'Forbrug af biomasse'!$A$2:$A$425,'Resultat-Produktion &amp; forbrug'!M$3,'Forbrug af biomasse'!$B$2:$B$425,$F54),G54)</f>
        <v>195082.22598438186</v>
      </c>
      <c r="N54" s="94">
        <f ca="1">SUMIFS('Forbrug af biomasse'!E:E,'Forbrug af biomasse'!C:C,'Resultat-Produktion &amp; forbrug'!$A54,'Forbrug af biomasse'!D:D,'Resultat-Produktion &amp; forbrug'!$E54,'Forbrug af biomasse'!G:G,1,'Forbrug af biomasse'!B:B,$F54)</f>
        <v>0</v>
      </c>
      <c r="O54" s="179">
        <f t="shared" ca="1" si="10"/>
        <v>0</v>
      </c>
      <c r="P54" s="94">
        <f t="shared" ca="1" si="4"/>
        <v>0</v>
      </c>
      <c r="Q54" s="180">
        <f t="shared" ca="1" si="11"/>
        <v>195082.22598438186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IF(A54&lt;&gt;"Biogas",IFERROR(VLOOKUP(A54,[1]Biogasudbytte!$A$2:$B$18,2,FALSE)*[1]Energiindhold!$C$10,0)*K54*IFERROR(VLOOKUP(A54,Biogasanlæg!$F$3:$G$8,2,FALSE),1)+IFERROR(VLOOKUP(A54,[1]Energiindhold!$A$2:$C$11,3,FALSE),0)*M54+IF(E54&lt;&gt;År1,R54,0),0)</f>
        <v>3.4826509179371086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12"/>
        <v>3.4826509179371086</v>
      </c>
      <c r="V54" s="169">
        <f ca="1">P54*IFERROR(VLOOKUP(A54,[1]Tørstofindhold!A$2:B$24,2,FALSE),0)</f>
        <v>0</v>
      </c>
      <c r="W54">
        <f ca="1">IF(E54=År1,Q54,SUM(P54,Q54))*IFERROR(VLOOKUP(A54,[1]Tørstofindhold!A$2:B$24,2,FALSE),0)</f>
        <v>54623.023275626925</v>
      </c>
      <c r="X54">
        <f ca="1">K54*IFERROR(VLOOKUP(A54,[1]Tørstofindhold!A$2:B$24,2,FALSE),0)</f>
        <v>0</v>
      </c>
      <c r="Y54" s="170">
        <f t="shared" ca="1" si="13"/>
        <v>54623.023275626925</v>
      </c>
      <c r="Z54">
        <f t="shared" ca="1" si="1"/>
        <v>0</v>
      </c>
      <c r="AA54">
        <f t="shared" ca="1" si="2"/>
        <v>0</v>
      </c>
      <c r="AB54" s="94">
        <f t="shared" ca="1" si="8"/>
        <v>195082.22598438186</v>
      </c>
      <c r="AC54">
        <f ca="1">AB54*D54*10000*VLOOKUP(A54,[1]kcal!$A$2:$C$49,3,FALSE)/1000000000000</f>
        <v>0</v>
      </c>
    </row>
    <row r="55" spans="1:29" x14ac:dyDescent="0.25">
      <c r="A55" s="171" t="str">
        <f t="shared" si="18"/>
        <v>Biogas</v>
      </c>
      <c r="B55" s="171" t="str">
        <f t="shared" si="19"/>
        <v/>
      </c>
      <c r="C55" s="171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1</v>
      </c>
      <c r="D55" s="171">
        <f t="shared" si="21"/>
        <v>0</v>
      </c>
      <c r="E55" s="171">
        <f t="shared" si="20"/>
        <v>2030</v>
      </c>
      <c r="F55" t="s">
        <v>23</v>
      </c>
      <c r="G55" s="94">
        <f ca="1">IF(F55="Vestdanmark",SUMIFS(IF(E55=År1,'Resultater - Vestdanmark'!H$3:H$504,IF(E55=År2,'Resultater - Vestdanmark'!I$3:I$504,'Resultater - Vestdanmark'!J$3:J$504)),'Resultater - Vestdanmark'!$F$3:$F$504,$A55,IF(E55=År1,'Resultater - Vestdanmark'!H$3:H$504,IF(E55=År2,'Resultater - Vestdanmark'!I$3:I$504,'Resultater - Vestdanmark'!J$3:J$504)),"&gt;0"),SUMIFS(IF(E55=År1,'Resultater - Østdanmark'!H$3:H$504,IF(E55=År2,'Resultater - Østdanmark'!I$3:I$504,'Resultater - Østdanmark'!J$3:J$504)),'Resultater - Østdanmark'!$F$3:$F$504,$A55,IF(E55=År1,'Resultater - Østdanmark'!H$3:H$504,IF(E55=År2,'Resultater - Østdanmark'!I$3:I$504,'Resultater - Østdanmark'!J$3:J$504)),"&gt;0"))</f>
        <v>360155466.15188104</v>
      </c>
      <c r="H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forbrug'!H$3,'Forbrug af biomasse'!$B$2:$B$425,$F55)</f>
        <v>0</v>
      </c>
      <c r="I55">
        <f>IF(F55="Vestdanmark",-IF(A55="Halm",SUMIFS(IF(E55=År1,'Resultater - Vestdanmark'!H$3:H$504,IF(E55=År2,'Resultater - Vestdanmark'!I$3:I$504,'Resultater - Vestdanmark'!J$3:J$504)),'Resultater - Vestdanmark'!$F$3:$F$504,$A55,'Resultater - Vestdanmark'!H$3:H$504,"&lt;0"),0),-IF(A55="Halm",SUMIFS(IF(E55=År1,'Resultater - Østdanmark'!H$3:H$504,IF(E55=År2,'Resultater - Østdanmark'!I$3:I$504,'Resultater - Østdanmark'!J$3:J$504)),'Resultater - Østdanmark'!$F$3:$F$504,$A55,'Resultater - Østdanmark'!H$3:H$504,"&lt;0"),0))</f>
        <v>0</v>
      </c>
      <c r="J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forbrug'!J$3,'Forbrug af biomasse'!$B$2:$B$425,$F55)</f>
        <v>0</v>
      </c>
      <c r="K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forbrug'!K$3,'Forbrug af biomasse'!$B$2:$B$425,$F55)</f>
        <v>0</v>
      </c>
      <c r="L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forbrug'!L$3,'Forbrug af biomasse'!$B$2:$B$425,$F55)</f>
        <v>0</v>
      </c>
      <c r="M55" s="94">
        <f ca="1">IF(A55&lt;&gt;"Biogas",SUMIFS('Forbrug af biomasse'!$E$2:$E$425,'Forbrug af biomasse'!$C$2:$C$425,'Resultat-Produktion &amp; forbrug'!$A55,'Forbrug af biomasse'!$D$2:$D$425,'Resultat-Produktion &amp; forbrug'!$E55,'Forbrug af biomasse'!$A$2:$A$425,'Resultat-Produktion &amp; forbrug'!M$3,'Forbrug af biomasse'!$B$2:$B$425,$F55),G55)</f>
        <v>360155466.15188104</v>
      </c>
      <c r="N55" s="94">
        <f>SUMIFS('Forbrug af biomasse'!E:E,'Forbrug af biomasse'!C:C,'Resultat-Produktion &amp; forbrug'!$A55,'Forbrug af biomasse'!D:D,'Resultat-Produktion &amp; forbrug'!$E55,'Forbrug af biomasse'!G:G,1,'Forbrug af biomasse'!B:B,$F55)</f>
        <v>0</v>
      </c>
      <c r="O55" s="179">
        <f t="shared" ca="1" si="10"/>
        <v>0</v>
      </c>
      <c r="P55" s="94">
        <f t="shared" ca="1" si="4"/>
        <v>0</v>
      </c>
      <c r="Q55" s="180">
        <f t="shared" ca="1" si="11"/>
        <v>360155466.15188104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IF(A55&lt;&gt;"Biogas",IFERROR(VLOOKUP(A55,[1]Biogasudbytte!$A$2:$B$18,2,FALSE)*[1]Energiindhold!$C$10,0)*K55*IFERROR(VLOOKUP(A55,Biogasanlæg!$F$3:$G$8,2,FALSE),1)+IFERROR(VLOOKUP(A55,[1]Energiindhold!$A$2:$C$11,3,FALSE),0)*M55+IF(E55&lt;&gt;År1,R55,0),0)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12"/>
        <v>0</v>
      </c>
      <c r="V55" s="169">
        <f ca="1">P55*IFERROR(VLOOKUP(A55,[1]Tørstofindhold!A$2:B$24,2,FALSE),0)</f>
        <v>0</v>
      </c>
      <c r="W55">
        <f ca="1">IF(E55=År1,Q55,SUM(P55,Q55))*IFERROR(VLOOKUP(A55,[1]Tørstofindhold!A$2:B$24,2,FALSE),0)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13"/>
        <v>0</v>
      </c>
      <c r="Z55">
        <f t="shared" ca="1" si="1"/>
        <v>0</v>
      </c>
      <c r="AA55">
        <f t="shared" ca="1" si="2"/>
        <v>0</v>
      </c>
      <c r="AB55" s="94">
        <f t="shared" ca="1" si="8"/>
        <v>360155466.15188104</v>
      </c>
      <c r="AC55">
        <f ca="1">AB55*D55*10000*VLOOKUP(A55,[1]kcal!$A$2:$C$49,3,FALSE)/1000000000000</f>
        <v>0</v>
      </c>
    </row>
    <row r="56" spans="1:29" x14ac:dyDescent="0.25">
      <c r="A56" s="171" t="str">
        <f t="shared" si="18"/>
        <v>Biogasgylle</v>
      </c>
      <c r="B56" s="171" t="str">
        <f t="shared" si="19"/>
        <v/>
      </c>
      <c r="C56" s="171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0</v>
      </c>
      <c r="D56" s="171">
        <f t="shared" si="21"/>
        <v>0</v>
      </c>
      <c r="E56" s="171">
        <f t="shared" si="20"/>
        <v>2030</v>
      </c>
      <c r="F56" t="s">
        <v>23</v>
      </c>
      <c r="G56" s="94">
        <f ca="1">IF(F56="Vestdanmark",SUMIFS(IF(E56=År1,'Resultater - Vestdanmark'!H$3:H$504,IF(E56=År2,'Resultater - Vestdanmark'!I$3:I$504,'Resultater - Vestdanmark'!J$3:J$504)),'Resultater - Vestdanmark'!$F$3:$F$504,$A56,IF(E56=År1,'Resultater - Vestdanmark'!H$3:H$504,IF(E56=År2,'Resultater - Vestdanmark'!I$3:I$504,'Resultater - Vestdanmark'!J$3:J$504)),"&gt;0"),SUMIFS(IF(E56=År1,'Resultater - Østdanmark'!H$3:H$504,IF(E56=År2,'Resultater - Østdanmark'!I$3:I$504,'Resultater - Østdanmark'!J$3:J$504)),'Resultater - Østdanmark'!$F$3:$F$504,$A56,IF(E56=År1,'Resultater - Østdanmark'!H$3:H$504,IF(E56=År2,'Resultater - Østdanmark'!I$3:I$504,'Resultater - Østdanmark'!J$3:J$504)),"&gt;0"))</f>
        <v>14753259.052618254</v>
      </c>
      <c r="H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forbrug'!H$3,'Forbrug af biomasse'!$B$2:$B$425,$F56)</f>
        <v>0</v>
      </c>
      <c r="I56">
        <f>IF(F56="Vestdanmark",-IF(A56="Halm",SUMIFS(IF(E56=År1,'Resultater - Vestdanmark'!H$3:H$504,IF(E56=År2,'Resultater - Vestdanmark'!I$3:I$504,'Resultater - Vestdanmark'!J$3:J$504)),'Resultater - Vestdanmark'!$F$3:$F$504,$A56,'Resultater - Vestdanmark'!H$3:H$504,"&lt;0"),0),-IF(A56="Halm",SUMIFS(IF(E56=År1,'Resultater - Østdanmark'!H$3:H$504,IF(E56=År2,'Resultater - Østdanmark'!I$3:I$504,'Resultater - Østdanmark'!J$3:J$504)),'Resultater - Østdanmark'!$F$3:$F$504,$A56,'Resultater - Østdanmark'!H$3:H$504,"&lt;0"),0))</f>
        <v>0</v>
      </c>
      <c r="J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forbrug'!J$3,'Forbrug af biomasse'!$B$2:$B$425,$F56)</f>
        <v>0</v>
      </c>
      <c r="K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forbrug'!K$3,'Forbrug af biomasse'!$B$2:$B$425,$F56)</f>
        <v>0</v>
      </c>
      <c r="L56" s="94">
        <f ca="1">SUMIFS('Forbrug af biomasse'!$E$2:$E$425,'Forbrug af biomasse'!$C$2:$C$425,'Resultat-Produktion &amp; forbrug'!$A56,'Forbrug af biomasse'!$D$2:$D$425,'Resultat-Produktion &amp; forbrug'!$E56,'Forbrug af biomasse'!$A$2:$A$425,'Resultat-Produktion &amp; forbrug'!L$3,'Forbrug af biomasse'!$B$2:$B$425,$F56)</f>
        <v>10112257.042498086</v>
      </c>
      <c r="M56" s="94">
        <f>IF(A56&lt;&gt;"Biogas",SUMIFS('Forbrug af biomasse'!$E$2:$E$425,'Forbrug af biomasse'!$C$2:$C$425,'Resultat-Produktion &amp; forbrug'!$A56,'Forbrug af biomasse'!$D$2:$D$425,'Resultat-Produktion &amp; forbrug'!$E56,'Forbrug af biomasse'!$A$2:$A$425,'Resultat-Produktion &amp; forbrug'!M$3,'Forbrug af biomasse'!$B$2:$B$425,$F56),G56)</f>
        <v>0</v>
      </c>
      <c r="N56" s="94">
        <f>SUMIFS('Forbrug af biomasse'!E:E,'Forbrug af biomasse'!C:C,'Resultat-Produktion &amp; forbrug'!$A56,'Forbrug af biomasse'!D:D,'Resultat-Produktion &amp; forbrug'!$E56,'Forbrug af biomasse'!G:G,1,'Forbrug af biomasse'!B:B,$F56)</f>
        <v>0</v>
      </c>
      <c r="O56" s="179">
        <f t="shared" ca="1" si="10"/>
        <v>4641002.0101201683</v>
      </c>
      <c r="P56" s="94">
        <f t="shared" si="4"/>
        <v>0</v>
      </c>
      <c r="Q56" s="180">
        <f t="shared" si="11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IF(A56&lt;&gt;"Biogas",IFERROR(VLOOKUP(A56,[1]Biogasudbytte!$A$2:$B$18,2,FALSE)*[1]Energiindhold!$C$10,0)*K56*IFERROR(VLOOKUP(A56,Biogasanlæg!$F$3:$G$8,2,FALSE),1)+IFERROR(VLOOKUP(A56,[1]Energiindhold!$A$2:$C$11,3,FALSE),0)*M56+IF(E56&lt;&gt;År1,R56,0),0)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12"/>
        <v>0</v>
      </c>
      <c r="V56" s="169">
        <f>P56*IFERROR(VLOOKUP(A56,[1]Tørstofindhold!A$2:B$24,2,FALSE),0)</f>
        <v>0</v>
      </c>
      <c r="W56">
        <f>IF(E56=År1,Q56,SUM(P56,Q56))*IFERROR(VLOOKUP(A56,[1]Tørstofindhold!A$2:B$24,2,FALSE),0)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13"/>
        <v>0</v>
      </c>
      <c r="Z56">
        <f t="shared" ca="1" si="1"/>
        <v>0</v>
      </c>
      <c r="AA56">
        <f t="shared" ca="1" si="2"/>
        <v>1</v>
      </c>
      <c r="AB56" s="94">
        <f t="shared" ca="1" si="8"/>
        <v>4641002.0101201683</v>
      </c>
      <c r="AC56">
        <f ca="1">AB56*D56*10000*VLOOKUP(A56,[1]kcal!$A$2:$C$49,3,FALSE)/1000000000000</f>
        <v>0</v>
      </c>
    </row>
    <row r="57" spans="1:29" x14ac:dyDescent="0.25">
      <c r="A57" s="171" t="str">
        <f t="shared" si="18"/>
        <v>Brun saft</v>
      </c>
      <c r="B57" s="171" t="str">
        <f t="shared" si="19"/>
        <v>Bionedbrydeligt affald</v>
      </c>
      <c r="C57" s="171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71">
        <f t="shared" si="21"/>
        <v>0</v>
      </c>
      <c r="E57" s="171">
        <f t="shared" si="20"/>
        <v>2030</v>
      </c>
      <c r="F57" t="s">
        <v>23</v>
      </c>
      <c r="G57" s="94">
        <f>IF(F57="Vestdanmark",SUMIFS(IF(E57=År1,'Resultater - Vestdanmark'!H$3:H$504,IF(E57=År2,'Resultater - Vestdanmark'!I$3:I$504,'Resultater - Vestdanmark'!J$3:J$504)),'Resultater - Vestdanmark'!$F$3:$F$504,$A57,IF(E57=År1,'Resultater - Vestdanmark'!H$3:H$504,IF(E57=År2,'Resultater - Vestdanmark'!I$3:I$504,'Resultater - Vestdanmark'!J$3:J$504)),"&gt;0"),SUMIFS(IF(E57=År1,'Resultater - Østdanmark'!H$3:H$504,IF(E57=År2,'Resultater - Østdanmark'!I$3:I$504,'Resultater - Østdanmark'!J$3:J$504)),'Resultater - Østdanmark'!$F$3:$F$504,$A57,IF(E57=År1,'Resultater - Østdanmark'!H$3:H$504,IF(E57=År2,'Resultater - Østdanmark'!I$3:I$504,'Resultater - Østdanmark'!J$3:J$504)),"&gt;0"))</f>
        <v>0</v>
      </c>
      <c r="H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forbrug'!H$3,'Forbrug af biomasse'!$B$2:$B$425,$F57)</f>
        <v>0</v>
      </c>
      <c r="I57">
        <f>IF(F57="Vestdanmark",-IF(A57="Halm",SUMIFS(IF(E57=År1,'Resultater - Vestdanmark'!H$3:H$504,IF(E57=År2,'Resultater - Vestdanmark'!I$3:I$504,'Resultater - Vestdanmark'!J$3:J$504)),'Resultater - Vestdanmark'!$F$3:$F$504,$A57,'Resultater - Vestdanmark'!H$3:H$504,"&lt;0"),0),-IF(A57="Halm",SUMIFS(IF(E57=År1,'Resultater - Østdanmark'!H$3:H$504,IF(E57=År2,'Resultater - Østdanmark'!I$3:I$504,'Resultater - Østdanmark'!J$3:J$504)),'Resultater - Østdanmark'!$F$3:$F$504,$A57,'Resultater - Østdanmark'!H$3:H$504,"&lt;0"),0))</f>
        <v>0</v>
      </c>
      <c r="J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forbrug'!J$3,'Forbrug af biomasse'!$B$2:$B$425,$F57)</f>
        <v>0</v>
      </c>
      <c r="K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forbrug'!K$3,'Forbrug af biomasse'!$B$2:$B$425,$F57)</f>
        <v>0</v>
      </c>
      <c r="L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forbrug'!L$3,'Forbrug af biomasse'!$B$2:$B$425,$F57)</f>
        <v>0</v>
      </c>
      <c r="M57" s="94">
        <f>IF(A57&lt;&gt;"Biogas",SUMIFS('Forbrug af biomasse'!$E$2:$E$425,'Forbrug af biomasse'!$C$2:$C$425,'Resultat-Produktion &amp; forbrug'!$A57,'Forbrug af biomasse'!$D$2:$D$425,'Resultat-Produktion &amp; forbrug'!$E57,'Forbrug af biomasse'!$A$2:$A$425,'Resultat-Produktion &amp; forbrug'!M$3,'Forbrug af biomasse'!$B$2:$B$425,$F57),G57)</f>
        <v>0</v>
      </c>
      <c r="N57" s="94">
        <f>SUMIFS('Forbrug af biomasse'!E:E,'Forbrug af biomasse'!C:C,'Resultat-Produktion &amp; forbrug'!$A57,'Forbrug af biomasse'!D:D,'Resultat-Produktion &amp; forbrug'!$E57,'Forbrug af biomasse'!G:G,1,'Forbrug af biomasse'!B:B,$F57)</f>
        <v>0</v>
      </c>
      <c r="O57" s="179">
        <f t="shared" si="10"/>
        <v>0</v>
      </c>
      <c r="P57" s="94">
        <f t="shared" si="4"/>
        <v>0</v>
      </c>
      <c r="Q57" s="180">
        <f t="shared" si="11"/>
        <v>0</v>
      </c>
      <c r="R57">
        <f>IFERROR(VLOOKUP(A57,[1]Energiindhold!$A$2:$C$11,3,FALSE),IFERROR(VLOOKUP(A57,[1]Biogasudbytte!$A$2:$B$18,2,FALSE)*[1]Energiindhold!$C$10,0))*P57</f>
        <v>0</v>
      </c>
      <c r="S57">
        <f>IF(A57&lt;&gt;"Biogas",IFERROR(VLOOKUP(A57,[1]Biogasudbytte!$A$2:$B$18,2,FALSE)*[1]Energiindhold!$C$10,0)*K57*IFERROR(VLOOKUP(A57,Biogasanlæg!$F$3:$G$8,2,FALSE),1)+IFERROR(VLOOKUP(A57,[1]Energiindhold!$A$2:$C$11,3,FALSE),0)*M57+IF(E57&lt;&gt;År1,R57,0),0)</f>
        <v>0</v>
      </c>
      <c r="T57">
        <f>IFERROR(VLOOKUP(A57,[1]Biogasudbytte!$A$2:$B$18,2,FALSE)*[1]Energiindhold!$C$10,0)*K57*IFERROR(VLOOKUP(A57,Biogasanlæg!$F$3:$G$8,2,FALSE),1)</f>
        <v>0</v>
      </c>
      <c r="U57" s="170">
        <f t="shared" si="12"/>
        <v>0</v>
      </c>
      <c r="V57" s="169">
        <f>P57*IFERROR(VLOOKUP(A57,[1]Tørstofindhold!A$2:B$24,2,FALSE),0)</f>
        <v>0</v>
      </c>
      <c r="W57">
        <f>IF(E57=År1,Q57,SUM(P57,Q57))*IFERROR(VLOOKUP(A57,[1]Tørstofindhold!A$2:B$24,2,FALSE),0)</f>
        <v>0</v>
      </c>
      <c r="X57">
        <f>K57*IFERROR(VLOOKUP(A57,[1]Tørstofindhold!A$2:B$24,2,FALSE),0)</f>
        <v>0</v>
      </c>
      <c r="Y57" s="170">
        <f t="shared" si="13"/>
        <v>0</v>
      </c>
      <c r="Z57">
        <f t="shared" si="1"/>
        <v>0</v>
      </c>
      <c r="AA57">
        <f t="shared" si="2"/>
        <v>0</v>
      </c>
      <c r="AB57" s="94">
        <f t="shared" si="8"/>
        <v>0</v>
      </c>
      <c r="AC57">
        <f>AB57*D57*10000*VLOOKUP(A57,[1]kcal!$A$2:$C$49,3,FALSE)/1000000000000</f>
        <v>0</v>
      </c>
    </row>
    <row r="58" spans="1:29" x14ac:dyDescent="0.25">
      <c r="A58" s="171" t="str">
        <f t="shared" si="18"/>
        <v>Dybstrøelse</v>
      </c>
      <c r="B58" s="171" t="str">
        <f t="shared" si="19"/>
        <v>Husdyrgødning</v>
      </c>
      <c r="C58" s="171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1</v>
      </c>
      <c r="D58" s="171">
        <f t="shared" si="21"/>
        <v>0</v>
      </c>
      <c r="E58" s="171">
        <f t="shared" si="20"/>
        <v>2030</v>
      </c>
      <c r="F58" t="s">
        <v>23</v>
      </c>
      <c r="G58" s="94">
        <f>IF(F58="Vestdanmark",SUMIFS(IF(E58=År1,'Resultater - Vestdanmark'!H$3:H$504,IF(E58=År2,'Resultater - Vestdanmark'!I$3:I$504,'Resultater - Vestdanmark'!J$3:J$504)),'Resultater - Vestdanmark'!$F$3:$F$504,$A58,IF(E58=År1,'Resultater - Vestdanmark'!H$3:H$504,IF(E58=År2,'Resultater - Vestdanmark'!I$3:I$504,'Resultater - Vestdanmark'!J$3:J$504)),"&gt;0"),SUMIFS(IF(E58=År1,'Resultater - Østdanmark'!H$3:H$504,IF(E58=År2,'Resultater - Østdanmark'!I$3:I$504,'Resultater - Østdanmark'!J$3:J$504)),'Resultater - Østdanmark'!$F$3:$F$504,$A58,IF(E58=År1,'Resultater - Østdanmark'!H$3:H$504,IF(E58=År2,'Resultater - Østdanmark'!I$3:I$504,'Resultater - Østdanmark'!J$3:J$504)),"&gt;0"))</f>
        <v>2465403.7833838393</v>
      </c>
      <c r="H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forbrug'!H$3,'Forbrug af biomasse'!$B$2:$B$425,$F58)</f>
        <v>0</v>
      </c>
      <c r="I58">
        <f>IF(F58="Vestdanmark",-IF(A58="Halm",SUMIFS(IF(E58=År1,'Resultater - Vestdanmark'!H$3:H$504,IF(E58=År2,'Resultater - Vestdanmark'!I$3:I$504,'Resultater - Vestdanmark'!J$3:J$504)),'Resultater - Vestdanmark'!$F$3:$F$504,$A58,'Resultater - Vestdanmark'!H$3:H$504,"&lt;0"),0),-IF(A58="Halm",SUMIFS(IF(E58=År1,'Resultater - Østdanmark'!H$3:H$504,IF(E58=År2,'Resultater - Østdanmark'!I$3:I$504,'Resultater - Østdanmark'!J$3:J$504)),'Resultater - Østdanmark'!$F$3:$F$504,$A58,'Resultater - Østdanmark'!H$3:H$504,"&lt;0"),0))</f>
        <v>0</v>
      </c>
      <c r="J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forbrug'!J$3,'Forbrug af biomasse'!$B$2:$B$425,$F58)</f>
        <v>0</v>
      </c>
      <c r="K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forbrug'!K$3,'Forbrug af biomasse'!$B$2:$B$425,$F58)</f>
        <v>1849052.8375378796</v>
      </c>
      <c r="L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forbrug'!L$3,'Forbrug af biomasse'!$B$2:$B$425,$F58)</f>
        <v>233332.85807025622</v>
      </c>
      <c r="M58" s="94">
        <f>IF(A58&lt;&gt;"Biogas",SUMIFS('Forbrug af biomasse'!$E$2:$E$425,'Forbrug af biomasse'!$C$2:$C$425,'Resultat-Produktion &amp; forbrug'!$A58,'Forbrug af biomasse'!$D$2:$D$425,'Resultat-Produktion &amp; forbrug'!$E58,'Forbrug af biomasse'!$A$2:$A$425,'Resultat-Produktion &amp; forbrug'!M$3,'Forbrug af biomasse'!$B$2:$B$425,$F58),G58)</f>
        <v>0</v>
      </c>
      <c r="N58" s="94">
        <f>SUMIFS('Forbrug af biomasse'!E:E,'Forbrug af biomasse'!C:C,'Resultat-Produktion &amp; forbrug'!$A58,'Forbrug af biomasse'!D:D,'Resultat-Produktion &amp; forbrug'!$E58,'Forbrug af biomasse'!G:G,1,'Forbrug af biomasse'!B:B,$F58)</f>
        <v>0</v>
      </c>
      <c r="O58" s="179">
        <f t="shared" si="10"/>
        <v>383018.08777570352</v>
      </c>
      <c r="P58" s="94">
        <f t="shared" si="4"/>
        <v>383018.08777570352</v>
      </c>
      <c r="Q58" s="180">
        <f t="shared" si="11"/>
        <v>1849052.8375378796</v>
      </c>
      <c r="R58">
        <f>IFERROR(VLOOKUP(A58,[1]Energiindhold!$A$2:$C$11,3,FALSE),IFERROR(VLOOKUP(A58,[1]Biogasudbytte!$A$2:$B$18,2,FALSE)*[1]Energiindhold!$C$10,0))*P58</f>
        <v>0.82502096106886535</v>
      </c>
      <c r="S58">
        <f>IF(A58&lt;&gt;"Biogas",IFERROR(VLOOKUP(A58,[1]Biogasudbytte!$A$2:$B$18,2,FALSE)*[1]Energiindhold!$C$10,0)*K58*IFERROR(VLOOKUP(A58,Biogasanlæg!$F$3:$G$8,2,FALSE),1)+IFERROR(VLOOKUP(A58,[1]Energiindhold!$A$2:$C$11,3,FALSE),0)*M58+IF(E58&lt;&gt;År1,R58,0),0)</f>
        <v>4.8078807731254578</v>
      </c>
      <c r="T58">
        <f>IFERROR(VLOOKUP(A58,[1]Biogasudbytte!$A$2:$B$18,2,FALSE)*[1]Energiindhold!$C$10,0)*K58*IFERROR(VLOOKUP(A58,Biogasanlæg!$F$3:$G$8,2,FALSE),1)</f>
        <v>3.9828598120565926</v>
      </c>
      <c r="U58" s="170">
        <f t="shared" si="12"/>
        <v>0.82502096106886524</v>
      </c>
      <c r="V58" s="169">
        <f>P58*IFERROR(VLOOKUP(A58,[1]Tørstofindhold!A$2:B$24,2,FALSE),0)</f>
        <v>114905.42633271105</v>
      </c>
      <c r="W58">
        <f>IF(E58=År1,Q58,SUM(P58,Q58))*IFERROR(VLOOKUP(A58,[1]Tørstofindhold!A$2:B$24,2,FALSE),0)</f>
        <v>669621.27759407496</v>
      </c>
      <c r="X58">
        <f>K58*IFERROR(VLOOKUP(A58,[1]Tørstofindhold!A$2:B$24,2,FALSE),0)</f>
        <v>554715.85126136383</v>
      </c>
      <c r="Y58" s="170">
        <f t="shared" si="13"/>
        <v>114905.42633271113</v>
      </c>
      <c r="Z58">
        <f t="shared" si="1"/>
        <v>0</v>
      </c>
      <c r="AA58">
        <f t="shared" si="2"/>
        <v>1</v>
      </c>
      <c r="AB58" s="94">
        <f t="shared" si="8"/>
        <v>383018.08777570352</v>
      </c>
      <c r="AC58">
        <f>AB58*D58*10000*VLOOKUP(A58,[1]kcal!$A$2:$C$49,3,FALSE)/1000000000000</f>
        <v>0</v>
      </c>
    </row>
    <row r="59" spans="1:29" x14ac:dyDescent="0.25">
      <c r="A59" s="171" t="str">
        <f t="shared" si="18"/>
        <v>Fiberfraktion</v>
      </c>
      <c r="B59" s="171" t="str">
        <f t="shared" si="19"/>
        <v/>
      </c>
      <c r="C59" s="171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0</v>
      </c>
      <c r="D59" s="171">
        <f t="shared" si="21"/>
        <v>0</v>
      </c>
      <c r="E59" s="171">
        <f t="shared" si="20"/>
        <v>2030</v>
      </c>
      <c r="F59" t="s">
        <v>23</v>
      </c>
      <c r="G59" s="94">
        <f>IF(F59="Vestdanmark",SUMIFS(IF(E59=År1,'Resultater - Vestdanmark'!H$3:H$504,IF(E59=År2,'Resultater - Vestdanmark'!I$3:I$504,'Resultater - Vestdanmark'!J$3:J$504)),'Resultater - Vestdanmark'!$F$3:$F$504,$A59,IF(E59=År1,'Resultater - Vestdanmark'!H$3:H$504,IF(E59=År2,'Resultater - Vestdanmark'!I$3:I$504,'Resultater - Vestdanmark'!J$3:J$504)),"&gt;0"),SUMIFS(IF(E59=År1,'Resultater - Østdanmark'!H$3:H$504,IF(E59=År2,'Resultater - Østdanmark'!I$3:I$504,'Resultater - Østdanmark'!J$3:J$504)),'Resultater - Østdanmark'!$F$3:$F$504,$A59,IF(E59=År1,'Resultater - Østdanmark'!H$3:H$504,IF(E59=År2,'Resultater - Østdanmark'!I$3:I$504,'Resultater - Østdanmark'!J$3:J$504)),"&gt;0"))</f>
        <v>0</v>
      </c>
      <c r="H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forbrug'!H$3,'Forbrug af biomasse'!$B$2:$B$425,$F59)</f>
        <v>0</v>
      </c>
      <c r="I59">
        <f>IF(F59="Vestdanmark",-IF(A59="Halm",SUMIFS(IF(E59=År1,'Resultater - Vestdanmark'!H$3:H$504,IF(E59=År2,'Resultater - Vestdanmark'!I$3:I$504,'Resultater - Vestdanmark'!J$3:J$504)),'Resultater - Vestdanmark'!$F$3:$F$504,$A59,'Resultater - Vestdanmark'!H$3:H$504,"&lt;0"),0),-IF(A59="Halm",SUMIFS(IF(E59=År1,'Resultater - Østdanmark'!H$3:H$504,IF(E59=År2,'Resultater - Østdanmark'!I$3:I$504,'Resultater - Østdanmark'!J$3:J$504)),'Resultater - Østdanmark'!$F$3:$F$504,$A59,'Resultater - Østdanmark'!H$3:H$504,"&lt;0"),0))</f>
        <v>0</v>
      </c>
      <c r="J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forbrug'!J$3,'Forbrug af biomasse'!$B$2:$B$425,$F59)</f>
        <v>0</v>
      </c>
      <c r="K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forbrug'!K$3,'Forbrug af biomasse'!$B$2:$B$425,$F59)</f>
        <v>0</v>
      </c>
      <c r="L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forbrug'!L$3,'Forbrug af biomasse'!$B$2:$B$425,$F59)</f>
        <v>0</v>
      </c>
      <c r="M59" s="94">
        <f>IF(A59&lt;&gt;"Biogas",SUMIFS('Forbrug af biomasse'!$E$2:$E$425,'Forbrug af biomasse'!$C$2:$C$425,'Resultat-Produktion &amp; forbrug'!$A59,'Forbrug af biomasse'!$D$2:$D$425,'Resultat-Produktion &amp; forbrug'!$E59,'Forbrug af biomasse'!$A$2:$A$425,'Resultat-Produktion &amp; forbrug'!M$3,'Forbrug af biomasse'!$B$2:$B$425,$F59),G59)</f>
        <v>0</v>
      </c>
      <c r="N59" s="94">
        <f>SUMIFS('Forbrug af biomasse'!E:E,'Forbrug af biomasse'!C:C,'Resultat-Produktion &amp; forbrug'!$A59,'Forbrug af biomasse'!D:D,'Resultat-Produktion &amp; forbrug'!$E59,'Forbrug af biomasse'!G:G,1,'Forbrug af biomasse'!B:B,$F59)</f>
        <v>0</v>
      </c>
      <c r="O59" s="179">
        <f t="shared" si="10"/>
        <v>0</v>
      </c>
      <c r="P59" s="94">
        <f t="shared" si="4"/>
        <v>0</v>
      </c>
      <c r="Q59" s="180">
        <f t="shared" si="11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IF(A59&lt;&gt;"Biogas",IFERROR(VLOOKUP(A59,[1]Biogasudbytte!$A$2:$B$18,2,FALSE)*[1]Energiindhold!$C$10,0)*K59*IFERROR(VLOOKUP(A59,Biogasanlæg!$F$3:$G$8,2,FALSE),1)+IFERROR(VLOOKUP(A59,[1]Energiindhold!$A$2:$C$11,3,FALSE),0)*M59+IF(E59&lt;&gt;År1,R59,0),0)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12"/>
        <v>0</v>
      </c>
      <c r="V59" s="169">
        <f>P59*IFERROR(VLOOKUP(A59,[1]Tørstofindhold!A$2:B$24,2,FALSE),0)</f>
        <v>0</v>
      </c>
      <c r="W59">
        <f>IF(E59=År1,Q59,SUM(P59,Q59))*IFERROR(VLOOKUP(A59,[1]Tørstofindhold!A$2:B$24,2,FALSE),0)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13"/>
        <v>0</v>
      </c>
      <c r="Z59">
        <f t="shared" si="1"/>
        <v>0</v>
      </c>
      <c r="AA59">
        <f t="shared" si="2"/>
        <v>0</v>
      </c>
      <c r="AB59" s="94">
        <f t="shared" si="8"/>
        <v>0</v>
      </c>
      <c r="AC59">
        <f>AB59*D59*10000*VLOOKUP(A59,[1]kcal!$A$2:$C$49,3,FALSE)/1000000000000</f>
        <v>0</v>
      </c>
    </row>
    <row r="60" spans="1:29" x14ac:dyDescent="0.25">
      <c r="A60" s="171" t="str">
        <f t="shared" si="18"/>
        <v>Fjerkrægylle</v>
      </c>
      <c r="B60" s="171" t="str">
        <f t="shared" si="19"/>
        <v>Husdyrgødning</v>
      </c>
      <c r="C60" s="171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1</v>
      </c>
      <c r="D60" s="171">
        <f t="shared" si="21"/>
        <v>0</v>
      </c>
      <c r="E60" s="171">
        <f t="shared" si="20"/>
        <v>2030</v>
      </c>
      <c r="F60" t="s">
        <v>23</v>
      </c>
      <c r="G60" s="94">
        <f>IF(F60="Vestdanmark",SUMIFS(IF(E60=År1,'Resultater - Vestdanmark'!H$3:H$504,IF(E60=År2,'Resultater - Vestdanmark'!I$3:I$504,'Resultater - Vestdanmark'!J$3:J$504)),'Resultater - Vestdanmark'!$F$3:$F$504,$A60,IF(E60=År1,'Resultater - Vestdanmark'!H$3:H$504,IF(E60=År2,'Resultater - Vestdanmark'!I$3:I$504,'Resultater - Vestdanmark'!J$3:J$504)),"&gt;0"),SUMIFS(IF(E60=År1,'Resultater - Østdanmark'!H$3:H$504,IF(E60=År2,'Resultater - Østdanmark'!I$3:I$504,'Resultater - Østdanmark'!J$3:J$504)),'Resultater - Østdanmark'!$F$3:$F$504,$A60,IF(E60=År1,'Resultater - Østdanmark'!H$3:H$504,IF(E60=År2,'Resultater - Østdanmark'!I$3:I$504,'Resultater - Østdanmark'!J$3:J$504)),"&gt;0"))</f>
        <v>8084.5006505504907</v>
      </c>
      <c r="H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forbrug'!H$3,'Forbrug af biomasse'!$B$2:$B$425,$F60)</f>
        <v>0</v>
      </c>
      <c r="I60">
        <f>IF(F60="Vestdanmark",-IF(A60="Halm",SUMIFS(IF(E60=År1,'Resultater - Vestdanmark'!H$3:H$504,IF(E60=År2,'Resultater - Vestdanmark'!I$3:I$504,'Resultater - Vestdanmark'!J$3:J$504)),'Resultater - Vestdanmark'!$F$3:$F$504,$A60,'Resultater - Vestdanmark'!H$3:H$504,"&lt;0"),0),-IF(A60="Halm",SUMIFS(IF(E60=År1,'Resultater - Østdanmark'!H$3:H$504,IF(E60=År2,'Resultater - Østdanmark'!I$3:I$504,'Resultater - Østdanmark'!J$3:J$504)),'Resultater - Østdanmark'!$F$3:$F$504,$A60,'Resultater - Østdanmark'!H$3:H$504,"&lt;0"),0))</f>
        <v>0</v>
      </c>
      <c r="J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forbrug'!J$3,'Forbrug af biomasse'!$B$2:$B$425,$F60)</f>
        <v>0</v>
      </c>
      <c r="K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forbrug'!K$3,'Forbrug af biomasse'!$B$2:$B$425,$F60)</f>
        <v>6063.3754879128683</v>
      </c>
      <c r="L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forbrug'!L$3,'Forbrug af biomasse'!$B$2:$B$425,$F60)</f>
        <v>2021.1251626376227</v>
      </c>
      <c r="M60" s="94">
        <f>IF(A60&lt;&gt;"Biogas",SUMIFS('Forbrug af biomasse'!$E$2:$E$425,'Forbrug af biomasse'!$C$2:$C$425,'Resultat-Produktion &amp; forbrug'!$A60,'Forbrug af biomasse'!$D$2:$D$425,'Resultat-Produktion &amp; forbrug'!$E60,'Forbrug af biomasse'!$A$2:$A$425,'Resultat-Produktion &amp; forbrug'!M$3,'Forbrug af biomasse'!$B$2:$B$425,$F60),G60)</f>
        <v>0</v>
      </c>
      <c r="N60" s="94">
        <f>SUMIFS('Forbrug af biomasse'!E:E,'Forbrug af biomasse'!C:C,'Resultat-Produktion &amp; forbrug'!$A60,'Forbrug af biomasse'!D:D,'Resultat-Produktion &amp; forbrug'!$E60,'Forbrug af biomasse'!G:G,1,'Forbrug af biomasse'!B:B,$F60)</f>
        <v>0</v>
      </c>
      <c r="O60" s="179">
        <f t="shared" si="10"/>
        <v>0</v>
      </c>
      <c r="P60" s="94">
        <f t="shared" si="4"/>
        <v>0</v>
      </c>
      <c r="Q60" s="180">
        <f t="shared" si="11"/>
        <v>6063.3754879128683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IF(A60&lt;&gt;"Biogas",IFERROR(VLOOKUP(A60,[1]Biogasudbytte!$A$2:$B$18,2,FALSE)*[1]Energiindhold!$C$10,0)*K60*IFERROR(VLOOKUP(A60,Biogasanlæg!$F$3:$G$8,2,FALSE),1)+IFERROR(VLOOKUP(A60,[1]Energiindhold!$A$2:$C$11,3,FALSE),0)*M60+IF(E60&lt;&gt;År1,R60,0),0)</f>
        <v>2.8515448582105427E-3</v>
      </c>
      <c r="T60">
        <f>IFERROR(VLOOKUP(A60,[1]Biogasudbytte!$A$2:$B$18,2,FALSE)*[1]Energiindhold!$C$10,0)*K60*IFERROR(VLOOKUP(A60,Biogasanlæg!$F$3:$G$8,2,FALSE),1)</f>
        <v>2.8515448582105427E-3</v>
      </c>
      <c r="U60" s="170">
        <f t="shared" si="12"/>
        <v>0</v>
      </c>
      <c r="V60" s="169">
        <f>P60*IFERROR(VLOOKUP(A60,[1]Tørstofindhold!A$2:B$24,2,FALSE),0)</f>
        <v>0</v>
      </c>
      <c r="W60">
        <f>IF(E60=År1,Q60,SUM(P60,Q60))*IFERROR(VLOOKUP(A60,[1]Tørstofindhold!A$2:B$24,2,FALSE),0)</f>
        <v>381.99265573851068</v>
      </c>
      <c r="X60">
        <f>K60*IFERROR(VLOOKUP(A60,[1]Tørstofindhold!A$2:B$24,2,FALSE),0)</f>
        <v>381.99265573851068</v>
      </c>
      <c r="Y60" s="170">
        <f t="shared" si="13"/>
        <v>0</v>
      </c>
      <c r="Z60">
        <f t="shared" si="1"/>
        <v>0</v>
      </c>
      <c r="AA60">
        <f t="shared" si="2"/>
        <v>0</v>
      </c>
      <c r="AB60" s="94">
        <f t="shared" si="8"/>
        <v>0</v>
      </c>
      <c r="AC60">
        <f>AB60*D60*10000*VLOOKUP(A60,[1]kcal!$A$2:$C$49,3,FALSE)/1000000000000</f>
        <v>0</v>
      </c>
    </row>
    <row r="61" spans="1:29" x14ac:dyDescent="0.25">
      <c r="A61" s="171" t="str">
        <f t="shared" si="18"/>
        <v>Fjerkrækød</v>
      </c>
      <c r="B61" s="171" t="str">
        <f t="shared" si="19"/>
        <v/>
      </c>
      <c r="C61" s="171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71">
        <f t="shared" si="21"/>
        <v>1</v>
      </c>
      <c r="E61" s="171">
        <f t="shared" si="20"/>
        <v>2030</v>
      </c>
      <c r="F61" t="s">
        <v>23</v>
      </c>
      <c r="G61" s="94">
        <f>IF(F61="Vestdanmark",SUMIFS(IF(E61=År1,'Resultater - Vestdanmark'!H$3:H$504,IF(E61=År2,'Resultater - Vestdanmark'!I$3:I$504,'Resultater - Vestdanmark'!J$3:J$504)),'Resultater - Vestdanmark'!$F$3:$F$504,$A61,IF(E61=År1,'Resultater - Vestdanmark'!H$3:H$504,IF(E61=År2,'Resultater - Vestdanmark'!I$3:I$504,'Resultater - Vestdanmark'!J$3:J$504)),"&gt;0"),SUMIFS(IF(E61=År1,'Resultater - Østdanmark'!H$3:H$504,IF(E61=År2,'Resultater - Østdanmark'!I$3:I$504,'Resultater - Østdanmark'!J$3:J$504)),'Resultater - Østdanmark'!$F$3:$F$504,$A61,IF(E61=År1,'Resultater - Østdanmark'!H$3:H$504,IF(E61=År2,'Resultater - Østdanmark'!I$3:I$504,'Resultater - Østdanmark'!J$3:J$504)),"&gt;0"))</f>
        <v>98611.398262488423</v>
      </c>
      <c r="H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forbrug'!H$3,'Forbrug af biomasse'!$B$2:$B$425,$F61)</f>
        <v>0</v>
      </c>
      <c r="I61">
        <f>IF(F61="Vestdanmark",-IF(A61="Halm",SUMIFS(IF(E61=År1,'Resultater - Vestdanmark'!H$3:H$504,IF(E61=År2,'Resultater - Vestdanmark'!I$3:I$504,'Resultater - Vestdanmark'!J$3:J$504)),'Resultater - Vestdanmark'!$F$3:$F$504,$A61,'Resultater - Vestdanmark'!H$3:H$504,"&lt;0"),0),-IF(A61="Halm",SUMIFS(IF(E61=År1,'Resultater - Østdanmark'!H$3:H$504,IF(E61=År2,'Resultater - Østdanmark'!I$3:I$504,'Resultater - Østdanmark'!J$3:J$504)),'Resultater - Østdanmark'!$F$3:$F$504,$A61,'Resultater - Østdanmark'!H$3:H$504,"&lt;0"),0))</f>
        <v>0</v>
      </c>
      <c r="J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forbrug'!J$3,'Forbrug af biomasse'!$B$2:$B$425,$F61)</f>
        <v>35294.766599083188</v>
      </c>
      <c r="K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forbrug'!K$3,'Forbrug af biomasse'!$B$2:$B$425,$F61)</f>
        <v>0</v>
      </c>
      <c r="L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forbrug'!L$3,'Forbrug af biomasse'!$B$2:$B$425,$F61)</f>
        <v>0</v>
      </c>
      <c r="M61" s="94">
        <f>IF(A61&lt;&gt;"Biogas",SUMIFS('Forbrug af biomasse'!$E$2:$E$425,'Forbrug af biomasse'!$C$2:$C$425,'Resultat-Produktion &amp; forbrug'!$A61,'Forbrug af biomasse'!$D$2:$D$425,'Resultat-Produktion &amp; forbrug'!$E61,'Forbrug af biomasse'!$A$2:$A$425,'Resultat-Produktion &amp; forbrug'!M$3,'Forbrug af biomasse'!$B$2:$B$425,$F61),G61)</f>
        <v>0</v>
      </c>
      <c r="N61" s="94">
        <f>SUMIFS('Forbrug af biomasse'!E:E,'Forbrug af biomasse'!C:C,'Resultat-Produktion &amp; forbrug'!$A61,'Forbrug af biomasse'!D:D,'Resultat-Produktion &amp; forbrug'!$E61,'Forbrug af biomasse'!G:G,1,'Forbrug af biomasse'!B:B,$F61)</f>
        <v>0</v>
      </c>
      <c r="O61" s="179">
        <f t="shared" si="10"/>
        <v>63316.631663405235</v>
      </c>
      <c r="P61" s="94">
        <f t="shared" si="4"/>
        <v>0</v>
      </c>
      <c r="Q61" s="180">
        <f t="shared" si="11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IF(A61&lt;&gt;"Biogas",IFERROR(VLOOKUP(A61,[1]Biogasudbytte!$A$2:$B$18,2,FALSE)*[1]Energiindhold!$C$10,0)*K61*IFERROR(VLOOKUP(A61,Biogasanlæg!$F$3:$G$8,2,FALSE),1)+IFERROR(VLOOKUP(A61,[1]Energiindhold!$A$2:$C$11,3,FALSE),0)*M61+IF(E61&lt;&gt;År1,R61,0),0)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12"/>
        <v>0</v>
      </c>
      <c r="V61" s="169">
        <f>P61*IFERROR(VLOOKUP(A61,[1]Tørstofindhold!A$2:B$24,2,FALSE),0)</f>
        <v>0</v>
      </c>
      <c r="W61">
        <f>IF(E61=År1,Q61,SUM(P61,Q61))*IFERROR(VLOOKUP(A61,[1]Tørstofindhold!A$2:B$24,2,FALSE),0)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13"/>
        <v>0</v>
      </c>
      <c r="Z61">
        <f t="shared" si="1"/>
        <v>0</v>
      </c>
      <c r="AA61">
        <f t="shared" si="2"/>
        <v>1</v>
      </c>
      <c r="AB61" s="94">
        <f t="shared" si="8"/>
        <v>98611.398262488423</v>
      </c>
      <c r="AC61">
        <f>AB61*D61*10000*VLOOKUP(A61,[1]kcal!$A$2:$C$49,3,FALSE)/1000000000000</f>
        <v>0.14988932535898239</v>
      </c>
    </row>
    <row r="62" spans="1:29" x14ac:dyDescent="0.25">
      <c r="A62" s="171" t="str">
        <f t="shared" si="18"/>
        <v>Frø</v>
      </c>
      <c r="B62" s="171" t="str">
        <f t="shared" si="19"/>
        <v/>
      </c>
      <c r="C62" s="171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71">
        <f t="shared" si="21"/>
        <v>0</v>
      </c>
      <c r="E62" s="171">
        <f t="shared" si="20"/>
        <v>2030</v>
      </c>
      <c r="F62" t="s">
        <v>23</v>
      </c>
      <c r="G62" s="94">
        <f>IF(F62="Vestdanmark",SUMIFS(IF(E62=År1,'Resultater - Vestdanmark'!H$3:H$504,IF(E62=År2,'Resultater - Vestdanmark'!I$3:I$504,'Resultater - Vestdanmark'!J$3:J$504)),'Resultater - Vestdanmark'!$F$3:$F$504,$A62,IF(E62=År1,'Resultater - Vestdanmark'!H$3:H$504,IF(E62=År2,'Resultater - Vestdanmark'!I$3:I$504,'Resultater - Vestdanmark'!J$3:J$504)),"&gt;0"),SUMIFS(IF(E62=År1,'Resultater - Østdanmark'!H$3:H$504,IF(E62=År2,'Resultater - Østdanmark'!I$3:I$504,'Resultater - Østdanmark'!J$3:J$504)),'Resultater - Østdanmark'!$F$3:$F$504,$A62,IF(E62=År1,'Resultater - Østdanmark'!H$3:H$504,IF(E62=År2,'Resultater - Østdanmark'!I$3:I$504,'Resultater - Østdanmark'!J$3:J$504)),"&gt;0"))</f>
        <v>1068143.9155687199</v>
      </c>
      <c r="H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forbrug'!H$3,'Forbrug af biomasse'!$B$2:$B$425,$F62)</f>
        <v>0</v>
      </c>
      <c r="I62">
        <f>IF(F62="Vestdanmark",-IF(A62="Halm",SUMIFS(IF(E62=År1,'Resultater - Vestdanmark'!H$3:H$504,IF(E62=År2,'Resultater - Vestdanmark'!I$3:I$504,'Resultater - Vestdanmark'!J$3:J$504)),'Resultater - Vestdanmark'!$F$3:$F$504,$A62,'Resultater - Vestdanmark'!H$3:H$504,"&lt;0"),0),-IF(A62="Halm",SUMIFS(IF(E62=År1,'Resultater - Østdanmark'!H$3:H$504,IF(E62=År2,'Resultater - Østdanmark'!I$3:I$504,'Resultater - Østdanmark'!J$3:J$504)),'Resultater - Østdanmark'!$F$3:$F$504,$A62,'Resultater - Østdanmark'!H$3:H$504,"&lt;0"),0))</f>
        <v>0</v>
      </c>
      <c r="J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forbrug'!J$3,'Forbrug af biomasse'!$B$2:$B$425,$F62)</f>
        <v>0</v>
      </c>
      <c r="K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forbrug'!K$3,'Forbrug af biomasse'!$B$2:$B$425,$F62)</f>
        <v>0</v>
      </c>
      <c r="L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forbrug'!L$3,'Forbrug af biomasse'!$B$2:$B$425,$F62)</f>
        <v>0</v>
      </c>
      <c r="M62" s="94">
        <f>IF(A62&lt;&gt;"Biogas",SUMIFS('Forbrug af biomasse'!$E$2:$E$425,'Forbrug af biomasse'!$C$2:$C$425,'Resultat-Produktion &amp; forbrug'!$A62,'Forbrug af biomasse'!$D$2:$D$425,'Resultat-Produktion &amp; forbrug'!$E62,'Forbrug af biomasse'!$A$2:$A$425,'Resultat-Produktion &amp; forbrug'!M$3,'Forbrug af biomasse'!$B$2:$B$425,$F62),G62)</f>
        <v>0</v>
      </c>
      <c r="N62" s="94">
        <f>SUMIFS('Forbrug af biomasse'!E:E,'Forbrug af biomasse'!C:C,'Resultat-Produktion &amp; forbrug'!$A62,'Forbrug af biomasse'!D:D,'Resultat-Produktion &amp; forbrug'!$E62,'Forbrug af biomasse'!G:G,1,'Forbrug af biomasse'!B:B,$F62)</f>
        <v>0</v>
      </c>
      <c r="O62" s="179">
        <f t="shared" si="10"/>
        <v>1068143.9155687199</v>
      </c>
      <c r="P62" s="94">
        <f t="shared" si="4"/>
        <v>0</v>
      </c>
      <c r="Q62" s="180">
        <f t="shared" si="11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IF(A62&lt;&gt;"Biogas",IFERROR(VLOOKUP(A62,[1]Biogasudbytte!$A$2:$B$18,2,FALSE)*[1]Energiindhold!$C$10,0)*K62*IFERROR(VLOOKUP(A62,Biogasanlæg!$F$3:$G$8,2,FALSE),1)+IFERROR(VLOOKUP(A62,[1]Energiindhold!$A$2:$C$11,3,FALSE),0)*M62+IF(E62&lt;&gt;År1,R62,0),0)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12"/>
        <v>0</v>
      </c>
      <c r="V62" s="169">
        <f>P62*IFERROR(VLOOKUP(A62,[1]Tørstofindhold!A$2:B$24,2,FALSE),0)</f>
        <v>0</v>
      </c>
      <c r="W62">
        <f>IF(E62=År1,Q62,SUM(P62,Q62))*IFERROR(VLOOKUP(A62,[1]Tørstofindhold!A$2:B$24,2,FALSE),0)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13"/>
        <v>0</v>
      </c>
      <c r="Z62">
        <f t="shared" si="1"/>
        <v>0</v>
      </c>
      <c r="AA62">
        <f t="shared" si="2"/>
        <v>1</v>
      </c>
      <c r="AB62" s="94">
        <f t="shared" si="8"/>
        <v>1068143.9155687199</v>
      </c>
      <c r="AC62">
        <f>AB62*D62*10000*VLOOKUP(A62,[1]kcal!$A$2:$C$49,3,FALSE)/1000000000000</f>
        <v>0</v>
      </c>
    </row>
    <row r="63" spans="1:29" x14ac:dyDescent="0.25">
      <c r="A63" s="171" t="str">
        <f t="shared" si="18"/>
        <v>Frugt</v>
      </c>
      <c r="B63" s="171" t="str">
        <f t="shared" si="19"/>
        <v/>
      </c>
      <c r="C63" s="171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0</v>
      </c>
      <c r="D63" s="171">
        <f t="shared" si="21"/>
        <v>1</v>
      </c>
      <c r="E63" s="171">
        <f t="shared" si="20"/>
        <v>2030</v>
      </c>
      <c r="F63" t="s">
        <v>23</v>
      </c>
      <c r="G63" s="94">
        <f>IF(F63="Vestdanmark",SUMIFS(IF(E63=År1,'Resultater - Vestdanmark'!H$3:H$504,IF(E63=År2,'Resultater - Vestdanmark'!I$3:I$504,'Resultater - Vestdanmark'!J$3:J$504)),'Resultater - Vestdanmark'!$F$3:$F$504,$A63,IF(E63=År1,'Resultater - Vestdanmark'!H$3:H$504,IF(E63=År2,'Resultater - Vestdanmark'!I$3:I$504,'Resultater - Vestdanmark'!J$3:J$504)),"&gt;0"),SUMIFS(IF(E63=År1,'Resultater - Østdanmark'!H$3:H$504,IF(E63=År2,'Resultater - Østdanmark'!I$3:I$504,'Resultater - Østdanmark'!J$3:J$504)),'Resultater - Østdanmark'!$F$3:$F$504,$A63,IF(E63=År1,'Resultater - Østdanmark'!H$3:H$504,IF(E63=År2,'Resultater - Østdanmark'!I$3:I$504,'Resultater - Østdanmark'!J$3:J$504)),"&gt;0"))</f>
        <v>30293.444359786194</v>
      </c>
      <c r="H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forbrug'!H$3,'Forbrug af biomasse'!$B$2:$B$425,$F63)</f>
        <v>0</v>
      </c>
      <c r="I63">
        <f>IF(F63="Vestdanmark",-IF(A63="Halm",SUMIFS(IF(E63=År1,'Resultater - Vestdanmark'!H$3:H$504,IF(E63=År2,'Resultater - Vestdanmark'!I$3:I$504,'Resultater - Vestdanmark'!J$3:J$504)),'Resultater - Vestdanmark'!$F$3:$F$504,$A63,'Resultater - Vestdanmark'!H$3:H$504,"&lt;0"),0),-IF(A63="Halm",SUMIFS(IF(E63=År1,'Resultater - Østdanmark'!H$3:H$504,IF(E63=År2,'Resultater - Østdanmark'!I$3:I$504,'Resultater - Østdanmark'!J$3:J$504)),'Resultater - Østdanmark'!$F$3:$F$504,$A63,'Resultater - Østdanmark'!H$3:H$504,"&lt;0"),0))</f>
        <v>0</v>
      </c>
      <c r="J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forbrug'!J$3,'Forbrug af biomasse'!$B$2:$B$425,$F63)</f>
        <v>257923.29437791562</v>
      </c>
      <c r="K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forbrug'!K$3,'Forbrug af biomasse'!$B$2:$B$425,$F63)</f>
        <v>0</v>
      </c>
      <c r="L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forbrug'!L$3,'Forbrug af biomasse'!$B$2:$B$425,$F63)</f>
        <v>0</v>
      </c>
      <c r="M63" s="94">
        <f>IF(A63&lt;&gt;"Biogas",SUMIFS('Forbrug af biomasse'!$E$2:$E$425,'Forbrug af biomasse'!$C$2:$C$425,'Resultat-Produktion &amp; forbrug'!$A63,'Forbrug af biomasse'!$D$2:$D$425,'Resultat-Produktion &amp; forbrug'!$E63,'Forbrug af biomasse'!$A$2:$A$425,'Resultat-Produktion &amp; forbrug'!M$3,'Forbrug af biomasse'!$B$2:$B$425,$F63),G63)</f>
        <v>0</v>
      </c>
      <c r="N63" s="94">
        <f>SUMIFS('Forbrug af biomasse'!E:E,'Forbrug af biomasse'!C:C,'Resultat-Produktion &amp; forbrug'!$A63,'Forbrug af biomasse'!D:D,'Resultat-Produktion &amp; forbrug'!$E63,'Forbrug af biomasse'!G:G,1,'Forbrug af biomasse'!B:B,$F63)</f>
        <v>0</v>
      </c>
      <c r="O63" s="179">
        <f t="shared" si="10"/>
        <v>-227629.85001812942</v>
      </c>
      <c r="P63" s="94">
        <f t="shared" si="4"/>
        <v>0</v>
      </c>
      <c r="Q63" s="180">
        <f t="shared" si="11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IF(A63&lt;&gt;"Biogas",IFERROR(VLOOKUP(A63,[1]Biogasudbytte!$A$2:$B$18,2,FALSE)*[1]Energiindhold!$C$10,0)*K63*IFERROR(VLOOKUP(A63,Biogasanlæg!$F$3:$G$8,2,FALSE),1)+IFERROR(VLOOKUP(A63,[1]Energiindhold!$A$2:$C$11,3,FALSE),0)*M63+IF(E63&lt;&gt;År1,R63,0),0)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12"/>
        <v>0</v>
      </c>
      <c r="V63" s="169">
        <f>P63*IFERROR(VLOOKUP(A63,[1]Tørstofindhold!A$2:B$24,2,FALSE),0)</f>
        <v>0</v>
      </c>
      <c r="W63">
        <f>IF(E63=År1,Q63,SUM(P63,Q63))*IFERROR(VLOOKUP(A63,[1]Tørstofindhold!A$2:B$24,2,FALSE),0)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13"/>
        <v>0</v>
      </c>
      <c r="Z63">
        <f t="shared" si="1"/>
        <v>1</v>
      </c>
      <c r="AA63">
        <f t="shared" si="2"/>
        <v>0</v>
      </c>
      <c r="AB63" s="94">
        <f t="shared" si="8"/>
        <v>30293.444359786194</v>
      </c>
      <c r="AC63">
        <f>AB63*D63*10000*VLOOKUP(A63,[1]kcal!$A$2:$C$49,3,FALSE)/1000000000000</f>
        <v>1.575259106708882E-2</v>
      </c>
    </row>
    <row r="64" spans="1:29" x14ac:dyDescent="0.25">
      <c r="A64" s="171" t="str">
        <f t="shared" si="18"/>
        <v>Glycerin</v>
      </c>
      <c r="B64" s="171" t="str">
        <f t="shared" si="19"/>
        <v>Glycerin</v>
      </c>
      <c r="C64" s="171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71">
        <f t="shared" si="21"/>
        <v>0</v>
      </c>
      <c r="E64" s="171">
        <f t="shared" si="20"/>
        <v>2030</v>
      </c>
      <c r="F64" t="s">
        <v>23</v>
      </c>
      <c r="G64" s="94">
        <f>IF(F64="Vestdanmark",SUMIFS(IF(E64=År1,'Resultater - Vestdanmark'!H$3:H$504,IF(E64=År2,'Resultater - Vestdanmark'!I$3:I$504,'Resultater - Vestdanmark'!J$3:J$504)),'Resultater - Vestdanmark'!$F$3:$F$504,$A64,IF(E64=År1,'Resultater - Vestdanmark'!H$3:H$504,IF(E64=År2,'Resultater - Vestdanmark'!I$3:I$504,'Resultater - Vestdanmark'!J$3:J$504)),"&gt;0"),SUMIFS(IF(E64=År1,'Resultater - Østdanmark'!H$3:H$504,IF(E64=År2,'Resultater - Østdanmark'!I$3:I$504,'Resultater - Østdanmark'!J$3:J$504)),'Resultater - Østdanmark'!$F$3:$F$504,$A64,IF(E64=År1,'Resultater - Østdanmark'!H$3:H$504,IF(E64=År2,'Resultater - Østdanmark'!I$3:I$504,'Resultater - Østdanmark'!J$3:J$504)),"&gt;0"))</f>
        <v>0</v>
      </c>
      <c r="H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forbrug'!H$3,'Forbrug af biomasse'!$B$2:$B$425,$F64)</f>
        <v>0</v>
      </c>
      <c r="I64">
        <f>IF(F64="Vestdanmark",-IF(A64="Halm",SUMIFS(IF(E64=År1,'Resultater - Vestdanmark'!H$3:H$504,IF(E64=År2,'Resultater - Vestdanmark'!I$3:I$504,'Resultater - Vestdanmark'!J$3:J$504)),'Resultater - Vestdanmark'!$F$3:$F$504,$A64,'Resultater - Vestdanmark'!H$3:H$504,"&lt;0"),0),-IF(A64="Halm",SUMIFS(IF(E64=År1,'Resultater - Østdanmark'!H$3:H$504,IF(E64=År2,'Resultater - Østdanmark'!I$3:I$504,'Resultater - Østdanmark'!J$3:J$504)),'Resultater - Østdanmark'!$F$3:$F$504,$A64,'Resultater - Østdanmark'!H$3:H$504,"&lt;0"),0))</f>
        <v>0</v>
      </c>
      <c r="J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forbrug'!J$3,'Forbrug af biomasse'!$B$2:$B$425,$F64)</f>
        <v>0</v>
      </c>
      <c r="K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forbrug'!K$3,'Forbrug af biomasse'!$B$2:$B$425,$F64)</f>
        <v>114193.60000000001</v>
      </c>
      <c r="L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forbrug'!L$3,'Forbrug af biomasse'!$B$2:$B$425,$F64)</f>
        <v>0</v>
      </c>
      <c r="M64" s="94">
        <f>IF(A64&lt;&gt;"Biogas",SUMIFS('Forbrug af biomasse'!$E$2:$E$425,'Forbrug af biomasse'!$C$2:$C$425,'Resultat-Produktion &amp; forbrug'!$A64,'Forbrug af biomasse'!$D$2:$D$425,'Resultat-Produktion &amp; forbrug'!$E64,'Forbrug af biomasse'!$A$2:$A$425,'Resultat-Produktion &amp; forbrug'!M$3,'Forbrug af biomasse'!$B$2:$B$425,$F64),G64)</f>
        <v>0</v>
      </c>
      <c r="N64" s="94">
        <f>SUMIFS('Forbrug af biomasse'!E:E,'Forbrug af biomasse'!C:C,'Resultat-Produktion &amp; forbrug'!$A64,'Forbrug af biomasse'!D:D,'Resultat-Produktion &amp; forbrug'!$E64,'Forbrug af biomasse'!G:G,1,'Forbrug af biomasse'!B:B,$F64)</f>
        <v>0</v>
      </c>
      <c r="O64" s="179">
        <f t="shared" si="10"/>
        <v>-114193.60000000001</v>
      </c>
      <c r="P64" s="94">
        <f t="shared" si="4"/>
        <v>0</v>
      </c>
      <c r="Q64" s="180">
        <f t="shared" si="11"/>
        <v>114193.60000000001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IF(A64&lt;&gt;"Biogas",IFERROR(VLOOKUP(A64,[1]Biogasudbytte!$A$2:$B$18,2,FALSE)*[1]Energiindhold!$C$10,0)*K64*IFERROR(VLOOKUP(A64,Biogasanlæg!$F$3:$G$8,2,FALSE),1)+IFERROR(VLOOKUP(A64,[1]Energiindhold!$A$2:$C$11,3,FALSE),0)*M64+IF(E64&lt;&gt;År1,R64,0),0)</f>
        <v>1.7355855896064003</v>
      </c>
      <c r="T64">
        <f>IFERROR(VLOOKUP(A64,[1]Biogasudbytte!$A$2:$B$18,2,FALSE)*[1]Energiindhold!$C$10,0)*K64*IFERROR(VLOOKUP(A64,Biogasanlæg!$F$3:$G$8,2,FALSE),1)</f>
        <v>1.7355855896064003</v>
      </c>
      <c r="U64" s="170">
        <f t="shared" si="12"/>
        <v>0</v>
      </c>
      <c r="V64" s="169">
        <f>P64*IFERROR(VLOOKUP(A64,[1]Tørstofindhold!A$2:B$24,2,FALSE),0)</f>
        <v>0</v>
      </c>
      <c r="W64">
        <f>IF(E64=År1,Q64,SUM(P64,Q64))*IFERROR(VLOOKUP(A64,[1]Tørstofindhold!A$2:B$24,2,FALSE),0)</f>
        <v>102774.24</v>
      </c>
      <c r="X64">
        <f>K64*IFERROR(VLOOKUP(A64,[1]Tørstofindhold!A$2:B$24,2,FALSE),0)</f>
        <v>102774.24</v>
      </c>
      <c r="Y64" s="170">
        <f t="shared" si="13"/>
        <v>0</v>
      </c>
      <c r="Z64">
        <f t="shared" si="1"/>
        <v>1</v>
      </c>
      <c r="AA64">
        <f t="shared" si="2"/>
        <v>0</v>
      </c>
      <c r="AB64" s="94">
        <f t="shared" si="8"/>
        <v>-114193.60000000001</v>
      </c>
      <c r="AC64">
        <f>AB64*D64*10000*VLOOKUP(A64,[1]kcal!$A$2:$C$49,3,FALSE)/1000000000000</f>
        <v>0</v>
      </c>
    </row>
    <row r="65" spans="1:29" x14ac:dyDescent="0.25">
      <c r="A65" s="171" t="str">
        <f t="shared" si="18"/>
        <v>Græs</v>
      </c>
      <c r="B65" s="171" t="str">
        <f t="shared" si="19"/>
        <v>Græs og urter</v>
      </c>
      <c r="C65" s="171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1</v>
      </c>
      <c r="D65" s="171">
        <f t="shared" si="21"/>
        <v>0</v>
      </c>
      <c r="E65" s="171">
        <f t="shared" si="20"/>
        <v>2030</v>
      </c>
      <c r="F65" t="s">
        <v>23</v>
      </c>
      <c r="G65" s="94">
        <f>IF(F65="Vestdanmark",SUMIFS(IF(E65=År1,'Resultater - Vestdanmark'!H$3:H$504,IF(E65=År2,'Resultater - Vestdanmark'!I$3:I$504,'Resultater - Vestdanmark'!J$3:J$504)),'Resultater - Vestdanmark'!$F$3:$F$504,$A65,IF(E65=År1,'Resultater - Vestdanmark'!H$3:H$504,IF(E65=År2,'Resultater - Vestdanmark'!I$3:I$504,'Resultater - Vestdanmark'!J$3:J$504)),"&gt;0"),SUMIFS(IF(E65=År1,'Resultater - Østdanmark'!H$3:H$504,IF(E65=År2,'Resultater - Østdanmark'!I$3:I$504,'Resultater - Østdanmark'!J$3:J$504)),'Resultater - Østdanmark'!$F$3:$F$504,$A65,IF(E65=År1,'Resultater - Østdanmark'!H$3:H$504,IF(E65=År2,'Resultater - Østdanmark'!I$3:I$504,'Resultater - Østdanmark'!J$3:J$504)),"&gt;0"))</f>
        <v>13177775.793539407</v>
      </c>
      <c r="H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forbrug'!H$3,'Forbrug af biomasse'!$B$2:$B$425,$F65)</f>
        <v>8268840.7021296145</v>
      </c>
      <c r="I65">
        <f>IF(F65="Vestdanmark",-IF(A65="Halm",SUMIFS(IF(E65=År1,'Resultater - Vestdanmark'!H$3:H$504,IF(E65=År2,'Resultater - Vestdanmark'!I$3:I$504,'Resultater - Vestdanmark'!J$3:J$504)),'Resultater - Vestdanmark'!$F$3:$F$504,$A65,'Resultater - Vestdanmark'!H$3:H$504,"&lt;0"),0),-IF(A65="Halm",SUMIFS(IF(E65=År1,'Resultater - Østdanmark'!H$3:H$504,IF(E65=År2,'Resultater - Østdanmark'!I$3:I$504,'Resultater - Østdanmark'!J$3:J$504)),'Resultater - Østdanmark'!$F$3:$F$504,$A65,'Resultater - Østdanmark'!H$3:H$504,"&lt;0"),0))</f>
        <v>0</v>
      </c>
      <c r="J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forbrug'!J$3,'Forbrug af biomasse'!$B$2:$B$425,$F65)</f>
        <v>0</v>
      </c>
      <c r="K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forbrug'!K$3,'Forbrug af biomasse'!$B$2:$B$425,$F65)</f>
        <v>0</v>
      </c>
      <c r="L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forbrug'!L$3,'Forbrug af biomasse'!$B$2:$B$425,$F65)</f>
        <v>0</v>
      </c>
      <c r="M65" s="94">
        <f>IF(A65&lt;&gt;"Biogas",SUMIFS('Forbrug af biomasse'!$E$2:$E$425,'Forbrug af biomasse'!$C$2:$C$425,'Resultat-Produktion &amp; forbrug'!$A65,'Forbrug af biomasse'!$D$2:$D$425,'Resultat-Produktion &amp; forbrug'!$E65,'Forbrug af biomasse'!$A$2:$A$425,'Resultat-Produktion &amp; forbrug'!M$3,'Forbrug af biomasse'!$B$2:$B$425,$F65),G65)</f>
        <v>0</v>
      </c>
      <c r="N65" s="94">
        <f>SUMIFS('Forbrug af biomasse'!E:E,'Forbrug af biomasse'!C:C,'Resultat-Produktion &amp; forbrug'!$A65,'Forbrug af biomasse'!D:D,'Resultat-Produktion &amp; forbrug'!$E65,'Forbrug af biomasse'!G:G,1,'Forbrug af biomasse'!B:B,$F65)</f>
        <v>0</v>
      </c>
      <c r="O65" s="179">
        <f t="shared" si="10"/>
        <v>4908935.0914097922</v>
      </c>
      <c r="P65" s="94">
        <f t="shared" si="4"/>
        <v>4908935.0914097922</v>
      </c>
      <c r="Q65" s="180">
        <f t="shared" si="11"/>
        <v>0</v>
      </c>
      <c r="R65">
        <f>IFERROR(VLOOKUP(A65,[1]Energiindhold!$A$2:$C$11,3,FALSE),IFERROR(VLOOKUP(A65,[1]Biogasudbytte!$A$2:$B$18,2,FALSE)*[1]Energiindhold!$C$10,0))*P65</f>
        <v>9.0318269513075915</v>
      </c>
      <c r="S65">
        <f>IF(A65&lt;&gt;"Biogas",IFERROR(VLOOKUP(A65,[1]Biogasudbytte!$A$2:$B$18,2,FALSE)*[1]Energiindhold!$C$10,0)*K65*IFERROR(VLOOKUP(A65,Biogasanlæg!$F$3:$G$8,2,FALSE),1)+IFERROR(VLOOKUP(A65,[1]Energiindhold!$A$2:$C$11,3,FALSE),0)*M65+IF(E65&lt;&gt;År1,R65,0),0)</f>
        <v>9.0318269513075915</v>
      </c>
      <c r="T65">
        <f>IFERROR(VLOOKUP(A65,[1]Biogasudbytte!$A$2:$B$18,2,FALSE)*[1]Energiindhold!$C$10,0)*K65*IFERROR(VLOOKUP(A65,Biogasanlæg!$F$3:$G$8,2,FALSE),1)</f>
        <v>0</v>
      </c>
      <c r="U65" s="170">
        <f t="shared" si="12"/>
        <v>9.0318269513075915</v>
      </c>
      <c r="V65" s="169">
        <f>P65*IFERROR(VLOOKUP(A65,[1]Tørstofindhold!A$2:B$24,2,FALSE),0)</f>
        <v>1374501.8255947419</v>
      </c>
      <c r="W65">
        <f>IF(E65=År1,Q65,SUM(P65,Q65))*IFERROR(VLOOKUP(A65,[1]Tørstofindhold!A$2:B$24,2,FALSE),0)</f>
        <v>1374501.8255947419</v>
      </c>
      <c r="X65">
        <f>K65*IFERROR(VLOOKUP(A65,[1]Tørstofindhold!A$2:B$24,2,FALSE),0)</f>
        <v>0</v>
      </c>
      <c r="Y65" s="170">
        <f t="shared" si="13"/>
        <v>1374501.8255947419</v>
      </c>
      <c r="Z65">
        <f t="shared" si="1"/>
        <v>0</v>
      </c>
      <c r="AA65">
        <f t="shared" si="2"/>
        <v>1</v>
      </c>
      <c r="AB65" s="94">
        <f t="shared" si="8"/>
        <v>4908935.0914097922</v>
      </c>
      <c r="AC65">
        <f>AB65*D65*10000*VLOOKUP(A65,[1]kcal!$A$2:$C$49,3,FALSE)/1000000000000</f>
        <v>0</v>
      </c>
    </row>
    <row r="66" spans="1:29" x14ac:dyDescent="0.25">
      <c r="A66" s="171" t="str">
        <f t="shared" si="18"/>
        <v>Græsprotein</v>
      </c>
      <c r="B66" s="171" t="str">
        <f t="shared" si="19"/>
        <v/>
      </c>
      <c r="C66" s="171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71">
        <f t="shared" si="21"/>
        <v>0</v>
      </c>
      <c r="E66" s="171">
        <f t="shared" si="20"/>
        <v>2030</v>
      </c>
      <c r="F66" t="s">
        <v>23</v>
      </c>
      <c r="G66" s="94">
        <f>IF(F66="Vestdanmark",SUMIFS(IF(E66=År1,'Resultater - Vestdanmark'!H$3:H$504,IF(E66=År2,'Resultater - Vestdanmark'!I$3:I$504,'Resultater - Vestdanmark'!J$3:J$504)),'Resultater - Vestdanmark'!$F$3:$F$504,$A66,IF(E66=År1,'Resultater - Vestdanmark'!H$3:H$504,IF(E66=År2,'Resultater - Vestdanmark'!I$3:I$504,'Resultater - Vestdanmark'!J$3:J$504)),"&gt;0"),SUMIFS(IF(E66=År1,'Resultater - Østdanmark'!H$3:H$504,IF(E66=År2,'Resultater - Østdanmark'!I$3:I$504,'Resultater - Østdanmark'!J$3:J$504)),'Resultater - Østdanmark'!$F$3:$F$504,$A66,IF(E66=År1,'Resultater - Østdanmark'!H$3:H$504,IF(E66=År2,'Resultater - Østdanmark'!I$3:I$504,'Resultater - Østdanmark'!J$3:J$504)),"&gt;0"))</f>
        <v>0</v>
      </c>
      <c r="H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forbrug'!H$3,'Forbrug af biomasse'!$B$2:$B$425,$F66)</f>
        <v>0</v>
      </c>
      <c r="I66">
        <f>IF(F66="Vestdanmark",-IF(A66="Halm",SUMIFS(IF(E66=År1,'Resultater - Vestdanmark'!H$3:H$504,IF(E66=År2,'Resultater - Vestdanmark'!I$3:I$504,'Resultater - Vestdanmark'!J$3:J$504)),'Resultater - Vestdanmark'!$F$3:$F$504,$A66,'Resultater - Vestdanmark'!H$3:H$504,"&lt;0"),0),-IF(A66="Halm",SUMIFS(IF(E66=År1,'Resultater - Østdanmark'!H$3:H$504,IF(E66=År2,'Resultater - Østdanmark'!I$3:I$504,'Resultater - Østdanmark'!J$3:J$504)),'Resultater - Østdanmark'!$F$3:$F$504,$A66,'Resultater - Østdanmark'!H$3:H$504,"&lt;0"),0))</f>
        <v>0</v>
      </c>
      <c r="J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forbrug'!J$3,'Forbrug af biomasse'!$B$2:$B$425,$F66)</f>
        <v>0</v>
      </c>
      <c r="K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forbrug'!K$3,'Forbrug af biomasse'!$B$2:$B$425,$F66)</f>
        <v>0</v>
      </c>
      <c r="L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forbrug'!L$3,'Forbrug af biomasse'!$B$2:$B$425,$F66)</f>
        <v>0</v>
      </c>
      <c r="M66" s="94">
        <f>IF(A66&lt;&gt;"Biogas",SUMIFS('Forbrug af biomasse'!$E$2:$E$425,'Forbrug af biomasse'!$C$2:$C$425,'Resultat-Produktion &amp; forbrug'!$A66,'Forbrug af biomasse'!$D$2:$D$425,'Resultat-Produktion &amp; forbrug'!$E66,'Forbrug af biomasse'!$A$2:$A$425,'Resultat-Produktion &amp; forbrug'!M$3,'Forbrug af biomasse'!$B$2:$B$425,$F66),G66)</f>
        <v>0</v>
      </c>
      <c r="N66" s="94">
        <f>SUMIFS('Forbrug af biomasse'!E:E,'Forbrug af biomasse'!C:C,'Resultat-Produktion &amp; forbrug'!$A66,'Forbrug af biomasse'!D:D,'Resultat-Produktion &amp; forbrug'!$E66,'Forbrug af biomasse'!G:G,1,'Forbrug af biomasse'!B:B,$F66)</f>
        <v>0</v>
      </c>
      <c r="O66" s="179">
        <f t="shared" si="10"/>
        <v>0</v>
      </c>
      <c r="P66" s="94">
        <f t="shared" si="4"/>
        <v>0</v>
      </c>
      <c r="Q66" s="180">
        <f t="shared" si="11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IF(A66&lt;&gt;"Biogas",IFERROR(VLOOKUP(A66,[1]Biogasudbytte!$A$2:$B$18,2,FALSE)*[1]Energiindhold!$C$10,0)*K66*IFERROR(VLOOKUP(A66,Biogasanlæg!$F$3:$G$8,2,FALSE),1)+IFERROR(VLOOKUP(A66,[1]Energiindhold!$A$2:$C$11,3,FALSE),0)*M66+IF(E66&lt;&gt;År1,R66,0),0)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12"/>
        <v>0</v>
      </c>
      <c r="V66" s="169">
        <f>P66*IFERROR(VLOOKUP(A66,[1]Tørstofindhold!A$2:B$24,2,FALSE),0)</f>
        <v>0</v>
      </c>
      <c r="W66">
        <f>IF(E66=År1,Q66,SUM(P66,Q66))*IFERROR(VLOOKUP(A66,[1]Tørstofindhold!A$2:B$24,2,FALSE),0)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13"/>
        <v>0</v>
      </c>
      <c r="Z66">
        <f t="shared" si="1"/>
        <v>0</v>
      </c>
      <c r="AA66">
        <f t="shared" si="2"/>
        <v>0</v>
      </c>
      <c r="AB66" s="94">
        <f t="shared" si="8"/>
        <v>0</v>
      </c>
      <c r="AC66">
        <f>AB66*D66*10000*VLOOKUP(A66,[1]kcal!$A$2:$C$49,3,FALSE)/1000000000000</f>
        <v>0</v>
      </c>
    </row>
    <row r="67" spans="1:29" x14ac:dyDescent="0.25">
      <c r="A67" s="171" t="str">
        <f t="shared" si="18"/>
        <v>Grøntsager</v>
      </c>
      <c r="B67" s="171" t="str">
        <f t="shared" si="19"/>
        <v/>
      </c>
      <c r="C67" s="171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0</v>
      </c>
      <c r="D67" s="171">
        <f t="shared" si="21"/>
        <v>1</v>
      </c>
      <c r="E67" s="171">
        <f t="shared" si="20"/>
        <v>2030</v>
      </c>
      <c r="F67" t="s">
        <v>23</v>
      </c>
      <c r="G67" s="94">
        <f>IF(F67="Vestdanmark",SUMIFS(IF(E67=År1,'Resultater - Vestdanmark'!H$3:H$504,IF(E67=År2,'Resultater - Vestdanmark'!I$3:I$504,'Resultater - Vestdanmark'!J$3:J$504)),'Resultater - Vestdanmark'!$F$3:$F$504,$A67,IF(E67=År1,'Resultater - Vestdanmark'!H$3:H$504,IF(E67=År2,'Resultater - Vestdanmark'!I$3:I$504,'Resultater - Vestdanmark'!J$3:J$504)),"&gt;0"),SUMIFS(IF(E67=År1,'Resultater - Østdanmark'!H$3:H$504,IF(E67=År2,'Resultater - Østdanmark'!I$3:I$504,'Resultater - Østdanmark'!J$3:J$504)),'Resultater - Østdanmark'!$F$3:$F$504,$A67,IF(E67=År1,'Resultater - Østdanmark'!H$3:H$504,IF(E67=År2,'Resultater - Østdanmark'!I$3:I$504,'Resultater - Østdanmark'!J$3:J$504)),"&gt;0"))</f>
        <v>1183876.8673845837</v>
      </c>
      <c r="H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forbrug'!H$3,'Forbrug af biomasse'!$B$2:$B$425,$F67)</f>
        <v>0</v>
      </c>
      <c r="I67">
        <f>IF(F67="Vestdanmark",-IF(A67="Halm",SUMIFS(IF(E67=År1,'Resultater - Vestdanmark'!H$3:H$504,IF(E67=År2,'Resultater - Vestdanmark'!I$3:I$504,'Resultater - Vestdanmark'!J$3:J$504)),'Resultater - Vestdanmark'!$F$3:$F$504,$A67,'Resultater - Vestdanmark'!H$3:H$504,"&lt;0"),0),-IF(A67="Halm",SUMIFS(IF(E67=År1,'Resultater - Østdanmark'!H$3:H$504,IF(E67=År2,'Resultater - Østdanmark'!I$3:I$504,'Resultater - Østdanmark'!J$3:J$504)),'Resultater - Østdanmark'!$F$3:$F$504,$A67,'Resultater - Østdanmark'!H$3:H$504,"&lt;0"),0))</f>
        <v>0</v>
      </c>
      <c r="J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forbrug'!J$3,'Forbrug af biomasse'!$B$2:$B$425,$F67)</f>
        <v>270140.71358529059</v>
      </c>
      <c r="K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forbrug'!K$3,'Forbrug af biomasse'!$B$2:$B$425,$F67)</f>
        <v>0</v>
      </c>
      <c r="L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forbrug'!L$3,'Forbrug af biomasse'!$B$2:$B$425,$F67)</f>
        <v>0</v>
      </c>
      <c r="M67" s="94">
        <f>IF(A67&lt;&gt;"Biogas",SUMIFS('Forbrug af biomasse'!$E$2:$E$425,'Forbrug af biomasse'!$C$2:$C$425,'Resultat-Produktion &amp; forbrug'!$A67,'Forbrug af biomasse'!$D$2:$D$425,'Resultat-Produktion &amp; forbrug'!$E67,'Forbrug af biomasse'!$A$2:$A$425,'Resultat-Produktion &amp; forbrug'!M$3,'Forbrug af biomasse'!$B$2:$B$425,$F67),G67)</f>
        <v>0</v>
      </c>
      <c r="N67" s="94">
        <f>SUMIFS('Forbrug af biomasse'!E:E,'Forbrug af biomasse'!C:C,'Resultat-Produktion &amp; forbrug'!$A67,'Forbrug af biomasse'!D:D,'Resultat-Produktion &amp; forbrug'!$E67,'Forbrug af biomasse'!G:G,1,'Forbrug af biomasse'!B:B,$F67)</f>
        <v>0</v>
      </c>
      <c r="O67" s="179">
        <f t="shared" si="10"/>
        <v>913736.1537992931</v>
      </c>
      <c r="P67" s="94">
        <f t="shared" si="4"/>
        <v>0</v>
      </c>
      <c r="Q67" s="180">
        <f t="shared" si="11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IF(A67&lt;&gt;"Biogas",IFERROR(VLOOKUP(A67,[1]Biogasudbytte!$A$2:$B$18,2,FALSE)*[1]Energiindhold!$C$10,0)*K67*IFERROR(VLOOKUP(A67,Biogasanlæg!$F$3:$G$8,2,FALSE),1)+IFERROR(VLOOKUP(A67,[1]Energiindhold!$A$2:$C$11,3,FALSE),0)*M67+IF(E67&lt;&gt;År1,R67,0),0)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12"/>
        <v>0</v>
      </c>
      <c r="V67" s="169">
        <f>P67*IFERROR(VLOOKUP(A67,[1]Tørstofindhold!A$2:B$24,2,FALSE),0)</f>
        <v>0</v>
      </c>
      <c r="W67">
        <f>IF(E67=År1,Q67,SUM(P67,Q67))*IFERROR(VLOOKUP(A67,[1]Tørstofindhold!A$2:B$24,2,FALSE),0)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13"/>
        <v>0</v>
      </c>
      <c r="Z67">
        <f t="shared" si="1"/>
        <v>0</v>
      </c>
      <c r="AA67">
        <f t="shared" si="2"/>
        <v>1</v>
      </c>
      <c r="AB67" s="94">
        <f t="shared" si="8"/>
        <v>1183876.8673845837</v>
      </c>
      <c r="AC67">
        <f>AB67*D67*10000*VLOOKUP(A67,[1]kcal!$A$2:$C$49,3,FALSE)/1000000000000</f>
        <v>0.46171197827998761</v>
      </c>
    </row>
    <row r="68" spans="1:29" x14ac:dyDescent="0.25">
      <c r="A68" s="171" t="str">
        <f t="shared" si="18"/>
        <v>Halm</v>
      </c>
      <c r="B68" s="171" t="str">
        <f t="shared" si="19"/>
        <v>Halm og strå</v>
      </c>
      <c r="C68" s="171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71">
        <f t="shared" si="21"/>
        <v>0</v>
      </c>
      <c r="E68" s="171">
        <f t="shared" si="20"/>
        <v>2030</v>
      </c>
      <c r="F68" t="s">
        <v>23</v>
      </c>
      <c r="G68" s="94">
        <f>IF(F68="Vestdanmark",SUMIFS(IF(E68=År1,'Resultater - Vestdanmark'!H$3:H$504,IF(E68=År2,'Resultater - Vestdanmark'!I$3:I$504,'Resultater - Vestdanmark'!J$3:J$504)),'Resultater - Vestdanmark'!$F$3:$F$504,$A68,IF(E68=År1,'Resultater - Vestdanmark'!H$3:H$504,IF(E68=År2,'Resultater - Vestdanmark'!I$3:I$504,'Resultater - Vestdanmark'!J$3:J$504)),"&gt;0"),SUMIFS(IF(E68=År1,'Resultater - Østdanmark'!H$3:H$504,IF(E68=År2,'Resultater - Østdanmark'!I$3:I$504,'Resultater - Østdanmark'!J$3:J$504)),'Resultater - Østdanmark'!$F$3:$F$504,$A68,IF(E68=År1,'Resultater - Østdanmark'!H$3:H$504,IF(E68=År2,'Resultater - Østdanmark'!I$3:I$504,'Resultater - Østdanmark'!J$3:J$504)),"&gt;0"))</f>
        <v>2495959.9516581628</v>
      </c>
      <c r="H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forbrug'!H$3,'Forbrug af biomasse'!$B$2:$B$425,$F68)</f>
        <v>522363.62828034989</v>
      </c>
      <c r="I68" s="392">
        <f>IF(F68="Vestdanmark",-IF(A68="Halm",SUMIFS(IF(E68=År1,'Resultater - Vestdanmark'!H$3:H$504,IF(E68=År2,'Resultater - Vestdanmark'!I$3:I$504,'Resultater - Vestdanmark'!J$3:J$504)),'Resultater - Vestdanmark'!$F$3:$F$504,$A68,'Resultater - Vestdanmark'!H$3:H$504,"&lt;0"),0),-IF(A68="Halm",SUMIFS(IF(E68=År1,'Resultater - Østdanmark'!H$3:H$504,IF(E68=År2,'Resultater - Østdanmark'!I$3:I$504,'Resultater - Østdanmark'!J$3:J$504)),'Resultater - Østdanmark'!$F$3:$F$504,$A68,'Resultater - Østdanmark'!H$3:H$504,"&lt;0"),0))</f>
        <v>471959.19081652729</v>
      </c>
      <c r="J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forbrug'!J$3,'Forbrug af biomasse'!$B$2:$B$425,$F68)</f>
        <v>0</v>
      </c>
      <c r="K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forbrug'!K$3,'Forbrug af biomasse'!$B$2:$B$425,$F68)</f>
        <v>0</v>
      </c>
      <c r="L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forbrug'!L$3,'Forbrug af biomasse'!$B$2:$B$425,$F68)</f>
        <v>0</v>
      </c>
      <c r="M68" s="392">
        <f>IF(A68&lt;&gt;"Biogas",SUMIFS('Forbrug af biomasse'!$E$2:$E$425,'Forbrug af biomasse'!$C$2:$C$425,'Resultat-Produktion &amp; forbrug'!$A68,'Forbrug af biomasse'!$D$2:$D$425,'Resultat-Produktion &amp; forbrug'!$E68,'Forbrug af biomasse'!$A$2:$A$425,'Resultat-Produktion &amp; forbrug'!M$3,'Forbrug af biomasse'!$B$2:$B$425,$F68),G68)</f>
        <v>1501637.1325612864</v>
      </c>
      <c r="N68" s="393">
        <f>SUMIFS('Forbrug af biomasse'!E:E,'Forbrug af biomasse'!C:C,'Resultat-Produktion &amp; forbrug'!$A68,'Forbrug af biomasse'!D:D,'Resultat-Produktion &amp; forbrug'!$E68,'Forbrug af biomasse'!G:G,1,'Forbrug af biomasse'!B:B,$F68)</f>
        <v>0</v>
      </c>
      <c r="O68" s="179">
        <f t="shared" si="10"/>
        <v>0</v>
      </c>
      <c r="P68" s="94">
        <f t="shared" ref="P68:P131" si="22">IF(C68=1,IF(O68+IF(SUMIFS($O$4:$O$291,$A$4:$A$291,A68,$E$4:$E$291,E68,$F$4:$F$291,"&lt;&gt;"&amp;F68)&lt;0,SUMIFS($O$4:$O$291,$A$4:$A$291,A68,$E$4:$E$291,E68,$F$4:$F$291,"&lt;&gt;"&amp;F68),0)&gt;0,O68+IF(SUMIFS($O$4:$O$291,$A$4:$A$291,A68,$E$4:$E$291,E68,$F$4:$F$291,"&lt;&gt;"&amp;F68)&lt;0,SUMIFS($O$4:$O$291,$A$4:$A$291,A68,$E$4:$E$291,E68,$F$4:$F$291,"&lt;&gt;"&amp;F68),0),0),0)</f>
        <v>0</v>
      </c>
      <c r="Q68" s="180">
        <f t="shared" si="11"/>
        <v>1501637.1325612864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IF(A68&lt;&gt;"Biogas",IFERROR(VLOOKUP(A68,[1]Biogasudbytte!$A$2:$B$18,2,FALSE)*[1]Energiindhold!$C$10,0)*K68*IFERROR(VLOOKUP(A68,Biogasanlæg!$F$3:$G$8,2,FALSE),1)+IFERROR(VLOOKUP(A68,[1]Energiindhold!$A$2:$C$11,3,FALSE),0)*M68+IF(E68&lt;&gt;År1,R68,0),0)</f>
        <v>15.520630593806496</v>
      </c>
      <c r="T68">
        <f>IFERROR(VLOOKUP(A68,[1]Biogasudbytte!$A$2:$B$18,2,FALSE)*[1]Energiindhold!$C$10,0)*K68*IFERROR(VLOOKUP(A68,Biogasanlæg!$F$3:$G$8,2,FALSE),1)</f>
        <v>0</v>
      </c>
      <c r="U68" s="170">
        <f t="shared" si="12"/>
        <v>15.520630593806496</v>
      </c>
      <c r="V68" s="169">
        <f>P68*IFERROR(VLOOKUP(A68,[1]Tørstofindhold!A$2:B$24,2,FALSE),0)</f>
        <v>0</v>
      </c>
      <c r="W68">
        <f>IF(E68=År1,Q68,SUM(P68,Q68))*IFERROR(VLOOKUP(A68,[1]Tørstofindhold!A$2:B$24,2,FALSE),0)</f>
        <v>1276391.5626770935</v>
      </c>
      <c r="X68">
        <f>K68*IFERROR(VLOOKUP(A68,[1]Tørstofindhold!A$2:B$24,2,FALSE),0)</f>
        <v>0</v>
      </c>
      <c r="Y68" s="170">
        <f t="shared" si="13"/>
        <v>1276391.5626770935</v>
      </c>
      <c r="Z68">
        <f t="shared" ref="Z68:Z131" si="23">IF(SUMIFS($O$4:$O$291,$A$4:$A$291,A68,$E$4:$E$291,E68)&lt;0,1,0)</f>
        <v>0</v>
      </c>
      <c r="AA68">
        <f t="shared" ref="AA68:AA131" si="24">IF(SUMIFS($O$4:$O$291,$A$4:$A$291,A68,$E$4:$E$291,E68)&gt;0,1,0)</f>
        <v>0</v>
      </c>
      <c r="AB68" s="94">
        <f t="shared" si="8"/>
        <v>1501637.1325612855</v>
      </c>
      <c r="AC68">
        <f>AB68*D68*10000*VLOOKUP(A68,[1]kcal!$A$2:$C$49,3,FALSE)/1000000000000</f>
        <v>0</v>
      </c>
    </row>
    <row r="69" spans="1:29" x14ac:dyDescent="0.25">
      <c r="A69" s="171" t="str">
        <f t="shared" si="18"/>
        <v>Have/parkaffald</v>
      </c>
      <c r="B69" s="171" t="str">
        <f t="shared" si="19"/>
        <v>Bionedbrydeligt affald</v>
      </c>
      <c r="C69" s="171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1</v>
      </c>
      <c r="D69" s="171">
        <f t="shared" si="21"/>
        <v>0</v>
      </c>
      <c r="E69" s="171">
        <f t="shared" si="20"/>
        <v>2030</v>
      </c>
      <c r="F69" t="s">
        <v>23</v>
      </c>
      <c r="G69" s="94">
        <f>IF(F69="Vestdanmark",SUMIFS(IF(E69=År1,'Resultater - Vestdanmark'!H$3:H$504,IF(E69=År2,'Resultater - Vestdanmark'!I$3:I$504,'Resultater - Vestdanmark'!J$3:J$504)),'Resultater - Vestdanmark'!$F$3:$F$504,$A69,IF(E69=År1,'Resultater - Vestdanmark'!H$3:H$504,IF(E69=År2,'Resultater - Vestdanmark'!I$3:I$504,'Resultater - Vestdanmark'!J$3:J$504)),"&gt;0"),SUMIFS(IF(E69=År1,'Resultater - Østdanmark'!H$3:H$504,IF(E69=År2,'Resultater - Østdanmark'!I$3:I$504,'Resultater - Østdanmark'!J$3:J$504)),'Resultater - Østdanmark'!$F$3:$F$504,$A69,IF(E69=År1,'Resultater - Østdanmark'!H$3:H$504,IF(E69=År2,'Resultater - Østdanmark'!I$3:I$504,'Resultater - Østdanmark'!J$3:J$504)),"&gt;0"))</f>
        <v>526734.10986839118</v>
      </c>
      <c r="H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forbrug'!H$3,'Forbrug af biomasse'!$B$2:$B$425,$F69)</f>
        <v>0</v>
      </c>
      <c r="I69">
        <f>IF(F69="Vestdanmark",-IF(A69="Halm",SUMIFS(IF(E69=År1,'Resultater - Vestdanmark'!H$3:H$504,IF(E69=År2,'Resultater - Vestdanmark'!I$3:I$504,'Resultater - Vestdanmark'!J$3:J$504)),'Resultater - Vestdanmark'!$F$3:$F$504,$A69,'Resultater - Vestdanmark'!H$3:H$504,"&lt;0"),0),-IF(A69="Halm",SUMIFS(IF(E69=År1,'Resultater - Østdanmark'!H$3:H$504,IF(E69=År2,'Resultater - Østdanmark'!I$3:I$504,'Resultater - Østdanmark'!J$3:J$504)),'Resultater - Østdanmark'!$F$3:$F$504,$A69,'Resultater - Østdanmark'!H$3:H$504,"&lt;0"),0))</f>
        <v>0</v>
      </c>
      <c r="J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forbrug'!J$3,'Forbrug af biomasse'!$B$2:$B$425,$F69)</f>
        <v>0</v>
      </c>
      <c r="K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forbrug'!K$3,'Forbrug af biomasse'!$B$2:$B$425,$F69)</f>
        <v>401960.68859899876</v>
      </c>
      <c r="L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forbrug'!L$3,'Forbrug af biomasse'!$B$2:$B$425,$F69)</f>
        <v>0</v>
      </c>
      <c r="M69" s="94">
        <f>IF(A69&lt;&gt;"Biogas",SUMIFS('Forbrug af biomasse'!$E$2:$E$425,'Forbrug af biomasse'!$C$2:$C$425,'Resultat-Produktion &amp; forbrug'!$A69,'Forbrug af biomasse'!$D$2:$D$425,'Resultat-Produktion &amp; forbrug'!$E69,'Forbrug af biomasse'!$A$2:$A$425,'Resultat-Produktion &amp; forbrug'!M$3,'Forbrug af biomasse'!$B$2:$B$425,$F69),G69)</f>
        <v>124773.42126939242</v>
      </c>
      <c r="N69" s="94">
        <f>SUMIFS('Forbrug af biomasse'!E:E,'Forbrug af biomasse'!C:C,'Resultat-Produktion &amp; forbrug'!$A69,'Forbrug af biomasse'!D:D,'Resultat-Produktion &amp; forbrug'!$E69,'Forbrug af biomasse'!G:G,1,'Forbrug af biomasse'!B:B,$F69)</f>
        <v>0</v>
      </c>
      <c r="O69" s="179">
        <f t="shared" si="10"/>
        <v>0</v>
      </c>
      <c r="P69" s="94">
        <f t="shared" si="22"/>
        <v>0</v>
      </c>
      <c r="Q69" s="180">
        <f t="shared" si="11"/>
        <v>526734.10986839118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IF(A69&lt;&gt;"Biogas",IFERROR(VLOOKUP(A69,[1]Biogasudbytte!$A$2:$B$18,2,FALSE)*[1]Energiindhold!$C$10,0)*K69*IFERROR(VLOOKUP(A69,Biogasanlæg!$F$3:$G$8,2,FALSE),1)+IFERROR(VLOOKUP(A69,[1]Energiindhold!$A$2:$C$11,3,FALSE),0)*M69+IF(E69&lt;&gt;År1,R69,0),0)</f>
        <v>2.9100400181094281</v>
      </c>
      <c r="T69">
        <f>IFERROR(VLOOKUP(A69,[1]Biogasudbytte!$A$2:$B$18,2,FALSE)*[1]Energiindhold!$C$10,0)*K69*IFERROR(VLOOKUP(A69,Biogasanlæg!$F$3:$G$8,2,FALSE),1)</f>
        <v>0.68255738648930186</v>
      </c>
      <c r="U69" s="170">
        <f t="shared" si="12"/>
        <v>2.2274826316201262</v>
      </c>
      <c r="V69" s="169">
        <f>P69*IFERROR(VLOOKUP(A69,[1]Tørstofindhold!A$2:B$24,2,FALSE),0)</f>
        <v>0</v>
      </c>
      <c r="W69">
        <f>IF(E69=År1,Q69,SUM(P69,Q69))*IFERROR(VLOOKUP(A69,[1]Tørstofindhold!A$2:B$24,2,FALSE),0)</f>
        <v>158020.23296051734</v>
      </c>
      <c r="X69">
        <f>K69*IFERROR(VLOOKUP(A69,[1]Tørstofindhold!A$2:B$24,2,FALSE),0)</f>
        <v>120588.20657969962</v>
      </c>
      <c r="Y69" s="170">
        <f t="shared" si="13"/>
        <v>37432.026380817726</v>
      </c>
      <c r="Z69">
        <f t="shared" si="23"/>
        <v>0</v>
      </c>
      <c r="AA69">
        <f t="shared" si="24"/>
        <v>0</v>
      </c>
      <c r="AB69" s="94">
        <f t="shared" ref="AB69:AB132" si="25">G69-SUMPRODUCT($H$2:$N$2,H69:N69)</f>
        <v>124773.42126939242</v>
      </c>
      <c r="AC69">
        <f>AB69*D69*10000*VLOOKUP(A69,[1]kcal!$A$2:$C$49,3,FALSE)/1000000000000</f>
        <v>0</v>
      </c>
    </row>
    <row r="70" spans="1:29" x14ac:dyDescent="0.25">
      <c r="A70" s="171" t="str">
        <f t="shared" si="18"/>
        <v>Import af foder</v>
      </c>
      <c r="B70" s="171" t="str">
        <f t="shared" si="19"/>
        <v/>
      </c>
      <c r="C70" s="171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0</v>
      </c>
      <c r="D70" s="171">
        <f t="shared" si="21"/>
        <v>1</v>
      </c>
      <c r="E70" s="171">
        <f t="shared" si="20"/>
        <v>2030</v>
      </c>
      <c r="F70" t="s">
        <v>23</v>
      </c>
      <c r="G70" s="94">
        <f>IF(F70="Vestdanmark",SUMIFS(IF(E70=År1,'Resultater - Vestdanmark'!H$3:H$504,IF(E70=År2,'Resultater - Vestdanmark'!I$3:I$504,'Resultater - Vestdanmark'!J$3:J$504)),'Resultater - Vestdanmark'!$F$3:$F$504,$A70,IF(E70=År1,'Resultater - Vestdanmark'!H$3:H$504,IF(E70=År2,'Resultater - Vestdanmark'!I$3:I$504,'Resultater - Vestdanmark'!J$3:J$504)),"&gt;0"),SUMIFS(IF(E70=År1,'Resultater - Østdanmark'!H$3:H$504,IF(E70=År2,'Resultater - Østdanmark'!I$3:I$504,'Resultater - Østdanmark'!J$3:J$504)),'Resultater - Østdanmark'!$F$3:$F$504,$A70,IF(E70=År1,'Resultater - Østdanmark'!H$3:H$504,IF(E70=År2,'Resultater - Østdanmark'!I$3:I$504,'Resultater - Østdanmark'!J$3:J$504)),"&gt;0"))</f>
        <v>0</v>
      </c>
      <c r="H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forbrug'!H$3,'Forbrug af biomasse'!$B$2:$B$425,$F70)</f>
        <v>3262502.8463859628</v>
      </c>
      <c r="I70">
        <f>IF(F70="Vestdanmark",-IF(A70="Halm",SUMIFS(IF(E70=År1,'Resultater - Vestdanmark'!H$3:H$504,IF(E70=År2,'Resultater - Vestdanmark'!I$3:I$504,'Resultater - Vestdanmark'!J$3:J$504)),'Resultater - Vestdanmark'!$F$3:$F$504,$A70,'Resultater - Vestdanmark'!H$3:H$504,"&lt;0"),0),-IF(A70="Halm",SUMIFS(IF(E70=År1,'Resultater - Østdanmark'!H$3:H$504,IF(E70=År2,'Resultater - Østdanmark'!I$3:I$504,'Resultater - Østdanmark'!J$3:J$504)),'Resultater - Østdanmark'!$F$3:$F$504,$A70,'Resultater - Østdanmark'!H$3:H$504,"&lt;0"),0))</f>
        <v>0</v>
      </c>
      <c r="J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forbrug'!J$3,'Forbrug af biomasse'!$B$2:$B$425,$F70)</f>
        <v>0</v>
      </c>
      <c r="K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forbrug'!K$3,'Forbrug af biomasse'!$B$2:$B$425,$F70)</f>
        <v>0</v>
      </c>
      <c r="L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forbrug'!L$3,'Forbrug af biomasse'!$B$2:$B$425,$F70)</f>
        <v>0</v>
      </c>
      <c r="M70" s="94">
        <f>IF(A70&lt;&gt;"Biogas",SUMIFS('Forbrug af biomasse'!$E$2:$E$425,'Forbrug af biomasse'!$C$2:$C$425,'Resultat-Produktion &amp; forbrug'!$A70,'Forbrug af biomasse'!$D$2:$D$425,'Resultat-Produktion &amp; forbrug'!$E70,'Forbrug af biomasse'!$A$2:$A$425,'Resultat-Produktion &amp; forbrug'!M$3,'Forbrug af biomasse'!$B$2:$B$425,$F70),G70)</f>
        <v>0</v>
      </c>
      <c r="N70" s="94">
        <f>SUMIFS('Forbrug af biomasse'!E:E,'Forbrug af biomasse'!C:C,'Resultat-Produktion &amp; forbrug'!$A70,'Forbrug af biomasse'!D:D,'Resultat-Produktion &amp; forbrug'!$E70,'Forbrug af biomasse'!G:G,1,'Forbrug af biomasse'!B:B,$F70)</f>
        <v>0</v>
      </c>
      <c r="O70" s="179">
        <f t="shared" si="10"/>
        <v>-3262502.8463859628</v>
      </c>
      <c r="P70" s="94">
        <f t="shared" si="22"/>
        <v>0</v>
      </c>
      <c r="Q70" s="180">
        <f t="shared" si="11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IF(A70&lt;&gt;"Biogas",IFERROR(VLOOKUP(A70,[1]Biogasudbytte!$A$2:$B$18,2,FALSE)*[1]Energiindhold!$C$10,0)*K70*IFERROR(VLOOKUP(A70,Biogasanlæg!$F$3:$G$8,2,FALSE),1)+IFERROR(VLOOKUP(A70,[1]Energiindhold!$A$2:$C$11,3,FALSE),0)*M70+IF(E70&lt;&gt;År1,R70,0),0)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12"/>
        <v>0</v>
      </c>
      <c r="V70" s="169">
        <f>P70*IFERROR(VLOOKUP(A70,[1]Tørstofindhold!A$2:B$24,2,FALSE),0)</f>
        <v>0</v>
      </c>
      <c r="W70">
        <f>IF(E70=År1,Q70,SUM(P70,Q70))*IFERROR(VLOOKUP(A70,[1]Tørstofindhold!A$2:B$24,2,FALSE),0)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13"/>
        <v>0</v>
      </c>
      <c r="Z70">
        <f t="shared" si="23"/>
        <v>1</v>
      </c>
      <c r="AA70">
        <f t="shared" si="24"/>
        <v>0</v>
      </c>
      <c r="AB70" s="94">
        <f t="shared" si="25"/>
        <v>-3262502.8463859628</v>
      </c>
      <c r="AC70">
        <f>AB70*D70*10000*VLOOKUP(A70,[1]kcal!$A$2:$C$49,3,FALSE)/1000000000000</f>
        <v>-1.8596266224399989</v>
      </c>
    </row>
    <row r="71" spans="1:29" x14ac:dyDescent="0.25">
      <c r="A71" s="171" t="str">
        <f t="shared" si="18"/>
        <v>Industriaffald</v>
      </c>
      <c r="B71" s="171" t="str">
        <f t="shared" si="19"/>
        <v>Bionedbrydeligt affald</v>
      </c>
      <c r="C71" s="171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1</v>
      </c>
      <c r="D71" s="171">
        <f t="shared" si="21"/>
        <v>0</v>
      </c>
      <c r="E71" s="171">
        <f t="shared" si="20"/>
        <v>2030</v>
      </c>
      <c r="F71" t="s">
        <v>23</v>
      </c>
      <c r="G71" s="94">
        <f>IF(F71="Vestdanmark",SUMIFS(IF(E71=År1,'Resultater - Vestdanmark'!H$3:H$504,IF(E71=År2,'Resultater - Vestdanmark'!I$3:I$504,'Resultater - Vestdanmark'!J$3:J$504)),'Resultater - Vestdanmark'!$F$3:$F$504,$A71,IF(E71=År1,'Resultater - Vestdanmark'!H$3:H$504,IF(E71=År2,'Resultater - Vestdanmark'!I$3:I$504,'Resultater - Vestdanmark'!J$3:J$504)),"&gt;0"),SUMIFS(IF(E71=År1,'Resultater - Østdanmark'!H$3:H$504,IF(E71=År2,'Resultater - Østdanmark'!I$3:I$504,'Resultater - Østdanmark'!J$3:J$504)),'Resultater - Østdanmark'!$F$3:$F$504,$A71,IF(E71=År1,'Resultater - Østdanmark'!H$3:H$504,IF(E71=År2,'Resultater - Østdanmark'!I$3:I$504,'Resultater - Østdanmark'!J$3:J$504)),"&gt;0"))</f>
        <v>402383.95965350419</v>
      </c>
      <c r="H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forbrug'!H$3,'Forbrug af biomasse'!$B$2:$B$425,$F71)</f>
        <v>0</v>
      </c>
      <c r="I71">
        <f>IF(F71="Vestdanmark",-IF(A71="Halm",SUMIFS(IF(E71=År1,'Resultater - Vestdanmark'!H$3:H$504,IF(E71=År2,'Resultater - Vestdanmark'!I$3:I$504,'Resultater - Vestdanmark'!J$3:J$504)),'Resultater - Vestdanmark'!$F$3:$F$504,$A71,'Resultater - Vestdanmark'!H$3:H$504,"&lt;0"),0),-IF(A71="Halm",SUMIFS(IF(E71=År1,'Resultater - Østdanmark'!H$3:H$504,IF(E71=År2,'Resultater - Østdanmark'!I$3:I$504,'Resultater - Østdanmark'!J$3:J$504)),'Resultater - Østdanmark'!$F$3:$F$504,$A71,'Resultater - Østdanmark'!H$3:H$504,"&lt;0"),0))</f>
        <v>0</v>
      </c>
      <c r="J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forbrug'!J$3,'Forbrug af biomasse'!$B$2:$B$425,$F71)</f>
        <v>0</v>
      </c>
      <c r="K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forbrug'!K$3,'Forbrug af biomasse'!$B$2:$B$425,$F71)</f>
        <v>0</v>
      </c>
      <c r="L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forbrug'!L$3,'Forbrug af biomasse'!$B$2:$B$425,$F71)</f>
        <v>0</v>
      </c>
      <c r="M71" s="94">
        <f>IF(A71&lt;&gt;"Biogas",SUMIFS('Forbrug af biomasse'!$E$2:$E$425,'Forbrug af biomasse'!$C$2:$C$425,'Resultat-Produktion &amp; forbrug'!$A71,'Forbrug af biomasse'!$D$2:$D$425,'Resultat-Produktion &amp; forbrug'!$E71,'Forbrug af biomasse'!$A$2:$A$425,'Resultat-Produktion &amp; forbrug'!M$3,'Forbrug af biomasse'!$B$2:$B$425,$F71),G71)</f>
        <v>0</v>
      </c>
      <c r="N71" s="94">
        <f>SUMIFS('Forbrug af biomasse'!E:E,'Forbrug af biomasse'!C:C,'Resultat-Produktion &amp; forbrug'!$A71,'Forbrug af biomasse'!D:D,'Resultat-Produktion &amp; forbrug'!$E71,'Forbrug af biomasse'!G:G,1,'Forbrug af biomasse'!B:B,$F71)</f>
        <v>0</v>
      </c>
      <c r="O71" s="179">
        <f t="shared" si="10"/>
        <v>402383.95965350419</v>
      </c>
      <c r="P71" s="94">
        <f t="shared" si="22"/>
        <v>402383.95965350419</v>
      </c>
      <c r="Q71" s="180">
        <f t="shared" si="11"/>
        <v>0</v>
      </c>
      <c r="R71">
        <f>IFERROR(VLOOKUP(A71,[1]Energiindhold!$A$2:$C$11,3,FALSE),IFERROR(VLOOKUP(A71,[1]Biogasudbytte!$A$2:$B$18,2,FALSE)*[1]Energiindhold!$C$10,0))*P71</f>
        <v>1.7435820070933887</v>
      </c>
      <c r="S71">
        <f>IF(A71&lt;&gt;"Biogas",IFERROR(VLOOKUP(A71,[1]Biogasudbytte!$A$2:$B$18,2,FALSE)*[1]Energiindhold!$C$10,0)*K71*IFERROR(VLOOKUP(A71,Biogasanlæg!$F$3:$G$8,2,FALSE),1)+IFERROR(VLOOKUP(A71,[1]Energiindhold!$A$2:$C$11,3,FALSE),0)*M71+IF(E71&lt;&gt;År1,R71,0),0)</f>
        <v>1.7435820070933887</v>
      </c>
      <c r="T71">
        <f>IFERROR(VLOOKUP(A71,[1]Biogasudbytte!$A$2:$B$18,2,FALSE)*[1]Energiindhold!$C$10,0)*K71*IFERROR(VLOOKUP(A71,Biogasanlæg!$F$3:$G$8,2,FALSE),1)</f>
        <v>0</v>
      </c>
      <c r="U71" s="170">
        <f t="shared" si="12"/>
        <v>1.7435820070933887</v>
      </c>
      <c r="V71" s="169">
        <f>P71*IFERROR(VLOOKUP(A71,[1]Tørstofindhold!A$2:B$24,2,FALSE),0)</f>
        <v>169001.26305447175</v>
      </c>
      <c r="W71">
        <f>IF(E71=År1,Q71,SUM(P71,Q71))*IFERROR(VLOOKUP(A71,[1]Tørstofindhold!A$2:B$24,2,FALSE),0)</f>
        <v>169001.26305447175</v>
      </c>
      <c r="X71">
        <f>K71*IFERROR(VLOOKUP(A71,[1]Tørstofindhold!A$2:B$24,2,FALSE),0)</f>
        <v>0</v>
      </c>
      <c r="Y71" s="170">
        <f t="shared" si="13"/>
        <v>169001.26305447175</v>
      </c>
      <c r="Z71">
        <f t="shared" si="23"/>
        <v>0</v>
      </c>
      <c r="AA71">
        <f t="shared" si="24"/>
        <v>1</v>
      </c>
      <c r="AB71" s="94">
        <f t="shared" si="25"/>
        <v>402383.95965350419</v>
      </c>
      <c r="AC71">
        <f>AB71*D71*10000*VLOOKUP(A71,[1]kcal!$A$2:$C$49,3,FALSE)/1000000000000</f>
        <v>0</v>
      </c>
    </row>
    <row r="72" spans="1:29" x14ac:dyDescent="0.25">
      <c r="A72" s="171" t="str">
        <f t="shared" si="18"/>
        <v>Juletræer</v>
      </c>
      <c r="B72" s="171" t="str">
        <f t="shared" si="19"/>
        <v/>
      </c>
      <c r="C72" s="171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71">
        <f t="shared" si="21"/>
        <v>0</v>
      </c>
      <c r="E72" s="171">
        <f t="shared" si="20"/>
        <v>2030</v>
      </c>
      <c r="F72" t="s">
        <v>23</v>
      </c>
      <c r="G72" s="94">
        <f>IF(F72="Vestdanmark",SUMIFS(IF(E72=År1,'Resultater - Vestdanmark'!H$3:H$504,IF(E72=År2,'Resultater - Vestdanmark'!I$3:I$504,'Resultater - Vestdanmark'!J$3:J$504)),'Resultater - Vestdanmark'!$F$3:$F$504,$A72,IF(E72=År1,'Resultater - Vestdanmark'!H$3:H$504,IF(E72=År2,'Resultater - Vestdanmark'!I$3:I$504,'Resultater - Vestdanmark'!J$3:J$504)),"&gt;0"),SUMIFS(IF(E72=År1,'Resultater - Østdanmark'!H$3:H$504,IF(E72=År2,'Resultater - Østdanmark'!I$3:I$504,'Resultater - Østdanmark'!J$3:J$504)),'Resultater - Østdanmark'!$F$3:$F$504,$A72,IF(E72=År1,'Resultater - Østdanmark'!H$3:H$504,IF(E72=År2,'Resultater - Østdanmark'!I$3:I$504,'Resultater - Østdanmark'!J$3:J$504)),"&gt;0"))</f>
        <v>675080.94417097606</v>
      </c>
      <c r="H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forbrug'!H$3,'Forbrug af biomasse'!$B$2:$B$425,$F72)</f>
        <v>0</v>
      </c>
      <c r="I72">
        <f>IF(F72="Vestdanmark",-IF(A72="Halm",SUMIFS(IF(E72=År1,'Resultater - Vestdanmark'!H$3:H$504,IF(E72=År2,'Resultater - Vestdanmark'!I$3:I$504,'Resultater - Vestdanmark'!J$3:J$504)),'Resultater - Vestdanmark'!$F$3:$F$504,$A72,'Resultater - Vestdanmark'!H$3:H$504,"&lt;0"),0),-IF(A72="Halm",SUMIFS(IF(E72=År1,'Resultater - Østdanmark'!H$3:H$504,IF(E72=År2,'Resultater - Østdanmark'!I$3:I$504,'Resultater - Østdanmark'!J$3:J$504)),'Resultater - Østdanmark'!$F$3:$F$504,$A72,'Resultater - Østdanmark'!H$3:H$504,"&lt;0"),0))</f>
        <v>0</v>
      </c>
      <c r="J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forbrug'!J$3,'Forbrug af biomasse'!$B$2:$B$425,$F72)</f>
        <v>0</v>
      </c>
      <c r="K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forbrug'!K$3,'Forbrug af biomasse'!$B$2:$B$425,$F72)</f>
        <v>0</v>
      </c>
      <c r="L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forbrug'!L$3,'Forbrug af biomasse'!$B$2:$B$425,$F72)</f>
        <v>0</v>
      </c>
      <c r="M72" s="94">
        <f>IF(A72&lt;&gt;"Biogas",SUMIFS('Forbrug af biomasse'!$E$2:$E$425,'Forbrug af biomasse'!$C$2:$C$425,'Resultat-Produktion &amp; forbrug'!$A72,'Forbrug af biomasse'!$D$2:$D$425,'Resultat-Produktion &amp; forbrug'!$E72,'Forbrug af biomasse'!$A$2:$A$425,'Resultat-Produktion &amp; forbrug'!M$3,'Forbrug af biomasse'!$B$2:$B$425,$F72),G72)</f>
        <v>0</v>
      </c>
      <c r="N72" s="94">
        <f>SUMIFS('Forbrug af biomasse'!E:E,'Forbrug af biomasse'!C:C,'Resultat-Produktion &amp; forbrug'!$A72,'Forbrug af biomasse'!D:D,'Resultat-Produktion &amp; forbrug'!$E72,'Forbrug af biomasse'!G:G,1,'Forbrug af biomasse'!B:B,$F72)</f>
        <v>0</v>
      </c>
      <c r="O72" s="179">
        <f t="shared" si="10"/>
        <v>675080.94417097606</v>
      </c>
      <c r="P72" s="94">
        <f t="shared" si="22"/>
        <v>0</v>
      </c>
      <c r="Q72" s="180">
        <f t="shared" si="11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IF(A72&lt;&gt;"Biogas",IFERROR(VLOOKUP(A72,[1]Biogasudbytte!$A$2:$B$18,2,FALSE)*[1]Energiindhold!$C$10,0)*K72*IFERROR(VLOOKUP(A72,Biogasanlæg!$F$3:$G$8,2,FALSE),1)+IFERROR(VLOOKUP(A72,[1]Energiindhold!$A$2:$C$11,3,FALSE),0)*M72+IF(E72&lt;&gt;År1,R72,0),0)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12"/>
        <v>0</v>
      </c>
      <c r="V72" s="169">
        <f>P72*IFERROR(VLOOKUP(A72,[1]Tørstofindhold!A$2:B$24,2,FALSE),0)</f>
        <v>0</v>
      </c>
      <c r="W72">
        <f>IF(E72=År1,Q72,SUM(P72,Q72))*IFERROR(VLOOKUP(A72,[1]Tørstofindhold!A$2:B$24,2,FALSE),0)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13"/>
        <v>0</v>
      </c>
      <c r="Z72">
        <f t="shared" si="23"/>
        <v>0</v>
      </c>
      <c r="AA72">
        <f t="shared" si="24"/>
        <v>1</v>
      </c>
      <c r="AB72" s="94">
        <f t="shared" si="25"/>
        <v>675080.94417097606</v>
      </c>
      <c r="AC72">
        <f>AB72*D72*10000*VLOOKUP(A72,[1]kcal!$A$2:$C$49,3,FALSE)/1000000000000</f>
        <v>0</v>
      </c>
    </row>
    <row r="73" spans="1:29" x14ac:dyDescent="0.25">
      <c r="A73" s="171" t="str">
        <f t="shared" si="18"/>
        <v>Kartofler</v>
      </c>
      <c r="B73" s="171" t="str">
        <f t="shared" si="19"/>
        <v/>
      </c>
      <c r="C73" s="171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0</v>
      </c>
      <c r="D73" s="171">
        <f t="shared" si="21"/>
        <v>1</v>
      </c>
      <c r="E73" s="171">
        <f t="shared" si="20"/>
        <v>2030</v>
      </c>
      <c r="F73" t="s">
        <v>23</v>
      </c>
      <c r="G73" s="94">
        <f>IF(F73="Vestdanmark",SUMIFS(IF(E73=År1,'Resultater - Vestdanmark'!H$3:H$504,IF(E73=År2,'Resultater - Vestdanmark'!I$3:I$504,'Resultater - Vestdanmark'!J$3:J$504)),'Resultater - Vestdanmark'!$F$3:$F$504,$A73,IF(E73=År1,'Resultater - Vestdanmark'!H$3:H$504,IF(E73=År2,'Resultater - Vestdanmark'!I$3:I$504,'Resultater - Vestdanmark'!J$3:J$504)),"&gt;0"),SUMIFS(IF(E73=År1,'Resultater - Østdanmark'!H$3:H$504,IF(E73=År2,'Resultater - Østdanmark'!I$3:I$504,'Resultater - Østdanmark'!J$3:J$504)),'Resultater - Østdanmark'!$F$3:$F$504,$A73,IF(E73=År1,'Resultater - Østdanmark'!H$3:H$504,IF(E73=År2,'Resultater - Østdanmark'!I$3:I$504,'Resultater - Østdanmark'!J$3:J$504)),"&gt;0"))</f>
        <v>1689696.9927296774</v>
      </c>
      <c r="H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forbrug'!H$3,'Forbrug af biomasse'!$B$2:$B$425,$F73)</f>
        <v>0</v>
      </c>
      <c r="I73">
        <f>IF(F73="Vestdanmark",-IF(A73="Halm",SUMIFS(IF(E73=År1,'Resultater - Vestdanmark'!H$3:H$504,IF(E73=År2,'Resultater - Vestdanmark'!I$3:I$504,'Resultater - Vestdanmark'!J$3:J$504)),'Resultater - Vestdanmark'!$F$3:$F$504,$A73,'Resultater - Vestdanmark'!H$3:H$504,"&lt;0"),0),-IF(A73="Halm",SUMIFS(IF(E73=År1,'Resultater - Østdanmark'!H$3:H$504,IF(E73=År2,'Resultater - Østdanmark'!I$3:I$504,'Resultater - Østdanmark'!J$3:J$504)),'Resultater - Østdanmark'!$F$3:$F$504,$A73,'Resultater - Østdanmark'!H$3:H$504,"&lt;0"),0))</f>
        <v>0</v>
      </c>
      <c r="J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forbrug'!J$3,'Forbrug af biomasse'!$B$2:$B$425,$F73)</f>
        <v>123531.68309679118</v>
      </c>
      <c r="K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forbrug'!K$3,'Forbrug af biomasse'!$B$2:$B$425,$F73)</f>
        <v>0</v>
      </c>
      <c r="L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forbrug'!L$3,'Forbrug af biomasse'!$B$2:$B$425,$F73)</f>
        <v>0</v>
      </c>
      <c r="M73" s="94">
        <f>IF(A73&lt;&gt;"Biogas",SUMIFS('Forbrug af biomasse'!$E$2:$E$425,'Forbrug af biomasse'!$C$2:$C$425,'Resultat-Produktion &amp; forbrug'!$A73,'Forbrug af biomasse'!$D$2:$D$425,'Resultat-Produktion &amp; forbrug'!$E73,'Forbrug af biomasse'!$A$2:$A$425,'Resultat-Produktion &amp; forbrug'!M$3,'Forbrug af biomasse'!$B$2:$B$425,$F73),G73)</f>
        <v>0</v>
      </c>
      <c r="N73" s="94">
        <f>SUMIFS('Forbrug af biomasse'!E:E,'Forbrug af biomasse'!C:C,'Resultat-Produktion &amp; forbrug'!$A73,'Forbrug af biomasse'!D:D,'Resultat-Produktion &amp; forbrug'!$E73,'Forbrug af biomasse'!G:G,1,'Forbrug af biomasse'!B:B,$F73)</f>
        <v>0</v>
      </c>
      <c r="O73" s="179">
        <f t="shared" si="10"/>
        <v>1566165.3096328862</v>
      </c>
      <c r="P73" s="94">
        <f t="shared" si="22"/>
        <v>0</v>
      </c>
      <c r="Q73" s="180">
        <f t="shared" si="11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IF(A73&lt;&gt;"Biogas",IFERROR(VLOOKUP(A73,[1]Biogasudbytte!$A$2:$B$18,2,FALSE)*[1]Energiindhold!$C$10,0)*K73*IFERROR(VLOOKUP(A73,Biogasanlæg!$F$3:$G$8,2,FALSE),1)+IFERROR(VLOOKUP(A73,[1]Energiindhold!$A$2:$C$11,3,FALSE),0)*M73+IF(E73&lt;&gt;År1,R73,0),0)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12"/>
        <v>0</v>
      </c>
      <c r="V73" s="169">
        <f>P73*IFERROR(VLOOKUP(A73,[1]Tørstofindhold!A$2:B$24,2,FALSE),0)</f>
        <v>0</v>
      </c>
      <c r="W73">
        <f>IF(E73=År1,Q73,SUM(P73,Q73))*IFERROR(VLOOKUP(A73,[1]Tørstofindhold!A$2:B$24,2,FALSE),0)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13"/>
        <v>0</v>
      </c>
      <c r="Z73">
        <f t="shared" si="23"/>
        <v>0</v>
      </c>
      <c r="AA73">
        <f t="shared" si="24"/>
        <v>1</v>
      </c>
      <c r="AB73" s="94">
        <f t="shared" si="25"/>
        <v>1689696.9927296774</v>
      </c>
      <c r="AC73">
        <f>AB73*D73*10000*VLOOKUP(A73,[1]kcal!$A$2:$C$49,3,FALSE)/1000000000000</f>
        <v>1.3179636543291484</v>
      </c>
    </row>
    <row r="74" spans="1:29" x14ac:dyDescent="0.25">
      <c r="A74" s="171" t="str">
        <f t="shared" si="18"/>
        <v>Korn</v>
      </c>
      <c r="B74" s="171" t="str">
        <f t="shared" si="19"/>
        <v>Halm og strå</v>
      </c>
      <c r="C74" s="171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1</v>
      </c>
      <c r="D74" s="171">
        <f t="shared" si="21"/>
        <v>1</v>
      </c>
      <c r="E74" s="171">
        <f t="shared" si="20"/>
        <v>2030</v>
      </c>
      <c r="F74" t="s">
        <v>23</v>
      </c>
      <c r="G74" s="94">
        <f>IF(F74="Vestdanmark",SUMIFS(IF(E74=År1,'Resultater - Vestdanmark'!H$3:H$504,IF(E74=År2,'Resultater - Vestdanmark'!I$3:I$504,'Resultater - Vestdanmark'!J$3:J$504)),'Resultater - Vestdanmark'!$F$3:$F$504,$A74,IF(E74=År1,'Resultater - Vestdanmark'!H$3:H$504,IF(E74=År2,'Resultater - Vestdanmark'!I$3:I$504,'Resultater - Vestdanmark'!J$3:J$504)),"&gt;0"),SUMIFS(IF(E74=År1,'Resultater - Østdanmark'!H$3:H$504,IF(E74=År2,'Resultater - Østdanmark'!I$3:I$504,'Resultater - Østdanmark'!J$3:J$504)),'Resultater - Østdanmark'!$F$3:$F$504,$A74,IF(E74=År1,'Resultater - Østdanmark'!H$3:H$504,IF(E74=År2,'Resultater - Østdanmark'!I$3:I$504,'Resultater - Østdanmark'!J$3:J$504)),"&gt;0"))</f>
        <v>5182167.6605635537</v>
      </c>
      <c r="H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forbrug'!H$3,'Forbrug af biomasse'!$B$2:$B$425,$F74)</f>
        <v>3972505.784940829</v>
      </c>
      <c r="I74">
        <f>IF(F74="Vestdanmark",-IF(A74="Halm",SUMIFS(IF(E74=År1,'Resultater - Vestdanmark'!H$3:H$504,IF(E74=År2,'Resultater - Vestdanmark'!I$3:I$504,'Resultater - Vestdanmark'!J$3:J$504)),'Resultater - Vestdanmark'!$F$3:$F$504,$A74,'Resultater - Vestdanmark'!H$3:H$504,"&lt;0"),0),-IF(A74="Halm",SUMIFS(IF(E74=År1,'Resultater - Østdanmark'!H$3:H$504,IF(E74=År2,'Resultater - Østdanmark'!I$3:I$504,'Resultater - Østdanmark'!J$3:J$504)),'Resultater - Østdanmark'!$F$3:$F$504,$A74,'Resultater - Østdanmark'!H$3:H$504,"&lt;0"),0))</f>
        <v>0</v>
      </c>
      <c r="J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forbrug'!J$3,'Forbrug af biomasse'!$B$2:$B$425,$F74)</f>
        <v>295933.04302308214</v>
      </c>
      <c r="K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forbrug'!K$3,'Forbrug af biomasse'!$B$2:$B$425,$F74)</f>
        <v>0</v>
      </c>
      <c r="L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forbrug'!L$3,'Forbrug af biomasse'!$B$2:$B$425,$F74)</f>
        <v>0</v>
      </c>
      <c r="M74" s="94">
        <f>IF(A74&lt;&gt;"Biogas",SUMIFS('Forbrug af biomasse'!$E$2:$E$425,'Forbrug af biomasse'!$C$2:$C$425,'Resultat-Produktion &amp; forbrug'!$A74,'Forbrug af biomasse'!$D$2:$D$425,'Resultat-Produktion &amp; forbrug'!$E74,'Forbrug af biomasse'!$A$2:$A$425,'Resultat-Produktion &amp; forbrug'!M$3,'Forbrug af biomasse'!$B$2:$B$425,$F74),G74)</f>
        <v>0</v>
      </c>
      <c r="N74" s="94">
        <f>SUMIFS('Forbrug af biomasse'!E:E,'Forbrug af biomasse'!C:C,'Resultat-Produktion &amp; forbrug'!$A74,'Forbrug af biomasse'!D:D,'Resultat-Produktion &amp; forbrug'!$E74,'Forbrug af biomasse'!G:G,1,'Forbrug af biomasse'!B:B,$F74)</f>
        <v>0</v>
      </c>
      <c r="O74" s="179">
        <f t="shared" si="10"/>
        <v>913728.83259964269</v>
      </c>
      <c r="P74" s="94">
        <f t="shared" si="22"/>
        <v>913728.83259964269</v>
      </c>
      <c r="Q74" s="180">
        <f t="shared" si="11"/>
        <v>0</v>
      </c>
      <c r="R74">
        <f>IFERROR(VLOOKUP(A74,[1]Energiindhold!$A$2:$C$11,3,FALSE),IFERROR(VLOOKUP(A74,[1]Biogasudbytte!$A$2:$B$18,2,FALSE)*[1]Energiindhold!$C$10,0))*P74</f>
        <v>3.1293933296172129</v>
      </c>
      <c r="S74">
        <f>IF(A74&lt;&gt;"Biogas",IFERROR(VLOOKUP(A74,[1]Biogasudbytte!$A$2:$B$18,2,FALSE)*[1]Energiindhold!$C$10,0)*K74*IFERROR(VLOOKUP(A74,Biogasanlæg!$F$3:$G$8,2,FALSE),1)+IFERROR(VLOOKUP(A74,[1]Energiindhold!$A$2:$C$11,3,FALSE),0)*M74+IF(E74&lt;&gt;År1,R74,0),0)</f>
        <v>3.1293933296172129</v>
      </c>
      <c r="T74">
        <f>IFERROR(VLOOKUP(A74,[1]Biogasudbytte!$A$2:$B$18,2,FALSE)*[1]Energiindhold!$C$10,0)*K74*IFERROR(VLOOKUP(A74,Biogasanlæg!$F$3:$G$8,2,FALSE),1)</f>
        <v>0</v>
      </c>
      <c r="U74" s="170">
        <f t="shared" si="12"/>
        <v>3.1293933296172129</v>
      </c>
      <c r="V74" s="169">
        <f>P74*IFERROR(VLOOKUP(A74,[1]Tørstofindhold!A$2:B$24,2,FALSE),0)</f>
        <v>283255.93810588925</v>
      </c>
      <c r="W74">
        <f>IF(E74=År1,Q74,SUM(P74,Q74))*IFERROR(VLOOKUP(A74,[1]Tørstofindhold!A$2:B$24,2,FALSE),0)</f>
        <v>283255.93810588925</v>
      </c>
      <c r="X74">
        <f>K74*IFERROR(VLOOKUP(A74,[1]Tørstofindhold!A$2:B$24,2,FALSE),0)</f>
        <v>0</v>
      </c>
      <c r="Y74" s="170">
        <f t="shared" si="13"/>
        <v>283255.93810588925</v>
      </c>
      <c r="Z74">
        <f t="shared" si="23"/>
        <v>0</v>
      </c>
      <c r="AA74">
        <f t="shared" si="24"/>
        <v>1</v>
      </c>
      <c r="AB74" s="94">
        <f t="shared" si="25"/>
        <v>1209661.8756227246</v>
      </c>
      <c r="AC74">
        <f>AB74*D74*10000*VLOOKUP(A74,[1]kcal!$A$2:$C$49,3,FALSE)/1000000000000</f>
        <v>4.4273624647791729</v>
      </c>
    </row>
    <row r="75" spans="1:29" x14ac:dyDescent="0.25">
      <c r="A75" s="171" t="str">
        <f t="shared" si="18"/>
        <v>Kunstgødning</v>
      </c>
      <c r="B75" s="171" t="str">
        <f t="shared" si="19"/>
        <v/>
      </c>
      <c r="C75" s="171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0</v>
      </c>
      <c r="D75" s="171">
        <f t="shared" si="21"/>
        <v>0</v>
      </c>
      <c r="E75" s="171">
        <f t="shared" si="20"/>
        <v>2030</v>
      </c>
      <c r="F75" t="s">
        <v>23</v>
      </c>
      <c r="G75" s="94">
        <f>IF(F75="Vestdanmark",SUMIFS(IF(E75=År1,'Resultater - Vestdanmark'!H$3:H$504,IF(E75=År2,'Resultater - Vestdanmark'!I$3:I$504,'Resultater - Vestdanmark'!J$3:J$504)),'Resultater - Vestdanmark'!$F$3:$F$504,$A75,IF(E75=År1,'Resultater - Vestdanmark'!H$3:H$504,IF(E75=År2,'Resultater - Vestdanmark'!I$3:I$504,'Resultater - Vestdanmark'!J$3:J$504)),"&gt;0"),SUMIFS(IF(E75=År1,'Resultater - Østdanmark'!H$3:H$504,IF(E75=År2,'Resultater - Østdanmark'!I$3:I$504,'Resultater - Østdanmark'!J$3:J$504)),'Resultater - Østdanmark'!$F$3:$F$504,$A75,IF(E75=År1,'Resultater - Østdanmark'!H$3:H$504,IF(E75=År2,'Resultater - Østdanmark'!I$3:I$504,'Resultater - Østdanmark'!J$3:J$504)),"&gt;0"))</f>
        <v>0</v>
      </c>
      <c r="H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forbrug'!H$3,'Forbrug af biomasse'!$B$2:$B$425,$F75)</f>
        <v>0</v>
      </c>
      <c r="I75">
        <f>IF(F75="Vestdanmark",-IF(A75="Halm",SUMIFS(IF(E75=År1,'Resultater - Vestdanmark'!H$3:H$504,IF(E75=År2,'Resultater - Vestdanmark'!I$3:I$504,'Resultater - Vestdanmark'!J$3:J$504)),'Resultater - Vestdanmark'!$F$3:$F$504,$A75,'Resultater - Vestdanmark'!H$3:H$504,"&lt;0"),0),-IF(A75="Halm",SUMIFS(IF(E75=År1,'Resultater - Østdanmark'!H$3:H$504,IF(E75=År2,'Resultater - Østdanmark'!I$3:I$504,'Resultater - Østdanmark'!J$3:J$504)),'Resultater - Østdanmark'!$F$3:$F$504,$A75,'Resultater - Østdanmark'!H$3:H$504,"&lt;0"),0))</f>
        <v>0</v>
      </c>
      <c r="J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forbrug'!J$3,'Forbrug af biomasse'!$B$2:$B$425,$F75)</f>
        <v>0</v>
      </c>
      <c r="K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forbrug'!K$3,'Forbrug af biomasse'!$B$2:$B$425,$F75)</f>
        <v>0</v>
      </c>
      <c r="L75" s="94">
        <f ca="1">SUMIFS('Forbrug af biomasse'!$E$2:$E$425,'Forbrug af biomasse'!$C$2:$C$425,'Resultat-Produktion &amp; forbrug'!$A75,'Forbrug af biomasse'!$D$2:$D$425,'Resultat-Produktion &amp; forbrug'!$E75,'Forbrug af biomasse'!$A$2:$A$425,'Resultat-Produktion &amp; forbrug'!L$3,'Forbrug af biomasse'!$B$2:$B$425,$F75)</f>
        <v>1499151.6936668851</v>
      </c>
      <c r="M75" s="94">
        <f>IF(A75&lt;&gt;"Biogas",SUMIFS('Forbrug af biomasse'!$E$2:$E$425,'Forbrug af biomasse'!$C$2:$C$425,'Resultat-Produktion &amp; forbrug'!$A75,'Forbrug af biomasse'!$D$2:$D$425,'Resultat-Produktion &amp; forbrug'!$E75,'Forbrug af biomasse'!$A$2:$A$425,'Resultat-Produktion &amp; forbrug'!M$3,'Forbrug af biomasse'!$B$2:$B$425,$F75),G75)</f>
        <v>0</v>
      </c>
      <c r="N75" s="94">
        <f>SUMIFS('Forbrug af biomasse'!E:E,'Forbrug af biomasse'!C:C,'Resultat-Produktion &amp; forbrug'!$A75,'Forbrug af biomasse'!D:D,'Resultat-Produktion &amp; forbrug'!$E75,'Forbrug af biomasse'!G:G,1,'Forbrug af biomasse'!B:B,$F75)</f>
        <v>0</v>
      </c>
      <c r="O75" s="179">
        <f t="shared" ca="1" si="10"/>
        <v>-1499151.6936668851</v>
      </c>
      <c r="P75" s="94">
        <f t="shared" si="22"/>
        <v>0</v>
      </c>
      <c r="Q75" s="180">
        <f t="shared" si="11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IF(A75&lt;&gt;"Biogas",IFERROR(VLOOKUP(A75,[1]Biogasudbytte!$A$2:$B$18,2,FALSE)*[1]Energiindhold!$C$10,0)*K75*IFERROR(VLOOKUP(A75,Biogasanlæg!$F$3:$G$8,2,FALSE),1)+IFERROR(VLOOKUP(A75,[1]Energiindhold!$A$2:$C$11,3,FALSE),0)*M75+IF(E75&lt;&gt;År1,R75,0),0)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12"/>
        <v>0</v>
      </c>
      <c r="V75" s="169">
        <f>P75*IFERROR(VLOOKUP(A75,[1]Tørstofindhold!A$2:B$24,2,FALSE),0)</f>
        <v>0</v>
      </c>
      <c r="W75">
        <f>IF(E75=År1,Q75,SUM(P75,Q75))*IFERROR(VLOOKUP(A75,[1]Tørstofindhold!A$2:B$24,2,FALSE),0)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13"/>
        <v>0</v>
      </c>
      <c r="Z75">
        <f t="shared" ca="1" si="23"/>
        <v>1</v>
      </c>
      <c r="AA75">
        <f t="shared" ca="1" si="24"/>
        <v>0</v>
      </c>
      <c r="AB75" s="94">
        <f t="shared" ca="1" si="25"/>
        <v>-1499151.6936668851</v>
      </c>
      <c r="AC75">
        <f ca="1">AB75*D75*10000*VLOOKUP(A75,[1]kcal!$A$2:$C$49,3,FALSE)/1000000000000</f>
        <v>0</v>
      </c>
    </row>
    <row r="76" spans="1:29" x14ac:dyDescent="0.25">
      <c r="A76" s="171" t="str">
        <f t="shared" si="18"/>
        <v>Kvæggylle</v>
      </c>
      <c r="B76" s="171" t="str">
        <f t="shared" si="19"/>
        <v>Husdyrgødning</v>
      </c>
      <c r="C76" s="171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1</v>
      </c>
      <c r="D76" s="171">
        <f t="shared" si="21"/>
        <v>0</v>
      </c>
      <c r="E76" s="171">
        <f t="shared" si="20"/>
        <v>2030</v>
      </c>
      <c r="F76" t="s">
        <v>23</v>
      </c>
      <c r="G76" s="94">
        <f>IF(F76="Vestdanmark",SUMIFS(IF(E76=År1,'Resultater - Vestdanmark'!H$3:H$504,IF(E76=År2,'Resultater - Vestdanmark'!I$3:I$504,'Resultater - Vestdanmark'!J$3:J$504)),'Resultater - Vestdanmark'!$F$3:$F$504,$A76,IF(E76=År1,'Resultater - Vestdanmark'!H$3:H$504,IF(E76=År2,'Resultater - Vestdanmark'!I$3:I$504,'Resultater - Vestdanmark'!J$3:J$504)),"&gt;0"),SUMIFS(IF(E76=År1,'Resultater - Østdanmark'!H$3:H$504,IF(E76=År2,'Resultater - Østdanmark'!I$3:I$504,'Resultater - Østdanmark'!J$3:J$504)),'Resultater - Østdanmark'!$F$3:$F$504,$A76,IF(E76=År1,'Resultater - Østdanmark'!H$3:H$504,IF(E76=År2,'Resultater - Østdanmark'!I$3:I$504,'Resultater - Østdanmark'!J$3:J$504)),"&gt;0"))</f>
        <v>7655848.0766037833</v>
      </c>
      <c r="H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forbrug'!H$3,'Forbrug af biomasse'!$B$2:$B$425,$F76)</f>
        <v>0</v>
      </c>
      <c r="I76">
        <f>IF(F76="Vestdanmark",-IF(A76="Halm",SUMIFS(IF(E76=År1,'Resultater - Vestdanmark'!H$3:H$504,IF(E76=År2,'Resultater - Vestdanmark'!I$3:I$504,'Resultater - Vestdanmark'!J$3:J$504)),'Resultater - Vestdanmark'!$F$3:$F$504,$A76,'Resultater - Vestdanmark'!H$3:H$504,"&lt;0"),0),-IF(A76="Halm",SUMIFS(IF(E76=År1,'Resultater - Østdanmark'!H$3:H$504,IF(E76=År2,'Resultater - Østdanmark'!I$3:I$504,'Resultater - Østdanmark'!J$3:J$504)),'Resultater - Østdanmark'!$F$3:$F$504,$A76,'Resultater - Østdanmark'!H$3:H$504,"&lt;0"),0))</f>
        <v>0</v>
      </c>
      <c r="J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forbrug'!J$3,'Forbrug af biomasse'!$B$2:$B$425,$F76)</f>
        <v>0</v>
      </c>
      <c r="K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forbrug'!K$3,'Forbrug af biomasse'!$B$2:$B$425,$F76)</f>
        <v>5741886.057452837</v>
      </c>
      <c r="L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forbrug'!L$3,'Forbrug af biomasse'!$B$2:$B$425,$F76)</f>
        <v>1913962.0191509458</v>
      </c>
      <c r="M76" s="94">
        <f>IF(A76&lt;&gt;"Biogas",SUMIFS('Forbrug af biomasse'!$E$2:$E$425,'Forbrug af biomasse'!$C$2:$C$425,'Resultat-Produktion &amp; forbrug'!$A76,'Forbrug af biomasse'!$D$2:$D$425,'Resultat-Produktion &amp; forbrug'!$E76,'Forbrug af biomasse'!$A$2:$A$425,'Resultat-Produktion &amp; forbrug'!M$3,'Forbrug af biomasse'!$B$2:$B$425,$F76),G76)</f>
        <v>0</v>
      </c>
      <c r="N76" s="94">
        <f>SUMIFS('Forbrug af biomasse'!E:E,'Forbrug af biomasse'!C:C,'Resultat-Produktion &amp; forbrug'!$A76,'Forbrug af biomasse'!D:D,'Resultat-Produktion &amp; forbrug'!$E76,'Forbrug af biomasse'!G:G,1,'Forbrug af biomasse'!B:B,$F76)</f>
        <v>0</v>
      </c>
      <c r="O76" s="179">
        <f t="shared" si="10"/>
        <v>0</v>
      </c>
      <c r="P76" s="94">
        <f t="shared" si="22"/>
        <v>0</v>
      </c>
      <c r="Q76" s="180">
        <f t="shared" si="11"/>
        <v>5741886.057452837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IF(A76&lt;&gt;"Biogas",IFERROR(VLOOKUP(A76,[1]Biogasudbytte!$A$2:$B$18,2,FALSE)*[1]Energiindhold!$C$10,0)*K76*IFERROR(VLOOKUP(A76,Biogasanlæg!$F$3:$G$8,2,FALSE),1)+IFERROR(VLOOKUP(A76,[1]Energiindhold!$A$2:$C$11,3,FALSE),0)*M76+IF(E76&lt;&gt;År1,R76,0),0)</f>
        <v>2.9064853034220519</v>
      </c>
      <c r="T76">
        <f>IFERROR(VLOOKUP(A76,[1]Biogasudbytte!$A$2:$B$18,2,FALSE)*[1]Energiindhold!$C$10,0)*K76*IFERROR(VLOOKUP(A76,Biogasanlæg!$F$3:$G$8,2,FALSE),1)</f>
        <v>2.9064853034220519</v>
      </c>
      <c r="U76" s="170">
        <f t="shared" si="12"/>
        <v>0</v>
      </c>
      <c r="V76" s="169">
        <f>P76*IFERROR(VLOOKUP(A76,[1]Tørstofindhold!A$2:B$24,2,FALSE),0)</f>
        <v>0</v>
      </c>
      <c r="W76">
        <f>IF(E76=År1,Q76,SUM(P76,Q76))*IFERROR(VLOOKUP(A76,[1]Tørstofindhold!A$2:B$24,2,FALSE),0)</f>
        <v>436383.34036641562</v>
      </c>
      <c r="X76">
        <f>K76*IFERROR(VLOOKUP(A76,[1]Tørstofindhold!A$2:B$24,2,FALSE),0)</f>
        <v>436383.34036641562</v>
      </c>
      <c r="Y76" s="170">
        <f t="shared" si="13"/>
        <v>0</v>
      </c>
      <c r="Z76">
        <f t="shared" si="23"/>
        <v>0</v>
      </c>
      <c r="AA76">
        <f t="shared" si="24"/>
        <v>0</v>
      </c>
      <c r="AB76" s="94">
        <f t="shared" si="25"/>
        <v>0</v>
      </c>
      <c r="AC76">
        <f>AB76*D76*10000*VLOOKUP(A76,[1]kcal!$A$2:$C$49,3,FALSE)/1000000000000</f>
        <v>0</v>
      </c>
    </row>
    <row r="77" spans="1:29" x14ac:dyDescent="0.25">
      <c r="A77" s="171" t="str">
        <f t="shared" si="18"/>
        <v>Mælk til foder</v>
      </c>
      <c r="B77" s="171" t="str">
        <f t="shared" si="19"/>
        <v/>
      </c>
      <c r="C77" s="171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0</v>
      </c>
      <c r="D77" s="171">
        <f t="shared" si="21"/>
        <v>0</v>
      </c>
      <c r="E77" s="171">
        <f t="shared" si="20"/>
        <v>2030</v>
      </c>
      <c r="F77" t="s">
        <v>23</v>
      </c>
      <c r="G77" s="94">
        <f>IF(F77="Vestdanmark",SUMIFS(IF(E77=År1,'Resultater - Vestdanmark'!H$3:H$504,IF(E77=År2,'Resultater - Vestdanmark'!I$3:I$504,'Resultater - Vestdanmark'!J$3:J$504)),'Resultater - Vestdanmark'!$F$3:$F$504,$A77,IF(E77=År1,'Resultater - Vestdanmark'!H$3:H$504,IF(E77=År2,'Resultater - Vestdanmark'!I$3:I$504,'Resultater - Vestdanmark'!J$3:J$504)),"&gt;0"),SUMIFS(IF(E77=År1,'Resultater - Østdanmark'!H$3:H$504,IF(E77=År2,'Resultater - Østdanmark'!I$3:I$504,'Resultater - Østdanmark'!J$3:J$504)),'Resultater - Østdanmark'!$F$3:$F$504,$A77,IF(E77=År1,'Resultater - Østdanmark'!H$3:H$504,IF(E77=År2,'Resultater - Østdanmark'!I$3:I$504,'Resultater - Østdanmark'!J$3:J$504)),"&gt;0"))</f>
        <v>959947.99719994201</v>
      </c>
      <c r="H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forbrug'!H$3,'Forbrug af biomasse'!$B$2:$B$425,$F77)</f>
        <v>1024147.4612402687</v>
      </c>
      <c r="I77">
        <f>IF(F77="Vestdanmark",-IF(A77="Halm",SUMIFS(IF(E77=År1,'Resultater - Vestdanmark'!H$3:H$504,IF(E77=År2,'Resultater - Vestdanmark'!I$3:I$504,'Resultater - Vestdanmark'!J$3:J$504)),'Resultater - Vestdanmark'!$F$3:$F$504,$A77,'Resultater - Vestdanmark'!H$3:H$504,"&lt;0"),0),-IF(A77="Halm",SUMIFS(IF(E77=År1,'Resultater - Østdanmark'!H$3:H$504,IF(E77=År2,'Resultater - Østdanmark'!I$3:I$504,'Resultater - Østdanmark'!J$3:J$504)),'Resultater - Østdanmark'!$F$3:$F$504,$A77,'Resultater - Østdanmark'!H$3:H$504,"&lt;0"),0))</f>
        <v>0</v>
      </c>
      <c r="J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forbrug'!J$3,'Forbrug af biomasse'!$B$2:$B$425,$F77)</f>
        <v>0</v>
      </c>
      <c r="K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forbrug'!K$3,'Forbrug af biomasse'!$B$2:$B$425,$F77)</f>
        <v>0</v>
      </c>
      <c r="L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forbrug'!L$3,'Forbrug af biomasse'!$B$2:$B$425,$F77)</f>
        <v>0</v>
      </c>
      <c r="M77" s="94">
        <f>IF(A77&lt;&gt;"Biogas",SUMIFS('Forbrug af biomasse'!$E$2:$E$425,'Forbrug af biomasse'!$C$2:$C$425,'Resultat-Produktion &amp; forbrug'!$A77,'Forbrug af biomasse'!$D$2:$D$425,'Resultat-Produktion &amp; forbrug'!$E77,'Forbrug af biomasse'!$A$2:$A$425,'Resultat-Produktion &amp; forbrug'!M$3,'Forbrug af biomasse'!$B$2:$B$425,$F77),G77)</f>
        <v>0</v>
      </c>
      <c r="N77" s="94">
        <f>SUMIFS('Forbrug af biomasse'!E:E,'Forbrug af biomasse'!C:C,'Resultat-Produktion &amp; forbrug'!$A77,'Forbrug af biomasse'!D:D,'Resultat-Produktion &amp; forbrug'!$E77,'Forbrug af biomasse'!G:G,1,'Forbrug af biomasse'!B:B,$F77)</f>
        <v>0</v>
      </c>
      <c r="O77" s="179">
        <f t="shared" si="10"/>
        <v>-64199.464040326653</v>
      </c>
      <c r="P77" s="94">
        <f t="shared" si="22"/>
        <v>0</v>
      </c>
      <c r="Q77" s="180">
        <f t="shared" si="11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IF(A77&lt;&gt;"Biogas",IFERROR(VLOOKUP(A77,[1]Biogasudbytte!$A$2:$B$18,2,FALSE)*[1]Energiindhold!$C$10,0)*K77*IFERROR(VLOOKUP(A77,Biogasanlæg!$F$3:$G$8,2,FALSE),1)+IFERROR(VLOOKUP(A77,[1]Energiindhold!$A$2:$C$11,3,FALSE),0)*M77+IF(E77&lt;&gt;År1,R77,0),0)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12"/>
        <v>0</v>
      </c>
      <c r="V77" s="169">
        <f>P77*IFERROR(VLOOKUP(A77,[1]Tørstofindhold!A$2:B$24,2,FALSE),0)</f>
        <v>0</v>
      </c>
      <c r="W77">
        <f>IF(E77=År1,Q77,SUM(P77,Q77))*IFERROR(VLOOKUP(A77,[1]Tørstofindhold!A$2:B$24,2,FALSE),0)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13"/>
        <v>0</v>
      </c>
      <c r="Z77">
        <f t="shared" si="23"/>
        <v>1</v>
      </c>
      <c r="AA77">
        <f t="shared" si="24"/>
        <v>0</v>
      </c>
      <c r="AB77" s="94">
        <f t="shared" si="25"/>
        <v>-64199.464040326653</v>
      </c>
      <c r="AC77">
        <f>AB77*D77*10000*VLOOKUP(A77,[1]kcal!$A$2:$C$49,3,FALSE)/1000000000000</f>
        <v>0</v>
      </c>
    </row>
    <row r="78" spans="1:29" x14ac:dyDescent="0.25">
      <c r="A78" s="171" t="str">
        <f t="shared" si="18"/>
        <v>Majs</v>
      </c>
      <c r="B78" s="171" t="str">
        <f t="shared" si="19"/>
        <v>Græs og urter</v>
      </c>
      <c r="C78" s="171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1</v>
      </c>
      <c r="D78" s="171">
        <f t="shared" si="21"/>
        <v>1</v>
      </c>
      <c r="E78" s="171">
        <f t="shared" si="20"/>
        <v>2030</v>
      </c>
      <c r="F78" t="s">
        <v>23</v>
      </c>
      <c r="G78" s="94">
        <f>IF(F78="Vestdanmark",SUMIFS(IF(E78=År1,'Resultater - Vestdanmark'!H$3:H$504,IF(E78=År2,'Resultater - Vestdanmark'!I$3:I$504,'Resultater - Vestdanmark'!J$3:J$504)),'Resultater - Vestdanmark'!$F$3:$F$504,$A78,IF(E78=År1,'Resultater - Vestdanmark'!H$3:H$504,IF(E78=År2,'Resultater - Vestdanmark'!I$3:I$504,'Resultater - Vestdanmark'!J$3:J$504)),"&gt;0"),SUMIFS(IF(E78=År1,'Resultater - Østdanmark'!H$3:H$504,IF(E78=År2,'Resultater - Østdanmark'!I$3:I$504,'Resultater - Østdanmark'!J$3:J$504)),'Resultater - Østdanmark'!$F$3:$F$504,$A78,IF(E78=År1,'Resultater - Østdanmark'!H$3:H$504,IF(E78=År2,'Resultater - Østdanmark'!I$3:I$504,'Resultater - Østdanmark'!J$3:J$504)),"&gt;0"))</f>
        <v>4675837.2738896068</v>
      </c>
      <c r="H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forbrug'!H$3,'Forbrug af biomasse'!$B$2:$B$425,$F78)</f>
        <v>3822394.3367212149</v>
      </c>
      <c r="I78">
        <f>IF(F78="Vestdanmark",-IF(A78="Halm",SUMIFS(IF(E78=År1,'Resultater - Vestdanmark'!H$3:H$504,IF(E78=År2,'Resultater - Vestdanmark'!I$3:I$504,'Resultater - Vestdanmark'!J$3:J$504)),'Resultater - Vestdanmark'!$F$3:$F$504,$A78,'Resultater - Vestdanmark'!H$3:H$504,"&lt;0"),0),-IF(A78="Halm",SUMIFS(IF(E78=År1,'Resultater - Østdanmark'!H$3:H$504,IF(E78=År2,'Resultater - Østdanmark'!I$3:I$504,'Resultater - Østdanmark'!J$3:J$504)),'Resultater - Østdanmark'!$F$3:$F$504,$A78,'Resultater - Østdanmark'!H$3:H$504,"&lt;0"),0))</f>
        <v>0</v>
      </c>
      <c r="J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forbrug'!J$3,'Forbrug af biomasse'!$B$2:$B$425,$F78)</f>
        <v>0</v>
      </c>
      <c r="K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forbrug'!K$3,'Forbrug af biomasse'!$B$2:$B$425,$F78)</f>
        <v>0</v>
      </c>
      <c r="L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forbrug'!L$3,'Forbrug af biomasse'!$B$2:$B$425,$F78)</f>
        <v>0</v>
      </c>
      <c r="M78" s="94">
        <f>IF(A78&lt;&gt;"Biogas",SUMIFS('Forbrug af biomasse'!$E$2:$E$425,'Forbrug af biomasse'!$C$2:$C$425,'Resultat-Produktion &amp; forbrug'!$A78,'Forbrug af biomasse'!$D$2:$D$425,'Resultat-Produktion &amp; forbrug'!$E78,'Forbrug af biomasse'!$A$2:$A$425,'Resultat-Produktion &amp; forbrug'!M$3,'Forbrug af biomasse'!$B$2:$B$425,$F78),G78)</f>
        <v>0</v>
      </c>
      <c r="N78" s="94">
        <f>SUMIFS('Forbrug af biomasse'!E:E,'Forbrug af biomasse'!C:C,'Resultat-Produktion &amp; forbrug'!$A78,'Forbrug af biomasse'!D:D,'Resultat-Produktion &amp; forbrug'!$E78,'Forbrug af biomasse'!G:G,1,'Forbrug af biomasse'!B:B,$F78)</f>
        <v>0</v>
      </c>
      <c r="O78" s="179">
        <f t="shared" si="10"/>
        <v>853442.93716839189</v>
      </c>
      <c r="P78" s="94">
        <f t="shared" si="22"/>
        <v>853442.93716839189</v>
      </c>
      <c r="Q78" s="180">
        <f t="shared" si="11"/>
        <v>0</v>
      </c>
      <c r="R78">
        <f>IFERROR(VLOOKUP(A78,[1]Energiindhold!$A$2:$C$11,3,FALSE),IFERROR(VLOOKUP(A78,[1]Biogasudbytte!$A$2:$B$18,2,FALSE)*[1]Energiindhold!$C$10,0))*P78</f>
        <v>3.063860144434527</v>
      </c>
      <c r="S78">
        <f>IF(A78&lt;&gt;"Biogas",IFERROR(VLOOKUP(A78,[1]Biogasudbytte!$A$2:$B$18,2,FALSE)*[1]Energiindhold!$C$10,0)*K78*IFERROR(VLOOKUP(A78,Biogasanlæg!$F$3:$G$8,2,FALSE),1)+IFERROR(VLOOKUP(A78,[1]Energiindhold!$A$2:$C$11,3,FALSE),0)*M78+IF(E78&lt;&gt;År1,R78,0),0)</f>
        <v>3.063860144434527</v>
      </c>
      <c r="T78">
        <f>IFERROR(VLOOKUP(A78,[1]Biogasudbytte!$A$2:$B$18,2,FALSE)*[1]Energiindhold!$C$10,0)*K78*IFERROR(VLOOKUP(A78,Biogasanlæg!$F$3:$G$8,2,FALSE),1)</f>
        <v>0</v>
      </c>
      <c r="U78" s="170">
        <f t="shared" si="12"/>
        <v>3.063860144434527</v>
      </c>
      <c r="V78" s="169">
        <f>P78*IFERROR(VLOOKUP(A78,[1]Tørstofindhold!A$2:B$24,2,FALSE),0)</f>
        <v>256032.88115051755</v>
      </c>
      <c r="W78">
        <f>IF(E78=År1,Q78,SUM(P78,Q78))*IFERROR(VLOOKUP(A78,[1]Tørstofindhold!A$2:B$24,2,FALSE),0)</f>
        <v>256032.88115051755</v>
      </c>
      <c r="X78">
        <f>K78*IFERROR(VLOOKUP(A78,[1]Tørstofindhold!A$2:B$24,2,FALSE),0)</f>
        <v>0</v>
      </c>
      <c r="Y78" s="170">
        <f t="shared" si="13"/>
        <v>256032.88115051755</v>
      </c>
      <c r="Z78">
        <f t="shared" si="23"/>
        <v>0</v>
      </c>
      <c r="AA78">
        <f t="shared" si="24"/>
        <v>1</v>
      </c>
      <c r="AB78" s="94">
        <f t="shared" si="25"/>
        <v>853442.93716839189</v>
      </c>
      <c r="AC78">
        <f>AB78*D78*10000*VLOOKUP(A78,[1]kcal!$A$2:$C$49,3,FALSE)/1000000000000</f>
        <v>0.77663307282323657</v>
      </c>
    </row>
    <row r="79" spans="1:29" x14ac:dyDescent="0.25">
      <c r="A79" s="171" t="str">
        <f t="shared" si="18"/>
        <v>Mejeriprodukter</v>
      </c>
      <c r="B79" s="171" t="str">
        <f t="shared" si="19"/>
        <v/>
      </c>
      <c r="C79" s="171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0</v>
      </c>
      <c r="D79" s="171">
        <f t="shared" si="21"/>
        <v>1</v>
      </c>
      <c r="E79" s="171">
        <f t="shared" si="20"/>
        <v>2030</v>
      </c>
      <c r="F79" t="s">
        <v>23</v>
      </c>
      <c r="G79" s="94">
        <f>IF(F79="Vestdanmark",SUMIFS(IF(E79=År1,'Resultater - Vestdanmark'!H$3:H$504,IF(E79=År2,'Resultater - Vestdanmark'!I$3:I$504,'Resultater - Vestdanmark'!J$3:J$504)),'Resultater - Vestdanmark'!$F$3:$F$504,$A79,IF(E79=År1,'Resultater - Vestdanmark'!H$3:H$504,IF(E79=År2,'Resultater - Vestdanmark'!I$3:I$504,'Resultater - Vestdanmark'!J$3:J$504)),"&gt;0"),SUMIFS(IF(E79=År1,'Resultater - Østdanmark'!H$3:H$504,IF(E79=År2,'Resultater - Østdanmark'!I$3:I$504,'Resultater - Østdanmark'!J$3:J$504)),'Resultater - Østdanmark'!$F$3:$F$504,$A79,IF(E79=År1,'Resultater - Østdanmark'!H$3:H$504,IF(E79=År2,'Resultater - Østdanmark'!I$3:I$504,'Resultater - Østdanmark'!J$3:J$504)),"&gt;0"))</f>
        <v>1852201.4318158275</v>
      </c>
      <c r="H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forbrug'!H$3,'Forbrug af biomasse'!$B$2:$B$425,$F79)</f>
        <v>0</v>
      </c>
      <c r="I79">
        <f>IF(F79="Vestdanmark",-IF(A79="Halm",SUMIFS(IF(E79=År1,'Resultater - Vestdanmark'!H$3:H$504,IF(E79=År2,'Resultater - Vestdanmark'!I$3:I$504,'Resultater - Vestdanmark'!J$3:J$504)),'Resultater - Vestdanmark'!$F$3:$F$504,$A79,'Resultater - Vestdanmark'!H$3:H$504,"&lt;0"),0),-IF(A79="Halm",SUMIFS(IF(E79=År1,'Resultater - Østdanmark'!H$3:H$504,IF(E79=År2,'Resultater - Østdanmark'!I$3:I$504,'Resultater - Østdanmark'!J$3:J$504)),'Resultater - Østdanmark'!$F$3:$F$504,$A79,'Resultater - Østdanmark'!H$3:H$504,"&lt;0"),0))</f>
        <v>0</v>
      </c>
      <c r="J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forbrug'!J$3,'Forbrug af biomasse'!$B$2:$B$425,$F79)</f>
        <v>472406.87601849809</v>
      </c>
      <c r="K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forbrug'!K$3,'Forbrug af biomasse'!$B$2:$B$425,$F79)</f>
        <v>0</v>
      </c>
      <c r="L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forbrug'!L$3,'Forbrug af biomasse'!$B$2:$B$425,$F79)</f>
        <v>0</v>
      </c>
      <c r="M79" s="94">
        <f>IF(A79&lt;&gt;"Biogas",SUMIFS('Forbrug af biomasse'!$E$2:$E$425,'Forbrug af biomasse'!$C$2:$C$425,'Resultat-Produktion &amp; forbrug'!$A79,'Forbrug af biomasse'!$D$2:$D$425,'Resultat-Produktion &amp; forbrug'!$E79,'Forbrug af biomasse'!$A$2:$A$425,'Resultat-Produktion &amp; forbrug'!M$3,'Forbrug af biomasse'!$B$2:$B$425,$F79),G79)</f>
        <v>0</v>
      </c>
      <c r="N79" s="94">
        <f>SUMIFS('Forbrug af biomasse'!E:E,'Forbrug af biomasse'!C:C,'Resultat-Produktion &amp; forbrug'!$A79,'Forbrug af biomasse'!D:D,'Resultat-Produktion &amp; forbrug'!$E79,'Forbrug af biomasse'!G:G,1,'Forbrug af biomasse'!B:B,$F79)</f>
        <v>0</v>
      </c>
      <c r="O79" s="179">
        <f t="shared" si="10"/>
        <v>1379794.5557973294</v>
      </c>
      <c r="P79" s="94">
        <f t="shared" si="22"/>
        <v>0</v>
      </c>
      <c r="Q79" s="180">
        <f t="shared" si="11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IF(A79&lt;&gt;"Biogas",IFERROR(VLOOKUP(A79,[1]Biogasudbytte!$A$2:$B$18,2,FALSE)*[1]Energiindhold!$C$10,0)*K79*IFERROR(VLOOKUP(A79,Biogasanlæg!$F$3:$G$8,2,FALSE),1)+IFERROR(VLOOKUP(A79,[1]Energiindhold!$A$2:$C$11,3,FALSE),0)*M79+IF(E79&lt;&gt;År1,R79,0),0)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12"/>
        <v>0</v>
      </c>
      <c r="V79" s="169">
        <f>P79*IFERROR(VLOOKUP(A79,[1]Tørstofindhold!A$2:B$24,2,FALSE),0)</f>
        <v>0</v>
      </c>
      <c r="W79">
        <f>IF(E79=År1,Q79,SUM(P79,Q79))*IFERROR(VLOOKUP(A79,[1]Tørstofindhold!A$2:B$24,2,FALSE),0)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13"/>
        <v>0</v>
      </c>
      <c r="Z79">
        <f t="shared" si="23"/>
        <v>0</v>
      </c>
      <c r="AA79">
        <f t="shared" si="24"/>
        <v>1</v>
      </c>
      <c r="AB79" s="94">
        <f t="shared" si="25"/>
        <v>1852201.4318158275</v>
      </c>
      <c r="AC79">
        <f>AB79*D79*10000*VLOOKUP(A79,[1]kcal!$A$2:$C$49,3,FALSE)/1000000000000</f>
        <v>1.1668869020439714</v>
      </c>
    </row>
    <row r="80" spans="1:29" x14ac:dyDescent="0.25">
      <c r="A80" s="171" t="str">
        <f t="shared" si="18"/>
        <v>Muslinger</v>
      </c>
      <c r="B80" s="171" t="str">
        <f t="shared" si="19"/>
        <v>Havbiomasse</v>
      </c>
      <c r="C80" s="171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1</v>
      </c>
      <c r="D80" s="171">
        <f t="shared" si="21"/>
        <v>1</v>
      </c>
      <c r="E80" s="171">
        <f t="shared" si="20"/>
        <v>2030</v>
      </c>
      <c r="F80" t="s">
        <v>23</v>
      </c>
      <c r="G80" s="94">
        <f>IF(F80="Vestdanmark",SUMIFS(IF(E80=År1,'Resultater - Vestdanmark'!H$3:H$504,IF(E80=År2,'Resultater - Vestdanmark'!I$3:I$504,'Resultater - Vestdanmark'!J$3:J$504)),'Resultater - Vestdanmark'!$F$3:$F$504,$A80,IF(E80=År1,'Resultater - Vestdanmark'!H$3:H$504,IF(E80=År2,'Resultater - Vestdanmark'!I$3:I$504,'Resultater - Vestdanmark'!J$3:J$504)),"&gt;0"),SUMIFS(IF(E80=År1,'Resultater - Østdanmark'!H$3:H$504,IF(E80=År2,'Resultater - Østdanmark'!I$3:I$504,'Resultater - Østdanmark'!J$3:J$504)),'Resultater - Østdanmark'!$F$3:$F$504,$A80,IF(E80=År1,'Resultater - Østdanmark'!H$3:H$504,IF(E80=År2,'Resultater - Østdanmark'!I$3:I$504,'Resultater - Østdanmark'!J$3:J$504)),"&gt;0"))</f>
        <v>878.90231344976178</v>
      </c>
      <c r="H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forbrug'!H$3,'Forbrug af biomasse'!$B$2:$B$425,$F80)</f>
        <v>0</v>
      </c>
      <c r="I80">
        <f>IF(F80="Vestdanmark",-IF(A80="Halm",SUMIFS(IF(E80=År1,'Resultater - Vestdanmark'!H$3:H$504,IF(E80=År2,'Resultater - Vestdanmark'!I$3:I$504,'Resultater - Vestdanmark'!J$3:J$504)),'Resultater - Vestdanmark'!$F$3:$F$504,$A80,'Resultater - Vestdanmark'!H$3:H$504,"&lt;0"),0),-IF(A80="Halm",SUMIFS(IF(E80=År1,'Resultater - Østdanmark'!H$3:H$504,IF(E80=År2,'Resultater - Østdanmark'!I$3:I$504,'Resultater - Østdanmark'!J$3:J$504)),'Resultater - Østdanmark'!$F$3:$F$504,$A80,'Resultater - Østdanmark'!H$3:H$504,"&lt;0"),0))</f>
        <v>0</v>
      </c>
      <c r="J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forbrug'!J$3,'Forbrug af biomasse'!$B$2:$B$425,$F80)</f>
        <v>0</v>
      </c>
      <c r="K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forbrug'!K$3,'Forbrug af biomasse'!$B$2:$B$425,$F80)</f>
        <v>0</v>
      </c>
      <c r="L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forbrug'!L$3,'Forbrug af biomasse'!$B$2:$B$425,$F80)</f>
        <v>0</v>
      </c>
      <c r="M80" s="94">
        <f>IF(A80&lt;&gt;"Biogas",SUMIFS('Forbrug af biomasse'!$E$2:$E$425,'Forbrug af biomasse'!$C$2:$C$425,'Resultat-Produktion &amp; forbrug'!$A80,'Forbrug af biomasse'!$D$2:$D$425,'Resultat-Produktion &amp; forbrug'!$E80,'Forbrug af biomasse'!$A$2:$A$425,'Resultat-Produktion &amp; forbrug'!M$3,'Forbrug af biomasse'!$B$2:$B$425,$F80),G80)</f>
        <v>0</v>
      </c>
      <c r="N80" s="94">
        <f>SUMIFS('Forbrug af biomasse'!E:E,'Forbrug af biomasse'!C:C,'Resultat-Produktion &amp; forbrug'!$A80,'Forbrug af biomasse'!D:D,'Resultat-Produktion &amp; forbrug'!$E80,'Forbrug af biomasse'!G:G,1,'Forbrug af biomasse'!B:B,$F80)</f>
        <v>0</v>
      </c>
      <c r="O80" s="179">
        <f t="shared" si="10"/>
        <v>878.90231344976178</v>
      </c>
      <c r="P80" s="94">
        <f t="shared" si="22"/>
        <v>878.90231344976178</v>
      </c>
      <c r="Q80" s="180">
        <f t="shared" si="11"/>
        <v>0</v>
      </c>
      <c r="R80">
        <f>IFERROR(VLOOKUP(A80,[1]Energiindhold!$A$2:$C$11,3,FALSE),IFERROR(VLOOKUP(A80,[1]Biogasudbytte!$A$2:$B$18,2,FALSE)*[1]Energiindhold!$C$10,0))*P80</f>
        <v>7.8881482632116122E-4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IF(A80&lt;&gt;"Biogas",IFERROR(VLOOKUP(A80,[1]Biogasudbytte!$A$2:$B$18,2,FALSE)*[1]Energiindhold!$C$10,0)*K80*IFERROR(VLOOKUP(A80,Biogasanlæg!$F$3:$G$8,2,FALSE),1)+IFERROR(VLOOKUP(A80,[1]Energiindhold!$A$2:$C$11,3,FALSE),0)*M80+IF(E80&lt;&gt;År1,R80,0),0)</f>
        <v>7.8881482632116122E-4</v>
      </c>
      <c r="T80">
        <f>IFERROR(VLOOKUP(A80,[1]Biogasudbytte!$A$2:$B$18,2,FALSE)*[1]Energiindhold!$C$10,0)*K80*IFERROR(VLOOKUP(A80,Biogasanlæg!$F$3:$G$8,2,FALSE),1)</f>
        <v>0</v>
      </c>
      <c r="U80" s="170">
        <f t="shared" si="12"/>
        <v>7.8881482632116122E-4</v>
      </c>
      <c r="V80" s="169">
        <f>P80*IFERROR(VLOOKUP(A80,[1]Tørstofindhold!A$2:B$24,2,FALSE),0)</f>
        <v>131.83534701746427</v>
      </c>
      <c r="W80">
        <f>IF(E80=År1,Q80,SUM(P80,Q80))*IFERROR(VLOOKUP(A80,[1]Tørstofindhold!A$2:B$24,2,FALSE),0)</f>
        <v>131.83534701746427</v>
      </c>
      <c r="X80">
        <f>K80*IFERROR(VLOOKUP(A80,[1]Tørstofindhold!A$2:B$24,2,FALSE),0)</f>
        <v>0</v>
      </c>
      <c r="Y80" s="170">
        <f t="shared" si="13"/>
        <v>131.83534701746427</v>
      </c>
      <c r="Z80">
        <f t="shared" si="23"/>
        <v>0</v>
      </c>
      <c r="AA80">
        <f t="shared" si="24"/>
        <v>1</v>
      </c>
      <c r="AB80" s="94">
        <f t="shared" si="25"/>
        <v>878.90231344976178</v>
      </c>
      <c r="AC80">
        <f>AB80*D80*10000*VLOOKUP(A80,[1]kcal!$A$2:$C$49,3,FALSE)/1000000000000</f>
        <v>7.2948892016330225E-4</v>
      </c>
    </row>
    <row r="81" spans="1:29" x14ac:dyDescent="0.25">
      <c r="A81" s="171" t="str">
        <f t="shared" si="18"/>
        <v>Oksekød</v>
      </c>
      <c r="B81" s="171" t="str">
        <f t="shared" si="19"/>
        <v/>
      </c>
      <c r="C81" s="171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71">
        <f t="shared" si="21"/>
        <v>1</v>
      </c>
      <c r="E81" s="171">
        <f t="shared" si="20"/>
        <v>2030</v>
      </c>
      <c r="F81" t="s">
        <v>23</v>
      </c>
      <c r="G81" s="94">
        <f>IF(F81="Vestdanmark",SUMIFS(IF(E81=År1,'Resultater - Vestdanmark'!H$3:H$504,IF(E81=År2,'Resultater - Vestdanmark'!I$3:I$504,'Resultater - Vestdanmark'!J$3:J$504)),'Resultater - Vestdanmark'!$F$3:$F$504,$A81,IF(E81=År1,'Resultater - Vestdanmark'!H$3:H$504,IF(E81=År2,'Resultater - Vestdanmark'!I$3:I$504,'Resultater - Vestdanmark'!J$3:J$504)),"&gt;0"),SUMIFS(IF(E81=År1,'Resultater - Østdanmark'!H$3:H$504,IF(E81=År2,'Resultater - Østdanmark'!I$3:I$504,'Resultater - Østdanmark'!J$3:J$504)),'Resultater - Østdanmark'!$F$3:$F$504,$A81,IF(E81=År1,'Resultater - Østdanmark'!H$3:H$504,IF(E81=År2,'Resultater - Østdanmark'!I$3:I$504,'Resultater - Østdanmark'!J$3:J$504)),"&gt;0"))</f>
        <v>56168.51594495419</v>
      </c>
      <c r="H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forbrug'!H$3,'Forbrug af biomasse'!$B$2:$B$425,$F81)</f>
        <v>0</v>
      </c>
      <c r="I81">
        <f>IF(F81="Vestdanmark",-IF(A81="Halm",SUMIFS(IF(E81=År1,'Resultater - Vestdanmark'!H$3:H$504,IF(E81=År2,'Resultater - Vestdanmark'!I$3:I$504,'Resultater - Vestdanmark'!J$3:J$504)),'Resultater - Vestdanmark'!$F$3:$F$504,$A81,'Resultater - Vestdanmark'!H$3:H$504,"&lt;0"),0),-IF(A81="Halm",SUMIFS(IF(E81=År1,'Resultater - Østdanmark'!H$3:H$504,IF(E81=År2,'Resultater - Østdanmark'!I$3:I$504,'Resultater - Østdanmark'!J$3:J$504)),'Resultater - Østdanmark'!$F$3:$F$504,$A81,'Resultater - Østdanmark'!H$3:H$504,"&lt;0"),0))</f>
        <v>0</v>
      </c>
      <c r="J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forbrug'!J$3,'Forbrug af biomasse'!$B$2:$B$425,$F81)</f>
        <v>60028.253038902265</v>
      </c>
      <c r="K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forbrug'!K$3,'Forbrug af biomasse'!$B$2:$B$425,$F81)</f>
        <v>0</v>
      </c>
      <c r="L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forbrug'!L$3,'Forbrug af biomasse'!$B$2:$B$425,$F81)</f>
        <v>0</v>
      </c>
      <c r="M81" s="94">
        <f>IF(A81&lt;&gt;"Biogas",SUMIFS('Forbrug af biomasse'!$E$2:$E$425,'Forbrug af biomasse'!$C$2:$C$425,'Resultat-Produktion &amp; forbrug'!$A81,'Forbrug af biomasse'!$D$2:$D$425,'Resultat-Produktion &amp; forbrug'!$E81,'Forbrug af biomasse'!$A$2:$A$425,'Resultat-Produktion &amp; forbrug'!M$3,'Forbrug af biomasse'!$B$2:$B$425,$F81),G81)</f>
        <v>0</v>
      </c>
      <c r="N81" s="94">
        <f>SUMIFS('Forbrug af biomasse'!E:E,'Forbrug af biomasse'!C:C,'Resultat-Produktion &amp; forbrug'!$A81,'Forbrug af biomasse'!D:D,'Resultat-Produktion &amp; forbrug'!$E81,'Forbrug af biomasse'!G:G,1,'Forbrug af biomasse'!B:B,$F81)</f>
        <v>0</v>
      </c>
      <c r="O81" s="179">
        <f t="shared" si="10"/>
        <v>-3859.7370939480752</v>
      </c>
      <c r="P81" s="94">
        <f t="shared" si="22"/>
        <v>0</v>
      </c>
      <c r="Q81" s="180">
        <f t="shared" si="11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IF(A81&lt;&gt;"Biogas",IFERROR(VLOOKUP(A81,[1]Biogasudbytte!$A$2:$B$18,2,FALSE)*[1]Energiindhold!$C$10,0)*K81*IFERROR(VLOOKUP(A81,Biogasanlæg!$F$3:$G$8,2,FALSE),1)+IFERROR(VLOOKUP(A81,[1]Energiindhold!$A$2:$C$11,3,FALSE),0)*M81+IF(E81&lt;&gt;År1,R81,0),0)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12"/>
        <v>0</v>
      </c>
      <c r="V81" s="169">
        <f>P81*IFERROR(VLOOKUP(A81,[1]Tørstofindhold!A$2:B$24,2,FALSE),0)</f>
        <v>0</v>
      </c>
      <c r="W81">
        <f>IF(E81=År1,Q81,SUM(P81,Q81))*IFERROR(VLOOKUP(A81,[1]Tørstofindhold!A$2:B$24,2,FALSE),0)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13"/>
        <v>0</v>
      </c>
      <c r="Z81">
        <f t="shared" si="23"/>
        <v>1</v>
      </c>
      <c r="AA81">
        <f t="shared" si="24"/>
        <v>0</v>
      </c>
      <c r="AB81" s="94">
        <f t="shared" si="25"/>
        <v>56168.51594495419</v>
      </c>
      <c r="AC81">
        <f>AB81*D81*10000*VLOOKUP(A81,[1]kcal!$A$2:$C$49,3,FALSE)/1000000000000</f>
        <v>0.10952860609266067</v>
      </c>
    </row>
    <row r="82" spans="1:29" x14ac:dyDescent="0.25">
      <c r="A82" s="171" t="str">
        <f t="shared" si="18"/>
        <v>Øvrige</v>
      </c>
      <c r="B82" s="171" t="str">
        <f t="shared" si="19"/>
        <v/>
      </c>
      <c r="C82" s="171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0</v>
      </c>
      <c r="D82" s="171">
        <f t="shared" si="21"/>
        <v>1</v>
      </c>
      <c r="E82" s="171">
        <f t="shared" si="20"/>
        <v>2030</v>
      </c>
      <c r="F82" t="s">
        <v>23</v>
      </c>
      <c r="G82" s="94">
        <f>IF(F82="Vestdanmark",SUMIFS(IF(E82=År1,'Resultater - Vestdanmark'!H$3:H$504,IF(E82=År2,'Resultater - Vestdanmark'!I$3:I$504,'Resultater - Vestdanmark'!J$3:J$504)),'Resultater - Vestdanmark'!$F$3:$F$504,$A82,IF(E82=År1,'Resultater - Vestdanmark'!H$3:H$504,IF(E82=År2,'Resultater - Vestdanmark'!I$3:I$504,'Resultater - Vestdanmark'!J$3:J$504)),"&gt;0"),SUMIFS(IF(E82=År1,'Resultater - Østdanmark'!H$3:H$504,IF(E82=År2,'Resultater - Østdanmark'!I$3:I$504,'Resultater - Østdanmark'!J$3:J$504)),'Resultater - Østdanmark'!$F$3:$F$504,$A82,IF(E82=År1,'Resultater - Østdanmark'!H$3:H$504,IF(E82=År2,'Resultater - Østdanmark'!I$3:I$504,'Resultater - Østdanmark'!J$3:J$504)),"&gt;0"))</f>
        <v>1479891.647259762</v>
      </c>
      <c r="H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forbrug'!H$3,'Forbrug af biomasse'!$B$2:$B$425,$F82)</f>
        <v>0</v>
      </c>
      <c r="I82">
        <f>IF(F82="Vestdanmark",-IF(A82="Halm",SUMIFS(IF(E82=År1,'Resultater - Vestdanmark'!H$3:H$504,IF(E82=År2,'Resultater - Vestdanmark'!I$3:I$504,'Resultater - Vestdanmark'!J$3:J$504)),'Resultater - Vestdanmark'!$F$3:$F$504,$A82,'Resultater - Vestdanmark'!H$3:H$504,"&lt;0"),0),-IF(A82="Halm",SUMIFS(IF(E82=År1,'Resultater - Østdanmark'!H$3:H$504,IF(E82=År2,'Resultater - Østdanmark'!I$3:I$504,'Resultater - Østdanmark'!J$3:J$504)),'Resultater - Østdanmark'!$F$3:$F$504,$A82,'Resultater - Østdanmark'!H$3:H$504,"&lt;0"),0))</f>
        <v>0</v>
      </c>
      <c r="J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forbrug'!J$3,'Forbrug af biomasse'!$B$2:$B$425,$F82)</f>
        <v>0</v>
      </c>
      <c r="K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forbrug'!K$3,'Forbrug af biomasse'!$B$2:$B$425,$F82)</f>
        <v>0</v>
      </c>
      <c r="L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forbrug'!L$3,'Forbrug af biomasse'!$B$2:$B$425,$F82)</f>
        <v>0</v>
      </c>
      <c r="M82" s="94">
        <f>IF(A82&lt;&gt;"Biogas",SUMIFS('Forbrug af biomasse'!$E$2:$E$425,'Forbrug af biomasse'!$C$2:$C$425,'Resultat-Produktion &amp; forbrug'!$A82,'Forbrug af biomasse'!$D$2:$D$425,'Resultat-Produktion &amp; forbrug'!$E82,'Forbrug af biomasse'!$A$2:$A$425,'Resultat-Produktion &amp; forbrug'!M$3,'Forbrug af biomasse'!$B$2:$B$425,$F82),G82)</f>
        <v>0</v>
      </c>
      <c r="N82" s="94">
        <f>SUMIFS('Forbrug af biomasse'!E:E,'Forbrug af biomasse'!C:C,'Resultat-Produktion &amp; forbrug'!$A82,'Forbrug af biomasse'!D:D,'Resultat-Produktion &amp; forbrug'!$E82,'Forbrug af biomasse'!G:G,1,'Forbrug af biomasse'!B:B,$F82)</f>
        <v>0</v>
      </c>
      <c r="O82" s="179">
        <f t="shared" si="10"/>
        <v>1479891.647259762</v>
      </c>
      <c r="P82" s="94">
        <f t="shared" si="22"/>
        <v>0</v>
      </c>
      <c r="Q82" s="180">
        <f t="shared" si="11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IF(A82&lt;&gt;"Biogas",IFERROR(VLOOKUP(A82,[1]Biogasudbytte!$A$2:$B$18,2,FALSE)*[1]Energiindhold!$C$10,0)*K82*IFERROR(VLOOKUP(A82,Biogasanlæg!$F$3:$G$8,2,FALSE),1)+IFERROR(VLOOKUP(A82,[1]Energiindhold!$A$2:$C$11,3,FALSE),0)*M82+IF(E82&lt;&gt;År1,R82,0),0)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12"/>
        <v>0</v>
      </c>
      <c r="V82" s="169">
        <f>P82*IFERROR(VLOOKUP(A82,[1]Tørstofindhold!A$2:B$24,2,FALSE),0)</f>
        <v>0</v>
      </c>
      <c r="W82">
        <f>IF(E82=År1,Q82,SUM(P82,Q82))*IFERROR(VLOOKUP(A82,[1]Tørstofindhold!A$2:B$24,2,FALSE),0)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13"/>
        <v>0</v>
      </c>
      <c r="Z82">
        <f t="shared" si="23"/>
        <v>0</v>
      </c>
      <c r="AA82">
        <f t="shared" si="24"/>
        <v>1</v>
      </c>
      <c r="AB82" s="94">
        <f t="shared" si="25"/>
        <v>1479891.647259762</v>
      </c>
      <c r="AC82">
        <f>AB82*D82*10000*VLOOKUP(A82,[1]kcal!$A$2:$C$49,3,FALSE)/1000000000000</f>
        <v>0.57715774243130713</v>
      </c>
    </row>
    <row r="83" spans="1:29" x14ac:dyDescent="0.25">
      <c r="A83" s="171" t="str">
        <f t="shared" si="18"/>
        <v>Pil &amp; poppel</v>
      </c>
      <c r="B83" s="171" t="str">
        <f t="shared" si="19"/>
        <v>Vedmasse</v>
      </c>
      <c r="C83" s="171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71">
        <f t="shared" si="21"/>
        <v>0</v>
      </c>
      <c r="E83" s="171">
        <f t="shared" si="20"/>
        <v>2030</v>
      </c>
      <c r="F83" t="s">
        <v>23</v>
      </c>
      <c r="G83" s="94">
        <f>IF(F83="Vestdanmark",SUMIFS(IF(E83=År1,'Resultater - Vestdanmark'!H$3:H$504,IF(E83=År2,'Resultater - Vestdanmark'!I$3:I$504,'Resultater - Vestdanmark'!J$3:J$504)),'Resultater - Vestdanmark'!$F$3:$F$504,$A83,IF(E83=År1,'Resultater - Vestdanmark'!H$3:H$504,IF(E83=År2,'Resultater - Vestdanmark'!I$3:I$504,'Resultater - Vestdanmark'!J$3:J$504)),"&gt;0"),SUMIFS(IF(E83=År1,'Resultater - Østdanmark'!H$3:H$504,IF(E83=År2,'Resultater - Østdanmark'!I$3:I$504,'Resultater - Østdanmark'!J$3:J$504)),'Resultater - Østdanmark'!$F$3:$F$504,$A83,IF(E83=År1,'Resultater - Østdanmark'!H$3:H$504,IF(E83=År2,'Resultater - Østdanmark'!I$3:I$504,'Resultater - Østdanmark'!J$3:J$504)),"&gt;0"))</f>
        <v>151285.23145276494</v>
      </c>
      <c r="H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forbrug'!H$3,'Forbrug af biomasse'!$B$2:$B$425,$F83)</f>
        <v>0</v>
      </c>
      <c r="I83">
        <f>IF(F83="Vestdanmark",-IF(A83="Halm",SUMIFS(IF(E83=År1,'Resultater - Vestdanmark'!H$3:H$504,IF(E83=År2,'Resultater - Vestdanmark'!I$3:I$504,'Resultater - Vestdanmark'!J$3:J$504)),'Resultater - Vestdanmark'!$F$3:$F$504,$A83,'Resultater - Vestdanmark'!H$3:H$504,"&lt;0"),0),-IF(A83="Halm",SUMIFS(IF(E83=År1,'Resultater - Østdanmark'!H$3:H$504,IF(E83=År2,'Resultater - Østdanmark'!I$3:I$504,'Resultater - Østdanmark'!J$3:J$504)),'Resultater - Østdanmark'!$F$3:$F$504,$A83,'Resultater - Østdanmark'!H$3:H$504,"&lt;0"),0))</f>
        <v>0</v>
      </c>
      <c r="J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forbrug'!J$3,'Forbrug af biomasse'!$B$2:$B$425,$F83)</f>
        <v>0</v>
      </c>
      <c r="K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forbrug'!K$3,'Forbrug af biomasse'!$B$2:$B$425,$F83)</f>
        <v>0</v>
      </c>
      <c r="L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forbrug'!L$3,'Forbrug af biomasse'!$B$2:$B$425,$F83)</f>
        <v>0</v>
      </c>
      <c r="M83" s="94">
        <f>IF(A83&lt;&gt;"Biogas",SUMIFS('Forbrug af biomasse'!$E$2:$E$425,'Forbrug af biomasse'!$C$2:$C$425,'Resultat-Produktion &amp; forbrug'!$A83,'Forbrug af biomasse'!$D$2:$D$425,'Resultat-Produktion &amp; forbrug'!$E83,'Forbrug af biomasse'!$A$2:$A$425,'Resultat-Produktion &amp; forbrug'!M$3,'Forbrug af biomasse'!$B$2:$B$425,$F83),G83)</f>
        <v>151285.23145276494</v>
      </c>
      <c r="N83" s="94">
        <f>SUMIFS('Forbrug af biomasse'!E:E,'Forbrug af biomasse'!C:C,'Resultat-Produktion &amp; forbrug'!$A83,'Forbrug af biomasse'!D:D,'Resultat-Produktion &amp; forbrug'!$E83,'Forbrug af biomasse'!G:G,1,'Forbrug af biomasse'!B:B,$F83)</f>
        <v>0</v>
      </c>
      <c r="O83" s="179">
        <f t="shared" ref="O83:O150" si="26">G83-SUM(H83:N83)</f>
        <v>0</v>
      </c>
      <c r="P83" s="94">
        <f t="shared" si="22"/>
        <v>0</v>
      </c>
      <c r="Q83" s="180">
        <f t="shared" ref="Q83:Q150" si="27">SUM(K83,M83)</f>
        <v>151285.23145276494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IF(A83&lt;&gt;"Biogas",IFERROR(VLOOKUP(A83,[1]Biogasudbytte!$A$2:$B$18,2,FALSE)*[1]Energiindhold!$C$10,0)*K83*IFERROR(VLOOKUP(A83,Biogasanlæg!$F$3:$G$8,2,FALSE),1)+IFERROR(VLOOKUP(A83,[1]Energiindhold!$A$2:$C$11,3,FALSE),0)*M83+IF(E83&lt;&gt;År1,R83,0),0)</f>
        <v>2.7836482587308744</v>
      </c>
      <c r="T83">
        <f>IFERROR(VLOOKUP(A83,[1]Biogasudbytte!$A$2:$B$18,2,FALSE)*[1]Energiindhold!$C$10,0)*K83*IFERROR(VLOOKUP(A83,Biogasanlæg!$F$3:$G$8,2,FALSE),1)</f>
        <v>0</v>
      </c>
      <c r="U83" s="170">
        <f t="shared" ref="U83:U150" si="28">S83-T83</f>
        <v>2.7836482587308744</v>
      </c>
      <c r="V83" s="169">
        <f>P83*IFERROR(VLOOKUP(A83,[1]Tørstofindhold!A$2:B$24,2,FALSE),0)</f>
        <v>0</v>
      </c>
      <c r="W83">
        <f>IF(E83=År1,Q83,SUM(P83,Q83))*IFERROR(VLOOKUP(A83,[1]Tørstofindhold!A$2:B$24,2,FALSE),0)</f>
        <v>62783.371052897455</v>
      </c>
      <c r="X83">
        <f>K83*IFERROR(VLOOKUP(A83,[1]Tørstofindhold!A$2:B$24,2,FALSE),0)</f>
        <v>0</v>
      </c>
      <c r="Y83" s="170">
        <f t="shared" ref="Y83:Y150" si="29">W83-X83</f>
        <v>62783.371052897455</v>
      </c>
      <c r="Z83">
        <f t="shared" si="23"/>
        <v>0</v>
      </c>
      <c r="AA83">
        <f t="shared" si="24"/>
        <v>0</v>
      </c>
      <c r="AB83" s="94">
        <f t="shared" si="25"/>
        <v>151285.23145276494</v>
      </c>
      <c r="AC83">
        <f>AB83*D83*10000*VLOOKUP(A83,[1]kcal!$A$2:$C$49,3,FALSE)/1000000000000</f>
        <v>0</v>
      </c>
    </row>
    <row r="84" spans="1:29" x14ac:dyDescent="0.25">
      <c r="A84" s="171" t="str">
        <f t="shared" ref="A84:A85" si="30">A36</f>
        <v>Pyrolysegas</v>
      </c>
      <c r="B84" s="171" t="str">
        <f t="shared" ref="B84:B85" si="31">IF(B36&lt;&gt;"",B36,"")</f>
        <v>Pyrolyseprodukter</v>
      </c>
      <c r="C84" s="171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71">
        <f t="shared" si="21"/>
        <v>0</v>
      </c>
      <c r="E84" s="171">
        <f t="shared" si="20"/>
        <v>2030</v>
      </c>
      <c r="F84" t="s">
        <v>23</v>
      </c>
      <c r="G84" s="94">
        <f>IF(F84="Vestdanmark",SUMIFS(IF(E84=År1,'Resultater - Vestdanmark'!H$3:H$504,IF(E84=År2,'Resultater - Vestdanmark'!I$3:I$504,'Resultater - Vestdanmark'!J$3:J$504)),'Resultater - Vestdanmark'!$F$3:$F$504,$A84,IF(E84=År1,'Resultater - Vestdanmark'!H$3:H$504,IF(E84=År2,'Resultater - Vestdanmark'!I$3:I$504,'Resultater - Vestdanmark'!J$3:J$504)),"&gt;0"),SUMIFS(IF(E84=År1,'Resultater - Østdanmark'!H$3:H$504,IF(E84=År2,'Resultater - Østdanmark'!I$3:I$504,'Resultater - Østdanmark'!J$3:J$504)),'Resultater - Østdanmark'!$F$3:$F$504,$A84,IF(E84=År1,'Resultater - Østdanmark'!H$3:H$504,IF(E84=År2,'Resultater - Østdanmark'!I$3:I$504,'Resultater - Østdanmark'!J$3:J$504)),"&gt;0"))</f>
        <v>0</v>
      </c>
      <c r="H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forbrug'!H$3,'Forbrug af biomasse'!$B$2:$B$425,$F84)</f>
        <v>0</v>
      </c>
      <c r="I84">
        <f>IF(F84="Vestdanmark",-IF(A84="Halm",SUMIFS(IF(E84=År1,'Resultater - Vestdanmark'!H$3:H$504,IF(E84=År2,'Resultater - Vestdanmark'!I$3:I$504,'Resultater - Vestdanmark'!J$3:J$504)),'Resultater - Vestdanmark'!$F$3:$F$504,$A84,'Resultater - Vestdanmark'!H$3:H$504,"&lt;0"),0),-IF(A84="Halm",SUMIFS(IF(E84=År1,'Resultater - Østdanmark'!H$3:H$504,IF(E84=År2,'Resultater - Østdanmark'!I$3:I$504,'Resultater - Østdanmark'!J$3:J$504)),'Resultater - Østdanmark'!$F$3:$F$504,$A84,'Resultater - Østdanmark'!H$3:H$504,"&lt;0"),0))</f>
        <v>0</v>
      </c>
      <c r="J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forbrug'!J$3,'Forbrug af biomasse'!$B$2:$B$425,$F84)</f>
        <v>0</v>
      </c>
      <c r="K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forbrug'!K$3,'Forbrug af biomasse'!$B$2:$B$425,$F84)</f>
        <v>0</v>
      </c>
      <c r="L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forbrug'!L$3,'Forbrug af biomasse'!$B$2:$B$425,$F84)</f>
        <v>0</v>
      </c>
      <c r="M84" s="94">
        <f>IF(A84&lt;&gt;"Biogas",SUMIFS('Forbrug af biomasse'!$E$2:$E$425,'Forbrug af biomasse'!$C$2:$C$425,'Resultat-Produktion &amp; forbrug'!$A84,'Forbrug af biomasse'!$D$2:$D$425,'Resultat-Produktion &amp; forbrug'!$E84,'Forbrug af biomasse'!$A$2:$A$425,'Resultat-Produktion &amp; forbrug'!M$3,'Forbrug af biomasse'!$B$2:$B$425,$F84),G84)</f>
        <v>0</v>
      </c>
      <c r="N84" s="94">
        <f>SUMIFS('Forbrug af biomasse'!E:E,'Forbrug af biomasse'!C:C,'Resultat-Produktion &amp; forbrug'!$A84,'Forbrug af biomasse'!D:D,'Resultat-Produktion &amp; forbrug'!$E84,'Forbrug af biomasse'!G:G,1,'Forbrug af biomasse'!B:B,$F84)</f>
        <v>0</v>
      </c>
      <c r="O84" s="179">
        <f t="shared" ref="O84:O85" si="32">G84-SUM(H84:N84)</f>
        <v>0</v>
      </c>
      <c r="P84" s="94">
        <f t="shared" si="22"/>
        <v>0</v>
      </c>
      <c r="Q84" s="180">
        <f t="shared" ref="Q84:Q85" si="33">SUM(K84,M84)</f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IF(A84&lt;&gt;"Biogas",IFERROR(VLOOKUP(A84,[1]Biogasudbytte!$A$2:$B$18,2,FALSE)*[1]Energiindhold!$C$10,0)*K84*IFERROR(VLOOKUP(A84,Biogasanlæg!$F$3:$G$8,2,FALSE),1)+IFERROR(VLOOKUP(A84,[1]Energiindhold!$A$2:$C$11,3,FALSE),0)*M84+IF(E84&lt;&gt;År1,R84,0),0)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ref="U84:U85" si="34">S84-T84</f>
        <v>0</v>
      </c>
      <c r="V84" s="169">
        <f>P84*IFERROR(VLOOKUP(A84,[1]Tørstofindhold!A$2:B$24,2,FALSE),0)</f>
        <v>0</v>
      </c>
      <c r="W84">
        <f>IF(E84=År1,Q84,SUM(P84,Q84))*IFERROR(VLOOKUP(A84,[1]Tørstofindhold!A$2:B$24,2,FALSE),0)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ref="Y84:Y85" si="35">W84-X84</f>
        <v>0</v>
      </c>
      <c r="Z84">
        <f t="shared" si="23"/>
        <v>0</v>
      </c>
      <c r="AA84">
        <f t="shared" si="24"/>
        <v>0</v>
      </c>
      <c r="AB84" s="94">
        <f t="shared" si="25"/>
        <v>0</v>
      </c>
      <c r="AC84">
        <f>AB84*D84*10000*VLOOKUP(A84,[1]kcal!$A$2:$C$49,3,FALSE)/1000000000000</f>
        <v>0</v>
      </c>
    </row>
    <row r="85" spans="1:29" x14ac:dyDescent="0.25">
      <c r="A85" s="171" t="str">
        <f t="shared" si="30"/>
        <v>Pyrolyseolie</v>
      </c>
      <c r="B85" s="171" t="str">
        <f t="shared" si="31"/>
        <v>Pyrolyseprodukter</v>
      </c>
      <c r="C85" s="171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1</v>
      </c>
      <c r="D85" s="171">
        <f t="shared" si="21"/>
        <v>0</v>
      </c>
      <c r="E85" s="171">
        <f t="shared" si="20"/>
        <v>2030</v>
      </c>
      <c r="F85" t="s">
        <v>23</v>
      </c>
      <c r="G85" s="94">
        <f>IF(F85="Vestdanmark",SUMIFS(IF(E85=År1,'Resultater - Vestdanmark'!H$3:H$504,IF(E85=År2,'Resultater - Vestdanmark'!I$3:I$504,'Resultater - Vestdanmark'!J$3:J$504)),'Resultater - Vestdanmark'!$F$3:$F$504,$A85,IF(E85=År1,'Resultater - Vestdanmark'!H$3:H$504,IF(E85=År2,'Resultater - Vestdanmark'!I$3:I$504,'Resultater - Vestdanmark'!J$3:J$504)),"&gt;0"),SUMIFS(IF(E85=År1,'Resultater - Østdanmark'!H$3:H$504,IF(E85=År2,'Resultater - Østdanmark'!I$3:I$504,'Resultater - Østdanmark'!J$3:J$504)),'Resultater - Østdanmark'!$F$3:$F$504,$A85,IF(E85=År1,'Resultater - Østdanmark'!H$3:H$504,IF(E85=År2,'Resultater - Østdanmark'!I$3:I$504,'Resultater - Østdanmark'!J$3:J$504)),"&gt;0"))</f>
        <v>0</v>
      </c>
      <c r="H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forbrug'!H$3,'Forbrug af biomasse'!$B$2:$B$425,$F85)</f>
        <v>0</v>
      </c>
      <c r="I85">
        <f>IF(F85="Vestdanmark",-IF(A85="Halm",SUMIFS(IF(E85=År1,'Resultater - Vestdanmark'!H$3:H$504,IF(E85=År2,'Resultater - Vestdanmark'!I$3:I$504,'Resultater - Vestdanmark'!J$3:J$504)),'Resultater - Vestdanmark'!$F$3:$F$504,$A85,'Resultater - Vestdanmark'!H$3:H$504,"&lt;0"),0),-IF(A85="Halm",SUMIFS(IF(E85=År1,'Resultater - Østdanmark'!H$3:H$504,IF(E85=År2,'Resultater - Østdanmark'!I$3:I$504,'Resultater - Østdanmark'!J$3:J$504)),'Resultater - Østdanmark'!$F$3:$F$504,$A85,'Resultater - Østdanmark'!H$3:H$504,"&lt;0"),0))</f>
        <v>0</v>
      </c>
      <c r="J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forbrug'!J$3,'Forbrug af biomasse'!$B$2:$B$425,$F85)</f>
        <v>0</v>
      </c>
      <c r="K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forbrug'!K$3,'Forbrug af biomasse'!$B$2:$B$425,$F85)</f>
        <v>0</v>
      </c>
      <c r="L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forbrug'!L$3,'Forbrug af biomasse'!$B$2:$B$425,$F85)</f>
        <v>0</v>
      </c>
      <c r="M85" s="94">
        <f>IF(A85&lt;&gt;"Biogas",SUMIFS('Forbrug af biomasse'!$E$2:$E$425,'Forbrug af biomasse'!$C$2:$C$425,'Resultat-Produktion &amp; forbrug'!$A85,'Forbrug af biomasse'!$D$2:$D$425,'Resultat-Produktion &amp; forbrug'!$E85,'Forbrug af biomasse'!$A$2:$A$425,'Resultat-Produktion &amp; forbrug'!M$3,'Forbrug af biomasse'!$B$2:$B$425,$F85),G85)</f>
        <v>0</v>
      </c>
      <c r="N85" s="94">
        <f>SUMIFS('Forbrug af biomasse'!E:E,'Forbrug af biomasse'!C:C,'Resultat-Produktion &amp; forbrug'!$A85,'Forbrug af biomasse'!D:D,'Resultat-Produktion &amp; forbrug'!$E85,'Forbrug af biomasse'!G:G,1,'Forbrug af biomasse'!B:B,$F85)</f>
        <v>0</v>
      </c>
      <c r="O85" s="179">
        <f t="shared" si="32"/>
        <v>0</v>
      </c>
      <c r="P85" s="94">
        <f t="shared" si="22"/>
        <v>0</v>
      </c>
      <c r="Q85" s="180">
        <f t="shared" si="33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IF(A85&lt;&gt;"Biogas",IFERROR(VLOOKUP(A85,[1]Biogasudbytte!$A$2:$B$18,2,FALSE)*[1]Energiindhold!$C$10,0)*K85*IFERROR(VLOOKUP(A85,Biogasanlæg!$F$3:$G$8,2,FALSE),1)+IFERROR(VLOOKUP(A85,[1]Energiindhold!$A$2:$C$11,3,FALSE),0)*M85+IF(E85&lt;&gt;År1,R85,0),0)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34"/>
        <v>0</v>
      </c>
      <c r="V85" s="169">
        <f>P85*IFERROR(VLOOKUP(A85,[1]Tørstofindhold!A$2:B$24,2,FALSE),0)</f>
        <v>0</v>
      </c>
      <c r="W85">
        <f>IF(E85=År1,Q85,SUM(P85,Q85))*IFERROR(VLOOKUP(A85,[1]Tørstofindhold!A$2:B$24,2,FALSE),0)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si="35"/>
        <v>0</v>
      </c>
      <c r="Z85">
        <f t="shared" si="23"/>
        <v>0</v>
      </c>
      <c r="AA85">
        <f t="shared" si="24"/>
        <v>0</v>
      </c>
      <c r="AB85" s="94">
        <f t="shared" si="25"/>
        <v>0</v>
      </c>
      <c r="AC85">
        <f>AB85*D85*10000*VLOOKUP(A85,[1]kcal!$A$2:$C$49,3,FALSE)/1000000000000</f>
        <v>0</v>
      </c>
    </row>
    <row r="86" spans="1:29" x14ac:dyDescent="0.25">
      <c r="A86" s="171" t="str">
        <f t="shared" ref="A86:A131" si="36">A38</f>
        <v>Råmælk</v>
      </c>
      <c r="B86" s="171" t="str">
        <f t="shared" ref="B86:B131" si="37">IF(B38&lt;&gt;"",B38,"")</f>
        <v/>
      </c>
      <c r="C86" s="171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71">
        <f t="shared" si="21"/>
        <v>0</v>
      </c>
      <c r="E86" s="171">
        <f t="shared" si="20"/>
        <v>2030</v>
      </c>
      <c r="F86" t="s">
        <v>23</v>
      </c>
      <c r="G86" s="94">
        <f>IF(F86="Vestdanmark",SUMIFS(IF(E86=År1,'Resultater - Vestdanmark'!H$3:H$504,IF(E86=År2,'Resultater - Vestdanmark'!I$3:I$504,'Resultater - Vestdanmark'!J$3:J$504)),'Resultater - Vestdanmark'!$F$3:$F$504,$A86,IF(E86=År1,'Resultater - Vestdanmark'!H$3:H$504,IF(E86=År2,'Resultater - Vestdanmark'!I$3:I$504,'Resultater - Vestdanmark'!J$3:J$504)),"&gt;0"),SUMIFS(IF(E86=År1,'Resultater - Østdanmark'!H$3:H$504,IF(E86=År2,'Resultater - Østdanmark'!I$3:I$504,'Resultater - Østdanmark'!J$3:J$504)),'Resultater - Østdanmark'!$F$3:$F$504,$A86,IF(E86=År1,'Resultater - Østdanmark'!H$3:H$504,IF(E86=År2,'Resultater - Østdanmark'!I$3:I$504,'Resultater - Østdanmark'!J$3:J$504)),"&gt;0"))</f>
        <v>2884255.8246315583</v>
      </c>
      <c r="H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forbrug'!H$3,'Forbrug af biomasse'!$B$2:$B$425,$F86)</f>
        <v>0</v>
      </c>
      <c r="I86">
        <f>IF(F86="Vestdanmark",-IF(A86="Halm",SUMIFS(IF(E86=År1,'Resultater - Vestdanmark'!H$3:H$504,IF(E86=År2,'Resultater - Vestdanmark'!I$3:I$504,'Resultater - Vestdanmark'!J$3:J$504)),'Resultater - Vestdanmark'!$F$3:$F$504,$A86,'Resultater - Vestdanmark'!H$3:H$504,"&lt;0"),0),-IF(A86="Halm",SUMIFS(IF(E86=År1,'Resultater - Østdanmark'!H$3:H$504,IF(E86=År2,'Resultater - Østdanmark'!I$3:I$504,'Resultater - Østdanmark'!J$3:J$504)),'Resultater - Østdanmark'!$F$3:$F$504,$A86,'Resultater - Østdanmark'!H$3:H$504,"&lt;0"),0))</f>
        <v>0</v>
      </c>
      <c r="J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forbrug'!J$3,'Forbrug af biomasse'!$B$2:$B$425,$F86)</f>
        <v>0</v>
      </c>
      <c r="K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forbrug'!K$3,'Forbrug af biomasse'!$B$2:$B$425,$F86)</f>
        <v>0</v>
      </c>
      <c r="L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forbrug'!L$3,'Forbrug af biomasse'!$B$2:$B$425,$F86)</f>
        <v>0</v>
      </c>
      <c r="M86" s="94">
        <f>IF(A86&lt;&gt;"Biogas",SUMIFS('Forbrug af biomasse'!$E$2:$E$425,'Forbrug af biomasse'!$C$2:$C$425,'Resultat-Produktion &amp; forbrug'!$A86,'Forbrug af biomasse'!$D$2:$D$425,'Resultat-Produktion &amp; forbrug'!$E86,'Forbrug af biomasse'!$A$2:$A$425,'Resultat-Produktion &amp; forbrug'!M$3,'Forbrug af biomasse'!$B$2:$B$425,$F86),G86)</f>
        <v>0</v>
      </c>
      <c r="N86" s="94">
        <f>SUMIFS('Forbrug af biomasse'!E:E,'Forbrug af biomasse'!C:C,'Resultat-Produktion &amp; forbrug'!$A86,'Forbrug af biomasse'!D:D,'Resultat-Produktion &amp; forbrug'!$E86,'Forbrug af biomasse'!G:G,1,'Forbrug af biomasse'!B:B,$F86)</f>
        <v>0</v>
      </c>
      <c r="O86" s="179">
        <f t="shared" si="26"/>
        <v>2884255.8246315583</v>
      </c>
      <c r="P86" s="94">
        <f t="shared" si="22"/>
        <v>0</v>
      </c>
      <c r="Q86" s="180">
        <f t="shared" si="27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IF(A86&lt;&gt;"Biogas",IFERROR(VLOOKUP(A86,[1]Biogasudbytte!$A$2:$B$18,2,FALSE)*[1]Energiindhold!$C$10,0)*K86*IFERROR(VLOOKUP(A86,Biogasanlæg!$F$3:$G$8,2,FALSE),1)+IFERROR(VLOOKUP(A86,[1]Energiindhold!$A$2:$C$11,3,FALSE),0)*M86+IF(E86&lt;&gt;År1,R86,0),0)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8"/>
        <v>0</v>
      </c>
      <c r="V86" s="169">
        <f>P86*IFERROR(VLOOKUP(A86,[1]Tørstofindhold!A$2:B$24,2,FALSE),0)</f>
        <v>0</v>
      </c>
      <c r="W86">
        <f>IF(E86=År1,Q86,SUM(P86,Q86))*IFERROR(VLOOKUP(A86,[1]Tørstofindhold!A$2:B$24,2,FALSE),0)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9"/>
        <v>0</v>
      </c>
      <c r="Z86">
        <f t="shared" si="23"/>
        <v>0</v>
      </c>
      <c r="AA86">
        <f t="shared" si="24"/>
        <v>1</v>
      </c>
      <c r="AB86" s="94">
        <f t="shared" si="25"/>
        <v>2884255.8246315583</v>
      </c>
      <c r="AC86">
        <f>AB86*D86*10000*VLOOKUP(A86,[1]kcal!$A$2:$C$49,3,FALSE)/1000000000000</f>
        <v>0</v>
      </c>
    </row>
    <row r="87" spans="1:29" x14ac:dyDescent="0.25">
      <c r="A87" s="171" t="str">
        <f t="shared" si="36"/>
        <v>Raps</v>
      </c>
      <c r="B87" s="171" t="str">
        <f t="shared" si="37"/>
        <v/>
      </c>
      <c r="C87" s="171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71">
        <f t="shared" si="21"/>
        <v>0</v>
      </c>
      <c r="E87" s="171">
        <f t="shared" si="20"/>
        <v>2030</v>
      </c>
      <c r="F87" t="s">
        <v>23</v>
      </c>
      <c r="G87" s="94">
        <f>IF(F87="Vestdanmark",SUMIFS(IF(E87=År1,'Resultater - Vestdanmark'!H$3:H$504,IF(E87=År2,'Resultater - Vestdanmark'!I$3:I$504,'Resultater - Vestdanmark'!J$3:J$504)),'Resultater - Vestdanmark'!$F$3:$F$504,$A87,IF(E87=År1,'Resultater - Vestdanmark'!H$3:H$504,IF(E87=År2,'Resultater - Vestdanmark'!I$3:I$504,'Resultater - Vestdanmark'!J$3:J$504)),"&gt;0"),SUMIFS(IF(E87=År1,'Resultater - Østdanmark'!H$3:H$504,IF(E87=År2,'Resultater - Østdanmark'!I$3:I$504,'Resultater - Østdanmark'!J$3:J$504)),'Resultater - Østdanmark'!$F$3:$F$504,$A87,IF(E87=År1,'Resultater - Østdanmark'!H$3:H$504,IF(E87=År2,'Resultater - Østdanmark'!I$3:I$504,'Resultater - Østdanmark'!J$3:J$504)),"&gt;0"))</f>
        <v>498270.5858787492</v>
      </c>
      <c r="H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forbrug'!H$3,'Forbrug af biomasse'!$B$2:$B$425,$F87)</f>
        <v>0</v>
      </c>
      <c r="I87">
        <f>IF(F87="Vestdanmark",-IF(A87="Halm",SUMIFS(IF(E87=År1,'Resultater - Vestdanmark'!H$3:H$504,IF(E87=År2,'Resultater - Vestdanmark'!I$3:I$504,'Resultater - Vestdanmark'!J$3:J$504)),'Resultater - Vestdanmark'!$F$3:$F$504,$A87,'Resultater - Vestdanmark'!H$3:H$504,"&lt;0"),0),-IF(A87="Halm",SUMIFS(IF(E87=År1,'Resultater - Østdanmark'!H$3:H$504,IF(E87=År2,'Resultater - Østdanmark'!I$3:I$504,'Resultater - Østdanmark'!J$3:J$504)),'Resultater - Østdanmark'!$F$3:$F$504,$A87,'Resultater - Østdanmark'!H$3:H$504,"&lt;0"),0))</f>
        <v>0</v>
      </c>
      <c r="J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forbrug'!J$3,'Forbrug af biomasse'!$B$2:$B$425,$F87)</f>
        <v>0</v>
      </c>
      <c r="K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forbrug'!K$3,'Forbrug af biomasse'!$B$2:$B$425,$F87)</f>
        <v>0</v>
      </c>
      <c r="L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forbrug'!L$3,'Forbrug af biomasse'!$B$2:$B$425,$F87)</f>
        <v>0</v>
      </c>
      <c r="M87" s="94">
        <f>IF(A87&lt;&gt;"Biogas",SUMIFS('Forbrug af biomasse'!$E$2:$E$425,'Forbrug af biomasse'!$C$2:$C$425,'Resultat-Produktion &amp; forbrug'!$A87,'Forbrug af biomasse'!$D$2:$D$425,'Resultat-Produktion &amp; forbrug'!$E87,'Forbrug af biomasse'!$A$2:$A$425,'Resultat-Produktion &amp; forbrug'!M$3,'Forbrug af biomasse'!$B$2:$B$425,$F87),G87)</f>
        <v>0</v>
      </c>
      <c r="N87" s="94">
        <f>SUMIFS('Forbrug af biomasse'!E:E,'Forbrug af biomasse'!C:C,'Resultat-Produktion &amp; forbrug'!$A87,'Forbrug af biomasse'!D:D,'Resultat-Produktion &amp; forbrug'!$E87,'Forbrug af biomasse'!G:G,1,'Forbrug af biomasse'!B:B,$F87)</f>
        <v>498270.5858787492</v>
      </c>
      <c r="O87" s="179">
        <f t="shared" si="26"/>
        <v>0</v>
      </c>
      <c r="P87" s="94">
        <f t="shared" si="22"/>
        <v>0</v>
      </c>
      <c r="Q87" s="180">
        <f t="shared" si="27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IF(A87&lt;&gt;"Biogas",IFERROR(VLOOKUP(A87,[1]Biogasudbytte!$A$2:$B$18,2,FALSE)*[1]Energiindhold!$C$10,0)*K87*IFERROR(VLOOKUP(A87,Biogasanlæg!$F$3:$G$8,2,FALSE),1)+IFERROR(VLOOKUP(A87,[1]Energiindhold!$A$2:$C$11,3,FALSE),0)*M87+IF(E87&lt;&gt;År1,R87,0),0)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8"/>
        <v>0</v>
      </c>
      <c r="V87" s="169">
        <f>P87*IFERROR(VLOOKUP(A87,[1]Tørstofindhold!A$2:B$24,2,FALSE),0)</f>
        <v>0</v>
      </c>
      <c r="W87">
        <f>IF(E87=År1,Q87,SUM(P87,Q87))*IFERROR(VLOOKUP(A87,[1]Tørstofindhold!A$2:B$24,2,FALSE),0)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9"/>
        <v>0</v>
      </c>
      <c r="Z87">
        <f t="shared" si="23"/>
        <v>0</v>
      </c>
      <c r="AA87">
        <f t="shared" si="24"/>
        <v>0</v>
      </c>
      <c r="AB87" s="94">
        <f t="shared" si="25"/>
        <v>498270.5858787492</v>
      </c>
      <c r="AC87">
        <f>AB87*D87*10000*VLOOKUP(A87,[1]kcal!$A$2:$C$49,3,FALSE)/1000000000000</f>
        <v>0</v>
      </c>
    </row>
    <row r="88" spans="1:29" x14ac:dyDescent="0.25">
      <c r="A88" s="171" t="str">
        <f t="shared" si="36"/>
        <v>Rapskage</v>
      </c>
      <c r="B88" s="171" t="str">
        <f t="shared" si="37"/>
        <v/>
      </c>
      <c r="C88" s="171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0</v>
      </c>
      <c r="D88" s="171">
        <f t="shared" si="21"/>
        <v>0</v>
      </c>
      <c r="E88" s="171">
        <f t="shared" si="20"/>
        <v>2030</v>
      </c>
      <c r="F88" t="s">
        <v>23</v>
      </c>
      <c r="G88" s="94">
        <f>IF(F88="Vestdanmark",SUMIFS(IF(E88=År1,'Resultater - Vestdanmark'!H$3:H$504,IF(E88=År2,'Resultater - Vestdanmark'!I$3:I$504,'Resultater - Vestdanmark'!J$3:J$504)),'Resultater - Vestdanmark'!$F$3:$F$504,$A88,IF(E88=År1,'Resultater - Vestdanmark'!H$3:H$504,IF(E88=År2,'Resultater - Vestdanmark'!I$3:I$504,'Resultater - Vestdanmark'!J$3:J$504)),"&gt;0"),SUMIFS(IF(E88=År1,'Resultater - Østdanmark'!H$3:H$504,IF(E88=År2,'Resultater - Østdanmark'!I$3:I$504,'Resultater - Østdanmark'!J$3:J$504)),'Resultater - Østdanmark'!$F$3:$F$504,$A88,IF(E88=År1,'Resultater - Østdanmark'!H$3:H$504,IF(E88=År2,'Resultater - Østdanmark'!I$3:I$504,'Resultater - Østdanmark'!J$3:J$504)),"&gt;0"))</f>
        <v>249135.2929393746</v>
      </c>
      <c r="H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forbrug'!H$3,'Forbrug af biomasse'!$B$2:$B$425,$F88)</f>
        <v>144663.85534067627</v>
      </c>
      <c r="I88">
        <f>IF(F88="Vestdanmark",-IF(A88="Halm",SUMIFS(IF(E88=År1,'Resultater - Vestdanmark'!H$3:H$504,IF(E88=År2,'Resultater - Vestdanmark'!I$3:I$504,'Resultater - Vestdanmark'!J$3:J$504)),'Resultater - Vestdanmark'!$F$3:$F$504,$A88,'Resultater - Vestdanmark'!H$3:H$504,"&lt;0"),0),-IF(A88="Halm",SUMIFS(IF(E88=År1,'Resultater - Østdanmark'!H$3:H$504,IF(E88=År2,'Resultater - Østdanmark'!I$3:I$504,'Resultater - Østdanmark'!J$3:J$504)),'Resultater - Østdanmark'!$F$3:$F$504,$A88,'Resultater - Østdanmark'!H$3:H$504,"&lt;0"),0))</f>
        <v>0</v>
      </c>
      <c r="J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forbrug'!J$3,'Forbrug af biomasse'!$B$2:$B$425,$F88)</f>
        <v>0</v>
      </c>
      <c r="K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forbrug'!K$3,'Forbrug af biomasse'!$B$2:$B$425,$F88)</f>
        <v>0</v>
      </c>
      <c r="L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forbrug'!L$3,'Forbrug af biomasse'!$B$2:$B$425,$F88)</f>
        <v>0</v>
      </c>
      <c r="M88" s="94">
        <f>IF(A88&lt;&gt;"Biogas",SUMIFS('Forbrug af biomasse'!$E$2:$E$425,'Forbrug af biomasse'!$C$2:$C$425,'Resultat-Produktion &amp; forbrug'!$A88,'Forbrug af biomasse'!$D$2:$D$425,'Resultat-Produktion &amp; forbrug'!$E88,'Forbrug af biomasse'!$A$2:$A$425,'Resultat-Produktion &amp; forbrug'!M$3,'Forbrug af biomasse'!$B$2:$B$425,$F88),G88)</f>
        <v>0</v>
      </c>
      <c r="N88" s="94">
        <f>SUMIFS('Forbrug af biomasse'!E:E,'Forbrug af biomasse'!C:C,'Resultat-Produktion &amp; forbrug'!$A88,'Forbrug af biomasse'!D:D,'Resultat-Produktion &amp; forbrug'!$E88,'Forbrug af biomasse'!G:G,1,'Forbrug af biomasse'!B:B,$F88)</f>
        <v>0</v>
      </c>
      <c r="O88" s="179">
        <f t="shared" si="26"/>
        <v>104471.43759869834</v>
      </c>
      <c r="P88" s="94">
        <f t="shared" si="22"/>
        <v>0</v>
      </c>
      <c r="Q88" s="180">
        <f t="shared" si="27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IF(A88&lt;&gt;"Biogas",IFERROR(VLOOKUP(A88,[1]Biogasudbytte!$A$2:$B$18,2,FALSE)*[1]Energiindhold!$C$10,0)*K88*IFERROR(VLOOKUP(A88,Biogasanlæg!$F$3:$G$8,2,FALSE),1)+IFERROR(VLOOKUP(A88,[1]Energiindhold!$A$2:$C$11,3,FALSE),0)*M88+IF(E88&lt;&gt;År1,R88,0),0)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8"/>
        <v>0</v>
      </c>
      <c r="V88" s="169">
        <f>P88*IFERROR(VLOOKUP(A88,[1]Tørstofindhold!A$2:B$24,2,FALSE),0)</f>
        <v>0</v>
      </c>
      <c r="W88">
        <f>IF(E88=År1,Q88,SUM(P88,Q88))*IFERROR(VLOOKUP(A88,[1]Tørstofindhold!A$2:B$24,2,FALSE),0)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9"/>
        <v>0</v>
      </c>
      <c r="Z88">
        <f t="shared" si="23"/>
        <v>0</v>
      </c>
      <c r="AA88">
        <f t="shared" si="24"/>
        <v>1</v>
      </c>
      <c r="AB88" s="94">
        <f t="shared" si="25"/>
        <v>104471.43759869834</v>
      </c>
      <c r="AC88">
        <f>AB88*D88*10000*VLOOKUP(A88,[1]kcal!$A$2:$C$49,3,FALSE)/1000000000000</f>
        <v>0</v>
      </c>
    </row>
    <row r="89" spans="1:29" x14ac:dyDescent="0.25">
      <c r="A89" s="171" t="str">
        <f t="shared" si="36"/>
        <v>Rapsolie</v>
      </c>
      <c r="B89" s="171" t="str">
        <f t="shared" si="37"/>
        <v>Rapsolie</v>
      </c>
      <c r="C89" s="171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71">
        <f t="shared" si="21"/>
        <v>1</v>
      </c>
      <c r="E89" s="171">
        <f t="shared" si="20"/>
        <v>2030</v>
      </c>
      <c r="F89" t="s">
        <v>23</v>
      </c>
      <c r="G89" s="94">
        <f>IF(F89="Vestdanmark",SUMIFS(IF(E89=År1,'Resultater - Vestdanmark'!H$3:H$504,IF(E89=År2,'Resultater - Vestdanmark'!I$3:I$504,'Resultater - Vestdanmark'!J$3:J$504)),'Resultater - Vestdanmark'!$F$3:$F$504,$A89,IF(E89=År1,'Resultater - Vestdanmark'!H$3:H$504,IF(E89=År2,'Resultater - Vestdanmark'!I$3:I$504,'Resultater - Vestdanmark'!J$3:J$504)),"&gt;0"),SUMIFS(IF(E89=År1,'Resultater - Østdanmark'!H$3:H$504,IF(E89=År2,'Resultater - Østdanmark'!I$3:I$504,'Resultater - Østdanmark'!J$3:J$504)),'Resultater - Østdanmark'!$F$3:$F$504,$A89,IF(E89=År1,'Resultater - Østdanmark'!H$3:H$504,IF(E89=År2,'Resultater - Østdanmark'!I$3:I$504,'Resultater - Østdanmark'!J$3:J$504)),"&gt;0"))</f>
        <v>159446.58748119973</v>
      </c>
      <c r="H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forbrug'!H$3,'Forbrug af biomasse'!$B$2:$B$425,$F89)</f>
        <v>0</v>
      </c>
      <c r="I89">
        <f>IF(F89="Vestdanmark",-IF(A89="Halm",SUMIFS(IF(E89=År1,'Resultater - Vestdanmark'!H$3:H$504,IF(E89=År2,'Resultater - Vestdanmark'!I$3:I$504,'Resultater - Vestdanmark'!J$3:J$504)),'Resultater - Vestdanmark'!$F$3:$F$504,$A89,'Resultater - Vestdanmark'!H$3:H$504,"&lt;0"),0),-IF(A89="Halm",SUMIFS(IF(E89=År1,'Resultater - Østdanmark'!H$3:H$504,IF(E89=År2,'Resultater - Østdanmark'!I$3:I$504,'Resultater - Østdanmark'!J$3:J$504)),'Resultater - Østdanmark'!$F$3:$F$504,$A89,'Resultater - Østdanmark'!H$3:H$504,"&lt;0"),0))</f>
        <v>0</v>
      </c>
      <c r="J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forbrug'!J$3,'Forbrug af biomasse'!$B$2:$B$425,$F89)</f>
        <v>0</v>
      </c>
      <c r="K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forbrug'!K$3,'Forbrug af biomasse'!$B$2:$B$425,$F89)</f>
        <v>0</v>
      </c>
      <c r="L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forbrug'!L$3,'Forbrug af biomasse'!$B$2:$B$425,$F89)</f>
        <v>0</v>
      </c>
      <c r="M89" s="94">
        <f>IF(A89&lt;&gt;"Biogas",SUMIFS('Forbrug af biomasse'!$E$2:$E$425,'Forbrug af biomasse'!$C$2:$C$425,'Resultat-Produktion &amp; forbrug'!$A89,'Forbrug af biomasse'!$D$2:$D$425,'Resultat-Produktion &amp; forbrug'!$E89,'Forbrug af biomasse'!$A$2:$A$425,'Resultat-Produktion &amp; forbrug'!M$3,'Forbrug af biomasse'!$B$2:$B$425,$F89),G89)</f>
        <v>159446.58748119973</v>
      </c>
      <c r="N89" s="94">
        <f>SUMIFS('Forbrug af biomasse'!E:E,'Forbrug af biomasse'!C:C,'Resultat-Produktion &amp; forbrug'!$A89,'Forbrug af biomasse'!D:D,'Resultat-Produktion &amp; forbrug'!$E89,'Forbrug af biomasse'!G:G,1,'Forbrug af biomasse'!B:B,$F89)</f>
        <v>0</v>
      </c>
      <c r="O89" s="179">
        <f t="shared" si="26"/>
        <v>0</v>
      </c>
      <c r="P89" s="94">
        <f t="shared" si="22"/>
        <v>0</v>
      </c>
      <c r="Q89" s="180">
        <f t="shared" si="27"/>
        <v>159446.58748119973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IF(A89&lt;&gt;"Biogas",IFERROR(VLOOKUP(A89,[1]Biogasudbytte!$A$2:$B$18,2,FALSE)*[1]Energiindhold!$C$10,0)*K89*IFERROR(VLOOKUP(A89,Biogasanlæg!$F$3:$G$8,2,FALSE),1)+IFERROR(VLOOKUP(A89,[1]Energiindhold!$A$2:$C$11,3,FALSE),0)*M89+IF(E89&lt;&gt;År1,R89,0),0)</f>
        <v>5.58063056184199</v>
      </c>
      <c r="T89">
        <f>IFERROR(VLOOKUP(A89,[1]Biogasudbytte!$A$2:$B$18,2,FALSE)*[1]Energiindhold!$C$10,0)*K89*IFERROR(VLOOKUP(A89,Biogasanlæg!$F$3:$G$8,2,FALSE),1)</f>
        <v>0</v>
      </c>
      <c r="U89" s="170">
        <f t="shared" si="28"/>
        <v>5.58063056184199</v>
      </c>
      <c r="V89" s="169">
        <f>P89*IFERROR(VLOOKUP(A89,[1]Tørstofindhold!A$2:B$24,2,FALSE),0)</f>
        <v>0</v>
      </c>
      <c r="W89">
        <f>IF(E89=År1,Q89,SUM(P89,Q89))*IFERROR(VLOOKUP(A89,[1]Tørstofindhold!A$2:B$24,2,FALSE),0)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9"/>
        <v>0</v>
      </c>
      <c r="Z89">
        <f t="shared" si="23"/>
        <v>0</v>
      </c>
      <c r="AA89">
        <f t="shared" si="24"/>
        <v>0</v>
      </c>
      <c r="AB89" s="94">
        <f t="shared" si="25"/>
        <v>159446.58748119973</v>
      </c>
      <c r="AC89">
        <f>AB89*D89*10000*VLOOKUP(A89,[1]kcal!$A$2:$C$49,3,FALSE)/1000000000000</f>
        <v>1.4350192873307976</v>
      </c>
    </row>
    <row r="90" spans="1:29" x14ac:dyDescent="0.25">
      <c r="A90" s="171" t="str">
        <f t="shared" si="36"/>
        <v>Roer</v>
      </c>
      <c r="B90" s="171" t="str">
        <f t="shared" si="37"/>
        <v>Græs og urter</v>
      </c>
      <c r="C90" s="171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1</v>
      </c>
      <c r="D90" s="171">
        <f t="shared" si="21"/>
        <v>1</v>
      </c>
      <c r="E90" s="171">
        <f t="shared" si="20"/>
        <v>2030</v>
      </c>
      <c r="F90" t="s">
        <v>23</v>
      </c>
      <c r="G90" s="94">
        <f>IF(F90="Vestdanmark",SUMIFS(IF(E90=År1,'Resultater - Vestdanmark'!H$3:H$504,IF(E90=År2,'Resultater - Vestdanmark'!I$3:I$504,'Resultater - Vestdanmark'!J$3:J$504)),'Resultater - Vestdanmark'!$F$3:$F$504,$A90,IF(E90=År1,'Resultater - Vestdanmark'!H$3:H$504,IF(E90=År2,'Resultater - Vestdanmark'!I$3:I$504,'Resultater - Vestdanmark'!J$3:J$504)),"&gt;0"),SUMIFS(IF(E90=År1,'Resultater - Østdanmark'!H$3:H$504,IF(E90=År2,'Resultater - Østdanmark'!I$3:I$504,'Resultater - Østdanmark'!J$3:J$504)),'Resultater - Østdanmark'!$F$3:$F$504,$A90,IF(E90=År1,'Resultater - Østdanmark'!H$3:H$504,IF(E90=År2,'Resultater - Østdanmark'!I$3:I$504,'Resultater - Østdanmark'!J$3:J$504)),"&gt;0"))</f>
        <v>1856731.7758593475</v>
      </c>
      <c r="H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forbrug'!H$3,'Forbrug af biomasse'!$B$2:$B$425,$F90)</f>
        <v>568365.52370248956</v>
      </c>
      <c r="I90">
        <f>IF(F90="Vestdanmark",-IF(A90="Halm",SUMIFS(IF(E90=År1,'Resultater - Vestdanmark'!H$3:H$504,IF(E90=År2,'Resultater - Vestdanmark'!I$3:I$504,'Resultater - Vestdanmark'!J$3:J$504)),'Resultater - Vestdanmark'!$F$3:$F$504,$A90,'Resultater - Vestdanmark'!H$3:H$504,"&lt;0"),0),-IF(A90="Halm",SUMIFS(IF(E90=År1,'Resultater - Østdanmark'!H$3:H$504,IF(E90=År2,'Resultater - Østdanmark'!I$3:I$504,'Resultater - Østdanmark'!J$3:J$504)),'Resultater - Østdanmark'!$F$3:$F$504,$A90,'Resultater - Østdanmark'!H$3:H$504,"&lt;0"),0))</f>
        <v>0</v>
      </c>
      <c r="J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forbrug'!J$3,'Forbrug af biomasse'!$B$2:$B$425,$F90)</f>
        <v>0</v>
      </c>
      <c r="K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forbrug'!K$3,'Forbrug af biomasse'!$B$2:$B$425,$F90)</f>
        <v>0</v>
      </c>
      <c r="L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forbrug'!L$3,'Forbrug af biomasse'!$B$2:$B$425,$F90)</f>
        <v>0</v>
      </c>
      <c r="M90" s="94">
        <f>IF(A90&lt;&gt;"Biogas",SUMIFS('Forbrug af biomasse'!$E$2:$E$425,'Forbrug af biomasse'!$C$2:$C$425,'Resultat-Produktion &amp; forbrug'!$A90,'Forbrug af biomasse'!$D$2:$D$425,'Resultat-Produktion &amp; forbrug'!$E90,'Forbrug af biomasse'!$A$2:$A$425,'Resultat-Produktion &amp; forbrug'!M$3,'Forbrug af biomasse'!$B$2:$B$425,$F90),G90)</f>
        <v>0</v>
      </c>
      <c r="N90" s="94">
        <f>SUMIFS('Forbrug af biomasse'!E:E,'Forbrug af biomasse'!C:C,'Resultat-Produktion &amp; forbrug'!$A90,'Forbrug af biomasse'!D:D,'Resultat-Produktion &amp; forbrug'!$E90,'Forbrug af biomasse'!G:G,1,'Forbrug af biomasse'!B:B,$F90)</f>
        <v>0</v>
      </c>
      <c r="O90" s="179">
        <f t="shared" si="26"/>
        <v>1288366.2521568579</v>
      </c>
      <c r="P90" s="94">
        <f t="shared" si="22"/>
        <v>1288366.2521568579</v>
      </c>
      <c r="Q90" s="180">
        <f t="shared" si="27"/>
        <v>0</v>
      </c>
      <c r="R90">
        <f>IFERROR(VLOOKUP(A90,[1]Energiindhold!$A$2:$C$11,3,FALSE),IFERROR(VLOOKUP(A90,[1]Biogasudbytte!$A$2:$B$18,2,FALSE)*[1]Energiindhold!$C$10,0))*P90</f>
        <v>3.4966775430037984</v>
      </c>
      <c r="S90">
        <f>IF(A90&lt;&gt;"Biogas",IFERROR(VLOOKUP(A90,[1]Biogasudbytte!$A$2:$B$18,2,FALSE)*[1]Energiindhold!$C$10,0)*K90*IFERROR(VLOOKUP(A90,Biogasanlæg!$F$3:$G$8,2,FALSE),1)+IFERROR(VLOOKUP(A90,[1]Energiindhold!$A$2:$C$11,3,FALSE),0)*M90+IF(E90&lt;&gt;År1,R90,0),0)</f>
        <v>3.4966775430037984</v>
      </c>
      <c r="T90">
        <f>IFERROR(VLOOKUP(A90,[1]Biogasudbytte!$A$2:$B$18,2,FALSE)*[1]Energiindhold!$C$10,0)*K90*IFERROR(VLOOKUP(A90,Biogasanlæg!$F$3:$G$8,2,FALSE),1)</f>
        <v>0</v>
      </c>
      <c r="U90" s="170">
        <f t="shared" si="28"/>
        <v>3.4966775430037984</v>
      </c>
      <c r="V90" s="169">
        <f>P90*IFERROR(VLOOKUP(A90,[1]Tørstofindhold!A$2:B$24,2,FALSE),0)</f>
        <v>257673.25043137159</v>
      </c>
      <c r="W90">
        <f>IF(E90=År1,Q90,SUM(P90,Q90))*IFERROR(VLOOKUP(A90,[1]Tørstofindhold!A$2:B$24,2,FALSE),0)</f>
        <v>257673.25043137159</v>
      </c>
      <c r="X90">
        <f>K90*IFERROR(VLOOKUP(A90,[1]Tørstofindhold!A$2:B$24,2,FALSE),0)</f>
        <v>0</v>
      </c>
      <c r="Y90" s="170">
        <f t="shared" si="29"/>
        <v>257673.25043137159</v>
      </c>
      <c r="Z90">
        <f t="shared" si="23"/>
        <v>0</v>
      </c>
      <c r="AA90">
        <f t="shared" si="24"/>
        <v>1</v>
      </c>
      <c r="AB90" s="94">
        <f t="shared" si="25"/>
        <v>1288366.2521568579</v>
      </c>
      <c r="AC90">
        <f>AB90*D90*10000*VLOOKUP(A90,[1]kcal!$A$2:$C$49,3,FALSE)/1000000000000</f>
        <v>0.38650987564705735</v>
      </c>
    </row>
    <row r="91" spans="1:29" x14ac:dyDescent="0.25">
      <c r="A91" s="171" t="str">
        <f t="shared" si="36"/>
        <v>Slagteriaffald til andet</v>
      </c>
      <c r="B91" s="171" t="str">
        <f t="shared" si="37"/>
        <v/>
      </c>
      <c r="C91" s="171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71">
        <f t="shared" si="21"/>
        <v>0</v>
      </c>
      <c r="E91" s="171">
        <f t="shared" si="20"/>
        <v>2030</v>
      </c>
      <c r="F91" t="s">
        <v>23</v>
      </c>
      <c r="G91" s="94">
        <f>IF(F91="Vestdanmark",SUMIFS(IF(E91=År1,'Resultater - Vestdanmark'!H$3:H$504,IF(E91=År2,'Resultater - Vestdanmark'!I$3:I$504,'Resultater - Vestdanmark'!J$3:J$504)),'Resultater - Vestdanmark'!$F$3:$F$504,$A91,IF(E91=År1,'Resultater - Vestdanmark'!H$3:H$504,IF(E91=År2,'Resultater - Vestdanmark'!I$3:I$504,'Resultater - Vestdanmark'!J$3:J$504)),"&gt;0"),SUMIFS(IF(E91=År1,'Resultater - Østdanmark'!H$3:H$504,IF(E91=År2,'Resultater - Østdanmark'!I$3:I$504,'Resultater - Østdanmark'!J$3:J$504)),'Resultater - Østdanmark'!$F$3:$F$504,$A91,IF(E91=År1,'Resultater - Østdanmark'!H$3:H$504,IF(E91=År2,'Resultater - Østdanmark'!I$3:I$504,'Resultater - Østdanmark'!J$3:J$504)),"&gt;0"))</f>
        <v>100301.72992417146</v>
      </c>
      <c r="H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forbrug'!H$3,'Forbrug af biomasse'!$B$2:$B$425,$F91)</f>
        <v>0</v>
      </c>
      <c r="I91">
        <f>IF(F91="Vestdanmark",-IF(A91="Halm",SUMIFS(IF(E91=År1,'Resultater - Vestdanmark'!H$3:H$504,IF(E91=År2,'Resultater - Vestdanmark'!I$3:I$504,'Resultater - Vestdanmark'!J$3:J$504)),'Resultater - Vestdanmark'!$F$3:$F$504,$A91,'Resultater - Vestdanmark'!H$3:H$504,"&lt;0"),0),-IF(A91="Halm",SUMIFS(IF(E91=År1,'Resultater - Østdanmark'!H$3:H$504,IF(E91=År2,'Resultater - Østdanmark'!I$3:I$504,'Resultater - Østdanmark'!J$3:J$504)),'Resultater - Østdanmark'!$F$3:$F$504,$A91,'Resultater - Østdanmark'!H$3:H$504,"&lt;0"),0))</f>
        <v>0</v>
      </c>
      <c r="J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forbrug'!J$3,'Forbrug af biomasse'!$B$2:$B$425,$F91)</f>
        <v>0</v>
      </c>
      <c r="K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forbrug'!K$3,'Forbrug af biomasse'!$B$2:$B$425,$F91)</f>
        <v>0</v>
      </c>
      <c r="L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forbrug'!L$3,'Forbrug af biomasse'!$B$2:$B$425,$F91)</f>
        <v>0</v>
      </c>
      <c r="M91" s="94">
        <f>IF(A91&lt;&gt;"Biogas",SUMIFS('Forbrug af biomasse'!$E$2:$E$425,'Forbrug af biomasse'!$C$2:$C$425,'Resultat-Produktion &amp; forbrug'!$A91,'Forbrug af biomasse'!$D$2:$D$425,'Resultat-Produktion &amp; forbrug'!$E91,'Forbrug af biomasse'!$A$2:$A$425,'Resultat-Produktion &amp; forbrug'!M$3,'Forbrug af biomasse'!$B$2:$B$425,$F91),G91)</f>
        <v>0</v>
      </c>
      <c r="N91" s="94">
        <f>SUMIFS('Forbrug af biomasse'!E:E,'Forbrug af biomasse'!C:C,'Resultat-Produktion &amp; forbrug'!$A91,'Forbrug af biomasse'!D:D,'Resultat-Produktion &amp; forbrug'!$E91,'Forbrug af biomasse'!G:G,1,'Forbrug af biomasse'!B:B,$F91)</f>
        <v>0</v>
      </c>
      <c r="O91" s="179">
        <f t="shared" si="26"/>
        <v>100301.72992417146</v>
      </c>
      <c r="P91" s="94">
        <f t="shared" si="22"/>
        <v>0</v>
      </c>
      <c r="Q91" s="180">
        <f t="shared" si="27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IF(A91&lt;&gt;"Biogas",IFERROR(VLOOKUP(A91,[1]Biogasudbytte!$A$2:$B$18,2,FALSE)*[1]Energiindhold!$C$10,0)*K91*IFERROR(VLOOKUP(A91,Biogasanlæg!$F$3:$G$8,2,FALSE),1)+IFERROR(VLOOKUP(A91,[1]Energiindhold!$A$2:$C$11,3,FALSE),0)*M91+IF(E91&lt;&gt;År1,R91,0),0)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8"/>
        <v>0</v>
      </c>
      <c r="V91" s="169">
        <f>P91*IFERROR(VLOOKUP(A91,[1]Tørstofindhold!A$2:B$24,2,FALSE),0)</f>
        <v>0</v>
      </c>
      <c r="W91">
        <f>IF(E91=År1,Q91,SUM(P91,Q91))*IFERROR(VLOOKUP(A91,[1]Tørstofindhold!A$2:B$24,2,FALSE),0)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9"/>
        <v>0</v>
      </c>
      <c r="Z91">
        <f t="shared" si="23"/>
        <v>0</v>
      </c>
      <c r="AA91">
        <f t="shared" si="24"/>
        <v>1</v>
      </c>
      <c r="AB91" s="94">
        <f t="shared" si="25"/>
        <v>100301.72992417146</v>
      </c>
      <c r="AC91">
        <f>AB91*D91*10000*VLOOKUP(A91,[1]kcal!$A$2:$C$49,3,FALSE)/1000000000000</f>
        <v>0</v>
      </c>
    </row>
    <row r="92" spans="1:29" x14ac:dyDescent="0.25">
      <c r="A92" s="171" t="str">
        <f t="shared" si="36"/>
        <v>Slagteriaffald til foder</v>
      </c>
      <c r="B92" s="171" t="str">
        <f t="shared" si="37"/>
        <v/>
      </c>
      <c r="C92" s="171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0</v>
      </c>
      <c r="D92" s="171">
        <f t="shared" si="21"/>
        <v>0</v>
      </c>
      <c r="E92" s="171">
        <f t="shared" si="20"/>
        <v>2030</v>
      </c>
      <c r="F92" t="s">
        <v>23</v>
      </c>
      <c r="G92" s="94">
        <f>IF(F92="Vestdanmark",SUMIFS(IF(E92=År1,'Resultater - Vestdanmark'!H$3:H$504,IF(E92=År2,'Resultater - Vestdanmark'!I$3:I$504,'Resultater - Vestdanmark'!J$3:J$504)),'Resultater - Vestdanmark'!$F$3:$F$504,$A92,IF(E92=År1,'Resultater - Vestdanmark'!H$3:H$504,IF(E92=År2,'Resultater - Vestdanmark'!I$3:I$504,'Resultater - Vestdanmark'!J$3:J$504)),"&gt;0"),SUMIFS(IF(E92=År1,'Resultater - Østdanmark'!H$3:H$504,IF(E92=År2,'Resultater - Østdanmark'!I$3:I$504,'Resultater - Østdanmark'!J$3:J$504)),'Resultater - Østdanmark'!$F$3:$F$504,$A92,IF(E92=År1,'Resultater - Østdanmark'!H$3:H$504,IF(E92=År2,'Resultater - Østdanmark'!I$3:I$504,'Resultater - Østdanmark'!J$3:J$504)),"&gt;0"))</f>
        <v>67791.218966454777</v>
      </c>
      <c r="H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forbrug'!H$3,'Forbrug af biomasse'!$B$2:$B$425,$F92)</f>
        <v>26632.676297028265</v>
      </c>
      <c r="I92">
        <f>IF(F92="Vestdanmark",-IF(A92="Halm",SUMIFS(IF(E92=År1,'Resultater - Vestdanmark'!H$3:H$504,IF(E92=År2,'Resultater - Vestdanmark'!I$3:I$504,'Resultater - Vestdanmark'!J$3:J$504)),'Resultater - Vestdanmark'!$F$3:$F$504,$A92,'Resultater - Vestdanmark'!H$3:H$504,"&lt;0"),0),-IF(A92="Halm",SUMIFS(IF(E92=År1,'Resultater - Østdanmark'!H$3:H$504,IF(E92=År2,'Resultater - Østdanmark'!I$3:I$504,'Resultater - Østdanmark'!J$3:J$504)),'Resultater - Østdanmark'!$F$3:$F$504,$A92,'Resultater - Østdanmark'!H$3:H$504,"&lt;0"),0))</f>
        <v>0</v>
      </c>
      <c r="J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forbrug'!J$3,'Forbrug af biomasse'!$B$2:$B$425,$F92)</f>
        <v>0</v>
      </c>
      <c r="K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forbrug'!K$3,'Forbrug af biomasse'!$B$2:$B$425,$F92)</f>
        <v>0</v>
      </c>
      <c r="L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forbrug'!L$3,'Forbrug af biomasse'!$B$2:$B$425,$F92)</f>
        <v>0</v>
      </c>
      <c r="M92" s="94">
        <f>IF(A92&lt;&gt;"Biogas",SUMIFS('Forbrug af biomasse'!$E$2:$E$425,'Forbrug af biomasse'!$C$2:$C$425,'Resultat-Produktion &amp; forbrug'!$A92,'Forbrug af biomasse'!$D$2:$D$425,'Resultat-Produktion &amp; forbrug'!$E92,'Forbrug af biomasse'!$A$2:$A$425,'Resultat-Produktion &amp; forbrug'!M$3,'Forbrug af biomasse'!$B$2:$B$425,$F92),G92)</f>
        <v>0</v>
      </c>
      <c r="N92" s="94">
        <f>SUMIFS('Forbrug af biomasse'!E:E,'Forbrug af biomasse'!C:C,'Resultat-Produktion &amp; forbrug'!$A92,'Forbrug af biomasse'!D:D,'Resultat-Produktion &amp; forbrug'!$E92,'Forbrug af biomasse'!G:G,1,'Forbrug af biomasse'!B:B,$F92)</f>
        <v>0</v>
      </c>
      <c r="O92" s="179">
        <f t="shared" si="26"/>
        <v>41158.542669426512</v>
      </c>
      <c r="P92" s="94">
        <f t="shared" si="22"/>
        <v>0</v>
      </c>
      <c r="Q92" s="180">
        <f t="shared" si="27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IF(A92&lt;&gt;"Biogas",IFERROR(VLOOKUP(A92,[1]Biogasudbytte!$A$2:$B$18,2,FALSE)*[1]Energiindhold!$C$10,0)*K92*IFERROR(VLOOKUP(A92,Biogasanlæg!$F$3:$G$8,2,FALSE),1)+IFERROR(VLOOKUP(A92,[1]Energiindhold!$A$2:$C$11,3,FALSE),0)*M92+IF(E92&lt;&gt;År1,R92,0),0)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8"/>
        <v>0</v>
      </c>
      <c r="V92" s="169">
        <f>P92*IFERROR(VLOOKUP(A92,[1]Tørstofindhold!A$2:B$24,2,FALSE),0)</f>
        <v>0</v>
      </c>
      <c r="W92">
        <f>IF(E92=År1,Q92,SUM(P92,Q92))*IFERROR(VLOOKUP(A92,[1]Tørstofindhold!A$2:B$24,2,FALSE),0)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9"/>
        <v>0</v>
      </c>
      <c r="Z92">
        <f t="shared" si="23"/>
        <v>0</v>
      </c>
      <c r="AA92">
        <f t="shared" si="24"/>
        <v>1</v>
      </c>
      <c r="AB92" s="94">
        <f t="shared" si="25"/>
        <v>41158.542669426512</v>
      </c>
      <c r="AC92">
        <f>AB92*D92*10000*VLOOKUP(A92,[1]kcal!$A$2:$C$49,3,FALSE)/1000000000000</f>
        <v>0</v>
      </c>
    </row>
    <row r="93" spans="1:29" x14ac:dyDescent="0.25">
      <c r="A93" s="171" t="str">
        <f t="shared" si="36"/>
        <v>Spildevandsslam</v>
      </c>
      <c r="B93" s="171" t="str">
        <f t="shared" si="37"/>
        <v>Bionedbrydeligt affald</v>
      </c>
      <c r="C93" s="171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71">
        <f t="shared" si="21"/>
        <v>0</v>
      </c>
      <c r="E93" s="171">
        <f t="shared" si="20"/>
        <v>2030</v>
      </c>
      <c r="F93" t="s">
        <v>23</v>
      </c>
      <c r="G93" s="94">
        <f>IF(F93="Vestdanmark",SUMIFS(IF(E93=År1,'Resultater - Vestdanmark'!H$3:H$504,IF(E93=År2,'Resultater - Vestdanmark'!I$3:I$504,'Resultater - Vestdanmark'!J$3:J$504)),'Resultater - Vestdanmark'!$F$3:$F$504,$A93,IF(E93=År1,'Resultater - Vestdanmark'!H$3:H$504,IF(E93=År2,'Resultater - Vestdanmark'!I$3:I$504,'Resultater - Vestdanmark'!J$3:J$504)),"&gt;0"),SUMIFS(IF(E93=År1,'Resultater - Østdanmark'!H$3:H$504,IF(E93=År2,'Resultater - Østdanmark'!I$3:I$504,'Resultater - Østdanmark'!J$3:J$504)),'Resultater - Østdanmark'!$F$3:$F$504,$A93,IF(E93=År1,'Resultater - Østdanmark'!H$3:H$504,IF(E93=År2,'Resultater - Østdanmark'!I$3:I$504,'Resultater - Østdanmark'!J$3:J$504)),"&gt;0"))</f>
        <v>3924256.6047362923</v>
      </c>
      <c r="H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forbrug'!H$3,'Forbrug af biomasse'!$B$2:$B$425,$F93)</f>
        <v>0</v>
      </c>
      <c r="I93">
        <f>IF(F93="Vestdanmark",-IF(A93="Halm",SUMIFS(IF(E93=År1,'Resultater - Vestdanmark'!H$3:H$504,IF(E93=År2,'Resultater - Vestdanmark'!I$3:I$504,'Resultater - Vestdanmark'!J$3:J$504)),'Resultater - Vestdanmark'!$F$3:$F$504,$A93,'Resultater - Vestdanmark'!H$3:H$504,"&lt;0"),0),-IF(A93="Halm",SUMIFS(IF(E93=År1,'Resultater - Østdanmark'!H$3:H$504,IF(E93=År2,'Resultater - Østdanmark'!I$3:I$504,'Resultater - Østdanmark'!J$3:J$504)),'Resultater - Østdanmark'!$F$3:$F$504,$A93,'Resultater - Østdanmark'!H$3:H$504,"&lt;0"),0))</f>
        <v>0</v>
      </c>
      <c r="J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forbrug'!J$3,'Forbrug af biomasse'!$B$2:$B$425,$F93)</f>
        <v>0</v>
      </c>
      <c r="K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forbrug'!K$3,'Forbrug af biomasse'!$B$2:$B$425,$F93)</f>
        <v>2943192.4535522191</v>
      </c>
      <c r="L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forbrug'!L$3,'Forbrug af biomasse'!$B$2:$B$425,$F93)</f>
        <v>0</v>
      </c>
      <c r="M93" s="94">
        <f>IF(A93&lt;&gt;"Biogas",SUMIFS('Forbrug af biomasse'!$E$2:$E$425,'Forbrug af biomasse'!$C$2:$C$425,'Resultat-Produktion &amp; forbrug'!$A93,'Forbrug af biomasse'!$D$2:$D$425,'Resultat-Produktion &amp; forbrug'!$E93,'Forbrug af biomasse'!$A$2:$A$425,'Resultat-Produktion &amp; forbrug'!M$3,'Forbrug af biomasse'!$B$2:$B$425,$F93),G93)</f>
        <v>0</v>
      </c>
      <c r="N93" s="94">
        <f>SUMIFS('Forbrug af biomasse'!E:E,'Forbrug af biomasse'!C:C,'Resultat-Produktion &amp; forbrug'!$A93,'Forbrug af biomasse'!D:D,'Resultat-Produktion &amp; forbrug'!$E93,'Forbrug af biomasse'!G:G,1,'Forbrug af biomasse'!B:B,$F93)</f>
        <v>0</v>
      </c>
      <c r="O93" s="179">
        <f t="shared" si="26"/>
        <v>981064.15118407318</v>
      </c>
      <c r="P93" s="94">
        <f t="shared" si="22"/>
        <v>981064.15118407318</v>
      </c>
      <c r="Q93" s="180">
        <f t="shared" si="27"/>
        <v>2943192.4535522191</v>
      </c>
      <c r="R93">
        <f>IFERROR(VLOOKUP(A93,[1]Energiindhold!$A$2:$C$11,3,FALSE),IFERROR(VLOOKUP(A93,[1]Biogasudbytte!$A$2:$B$18,2,FALSE)*[1]Energiindhold!$C$10,0))*P93</f>
        <v>0.48956082208236446</v>
      </c>
      <c r="S93">
        <f>IF(A93&lt;&gt;"Biogas",IFERROR(VLOOKUP(A93,[1]Biogasudbytte!$A$2:$B$18,2,FALSE)*[1]Energiindhold!$C$10,0)*K93*IFERROR(VLOOKUP(A93,Biogasanlæg!$F$3:$G$8,2,FALSE),1)+IFERROR(VLOOKUP(A93,[1]Energiindhold!$A$2:$C$11,3,FALSE),0)*M93+IF(E93&lt;&gt;År1,R93,0),0)</f>
        <v>1.9582432883294574</v>
      </c>
      <c r="T93">
        <f>IFERROR(VLOOKUP(A93,[1]Biogasudbytte!$A$2:$B$18,2,FALSE)*[1]Energiindhold!$C$10,0)*K93*IFERROR(VLOOKUP(A93,Biogasanlæg!$F$3:$G$8,2,FALSE),1)</f>
        <v>1.468682466247093</v>
      </c>
      <c r="U93" s="170">
        <f t="shared" si="28"/>
        <v>0.4895608220823644</v>
      </c>
      <c r="V93" s="169">
        <f>P93*IFERROR(VLOOKUP(A93,[1]Tørstofindhold!A$2:B$24,2,FALSE),0)</f>
        <v>58863.849071044388</v>
      </c>
      <c r="W93">
        <f>IF(E93=År1,Q93,SUM(P93,Q93))*IFERROR(VLOOKUP(A93,[1]Tørstofindhold!A$2:B$24,2,FALSE),0)</f>
        <v>235455.39628417752</v>
      </c>
      <c r="X93">
        <f>K93*IFERROR(VLOOKUP(A93,[1]Tørstofindhold!A$2:B$24,2,FALSE),0)</f>
        <v>176591.54721313313</v>
      </c>
      <c r="Y93" s="170">
        <f t="shared" si="29"/>
        <v>58863.849071044388</v>
      </c>
      <c r="Z93">
        <f t="shared" si="23"/>
        <v>0</v>
      </c>
      <c r="AA93">
        <f t="shared" si="24"/>
        <v>1</v>
      </c>
      <c r="AB93" s="94">
        <f t="shared" si="25"/>
        <v>981064.15118407318</v>
      </c>
      <c r="AC93">
        <f>AB93*D93*10000*VLOOKUP(A93,[1]kcal!$A$2:$C$49,3,FALSE)/1000000000000</f>
        <v>0</v>
      </c>
    </row>
    <row r="94" spans="1:29" x14ac:dyDescent="0.25">
      <c r="A94" s="171" t="str">
        <f t="shared" si="36"/>
        <v>Svinegylle</v>
      </c>
      <c r="B94" s="171" t="str">
        <f t="shared" si="37"/>
        <v>Husdyrgødning</v>
      </c>
      <c r="C94" s="171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1</v>
      </c>
      <c r="D94" s="171">
        <f t="shared" si="21"/>
        <v>0</v>
      </c>
      <c r="E94" s="171">
        <f t="shared" si="20"/>
        <v>2030</v>
      </c>
      <c r="F94" t="s">
        <v>23</v>
      </c>
      <c r="G94" s="94">
        <f>IF(F94="Vestdanmark",SUMIFS(IF(E94=År1,'Resultater - Vestdanmark'!H$3:H$504,IF(E94=År2,'Resultater - Vestdanmark'!I$3:I$504,'Resultater - Vestdanmark'!J$3:J$504)),'Resultater - Vestdanmark'!$F$3:$F$504,$A94,IF(E94=År1,'Resultater - Vestdanmark'!H$3:H$504,IF(E94=År2,'Resultater - Vestdanmark'!I$3:I$504,'Resultater - Vestdanmark'!J$3:J$504)),"&gt;0"),SUMIFS(IF(E94=År1,'Resultater - Østdanmark'!H$3:H$504,IF(E94=År2,'Resultater - Østdanmark'!I$3:I$504,'Resultater - Østdanmark'!J$3:J$504)),'Resultater - Østdanmark'!$F$3:$F$504,$A94,IF(E94=År1,'Resultater - Østdanmark'!H$3:H$504,IF(E94=År2,'Resultater - Østdanmark'!I$3:I$504,'Resultater - Østdanmark'!J$3:J$504)),"&gt;0"))</f>
        <v>6656017.1221692413</v>
      </c>
      <c r="H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forbrug'!H$3,'Forbrug af biomasse'!$B$2:$B$425,$F94)</f>
        <v>0</v>
      </c>
      <c r="I94">
        <f>IF(F94="Vestdanmark",-IF(A94="Halm",SUMIFS(IF(E94=År1,'Resultater - Vestdanmark'!H$3:H$504,IF(E94=År2,'Resultater - Vestdanmark'!I$3:I$504,'Resultater - Vestdanmark'!J$3:J$504)),'Resultater - Vestdanmark'!$F$3:$F$504,$A94,'Resultater - Vestdanmark'!H$3:H$504,"&lt;0"),0),-IF(A94="Halm",SUMIFS(IF(E94=År1,'Resultater - Østdanmark'!H$3:H$504,IF(E94=År2,'Resultater - Østdanmark'!I$3:I$504,'Resultater - Østdanmark'!J$3:J$504)),'Resultater - Østdanmark'!$F$3:$F$504,$A94,'Resultater - Østdanmark'!H$3:H$504,"&lt;0"),0))</f>
        <v>0</v>
      </c>
      <c r="J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forbrug'!J$3,'Forbrug af biomasse'!$B$2:$B$425,$F94)</f>
        <v>0</v>
      </c>
      <c r="K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forbrug'!K$3,'Forbrug af biomasse'!$B$2:$B$425,$F94)</f>
        <v>4992012.841626931</v>
      </c>
      <c r="L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forbrug'!L$3,'Forbrug af biomasse'!$B$2:$B$425,$F94)</f>
        <v>1664004.2805423103</v>
      </c>
      <c r="M94" s="94">
        <f>IF(A94&lt;&gt;"Biogas",SUMIFS('Forbrug af biomasse'!$E$2:$E$425,'Forbrug af biomasse'!$C$2:$C$425,'Resultat-Produktion &amp; forbrug'!$A94,'Forbrug af biomasse'!$D$2:$D$425,'Resultat-Produktion &amp; forbrug'!$E94,'Forbrug af biomasse'!$A$2:$A$425,'Resultat-Produktion &amp; forbrug'!M$3,'Forbrug af biomasse'!$B$2:$B$425,$F94),G94)</f>
        <v>0</v>
      </c>
      <c r="N94" s="94">
        <f>SUMIFS('Forbrug af biomasse'!E:E,'Forbrug af biomasse'!C:C,'Resultat-Produktion &amp; forbrug'!$A94,'Forbrug af biomasse'!D:D,'Resultat-Produktion &amp; forbrug'!$E94,'Forbrug af biomasse'!G:G,1,'Forbrug af biomasse'!B:B,$F94)</f>
        <v>0</v>
      </c>
      <c r="O94" s="179">
        <f t="shared" si="26"/>
        <v>0</v>
      </c>
      <c r="P94" s="94">
        <f t="shared" si="22"/>
        <v>0</v>
      </c>
      <c r="Q94" s="180">
        <f t="shared" si="27"/>
        <v>4992012.841626931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IF(A94&lt;&gt;"Biogas",IFERROR(VLOOKUP(A94,[1]Biogasudbytte!$A$2:$B$18,2,FALSE)*[1]Energiindhold!$C$10,0)*K94*IFERROR(VLOOKUP(A94,Biogasanlæg!$F$3:$G$8,2,FALSE),1)+IFERROR(VLOOKUP(A94,[1]Energiindhold!$A$2:$C$11,3,FALSE),0)*M94+IF(E94&lt;&gt;År1,R94,0),0)</f>
        <v>2.1505591321728823</v>
      </c>
      <c r="T94">
        <f>IFERROR(VLOOKUP(A94,[1]Biogasudbytte!$A$2:$B$18,2,FALSE)*[1]Energiindhold!$C$10,0)*K94*IFERROR(VLOOKUP(A94,Biogasanlæg!$F$3:$G$8,2,FALSE),1)</f>
        <v>2.1505591321728823</v>
      </c>
      <c r="U94" s="170">
        <f t="shared" si="28"/>
        <v>0</v>
      </c>
      <c r="V94" s="169">
        <f>P94*IFERROR(VLOOKUP(A94,[1]Tørstofindhold!A$2:B$24,2,FALSE),0)</f>
        <v>0</v>
      </c>
      <c r="W94">
        <f>IF(E94=År1,Q94,SUM(P94,Q94))*IFERROR(VLOOKUP(A94,[1]Tørstofindhold!A$2:B$24,2,FALSE),0)</f>
        <v>249600.64208134657</v>
      </c>
      <c r="X94">
        <f>K94*IFERROR(VLOOKUP(A94,[1]Tørstofindhold!A$2:B$24,2,FALSE),0)</f>
        <v>249600.64208134657</v>
      </c>
      <c r="Y94" s="170">
        <f t="shared" si="29"/>
        <v>0</v>
      </c>
      <c r="Z94">
        <f t="shared" si="23"/>
        <v>0</v>
      </c>
      <c r="AA94">
        <f t="shared" si="24"/>
        <v>0</v>
      </c>
      <c r="AB94" s="94">
        <f t="shared" si="25"/>
        <v>0</v>
      </c>
      <c r="AC94">
        <f>AB94*D94*10000*VLOOKUP(A94,[1]kcal!$A$2:$C$49,3,FALSE)/1000000000000</f>
        <v>0</v>
      </c>
    </row>
    <row r="95" spans="1:29" x14ac:dyDescent="0.25">
      <c r="A95" s="171" t="str">
        <f t="shared" si="36"/>
        <v>Svinekød</v>
      </c>
      <c r="B95" s="171" t="str">
        <f t="shared" si="37"/>
        <v/>
      </c>
      <c r="C95" s="171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0</v>
      </c>
      <c r="D95" s="171">
        <f t="shared" si="21"/>
        <v>1</v>
      </c>
      <c r="E95" s="171">
        <f t="shared" si="20"/>
        <v>2030</v>
      </c>
      <c r="F95" t="s">
        <v>23</v>
      </c>
      <c r="G95" s="94">
        <f>IF(F95="Vestdanmark",SUMIFS(IF(E95=År1,'Resultater - Vestdanmark'!H$3:H$504,IF(E95=År2,'Resultater - Vestdanmark'!I$3:I$504,'Resultater - Vestdanmark'!J$3:J$504)),'Resultater - Vestdanmark'!$F$3:$F$504,$A95,IF(E95=År1,'Resultater - Vestdanmark'!H$3:H$504,IF(E95=År2,'Resultater - Vestdanmark'!I$3:I$504,'Resultater - Vestdanmark'!J$3:J$504)),"&gt;0"),SUMIFS(IF(E95=År1,'Resultater - Østdanmark'!H$3:H$504,IF(E95=År2,'Resultater - Østdanmark'!I$3:I$504,'Resultater - Østdanmark'!J$3:J$504)),'Resultater - Østdanmark'!$F$3:$F$504,$A95,IF(E95=År1,'Resultater - Østdanmark'!H$3:H$504,IF(E95=År2,'Resultater - Østdanmark'!I$3:I$504,'Resultater - Østdanmark'!J$3:J$504)),"&gt;0"))</f>
        <v>719809.07013594534</v>
      </c>
      <c r="H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forbrug'!H$3,'Forbrug af biomasse'!$B$2:$B$425,$F95)</f>
        <v>0</v>
      </c>
      <c r="I95">
        <f>IF(F95="Vestdanmark",-IF(A95="Halm",SUMIFS(IF(E95=År1,'Resultater - Vestdanmark'!H$3:H$504,IF(E95=År2,'Resultater - Vestdanmark'!I$3:I$504,'Resultater - Vestdanmark'!J$3:J$504)),'Resultater - Vestdanmark'!$F$3:$F$504,$A95,'Resultater - Vestdanmark'!H$3:H$504,"&lt;0"),0),-IF(A95="Halm",SUMIFS(IF(E95=År1,'Resultater - Østdanmark'!H$3:H$504,IF(E95=År2,'Resultater - Østdanmark'!I$3:I$504,'Resultater - Østdanmark'!J$3:J$504)),'Resultater - Østdanmark'!$F$3:$F$504,$A95,'Resultater - Østdanmark'!H$3:H$504,"&lt;0"),0))</f>
        <v>0</v>
      </c>
      <c r="J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forbrug'!J$3,'Forbrug af biomasse'!$B$2:$B$425,$F95)</f>
        <v>121875.54404868034</v>
      </c>
      <c r="K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forbrug'!K$3,'Forbrug af biomasse'!$B$2:$B$425,$F95)</f>
        <v>0</v>
      </c>
      <c r="L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forbrug'!L$3,'Forbrug af biomasse'!$B$2:$B$425,$F95)</f>
        <v>0</v>
      </c>
      <c r="M95" s="94">
        <f>IF(A95&lt;&gt;"Biogas",SUMIFS('Forbrug af biomasse'!$E$2:$E$425,'Forbrug af biomasse'!$C$2:$C$425,'Resultat-Produktion &amp; forbrug'!$A95,'Forbrug af biomasse'!$D$2:$D$425,'Resultat-Produktion &amp; forbrug'!$E95,'Forbrug af biomasse'!$A$2:$A$425,'Resultat-Produktion &amp; forbrug'!M$3,'Forbrug af biomasse'!$B$2:$B$425,$F95),G95)</f>
        <v>0</v>
      </c>
      <c r="N95" s="94">
        <f>SUMIFS('Forbrug af biomasse'!E:E,'Forbrug af biomasse'!C:C,'Resultat-Produktion &amp; forbrug'!$A95,'Forbrug af biomasse'!D:D,'Resultat-Produktion &amp; forbrug'!$E95,'Forbrug af biomasse'!G:G,1,'Forbrug af biomasse'!B:B,$F95)</f>
        <v>0</v>
      </c>
      <c r="O95" s="179">
        <f t="shared" si="26"/>
        <v>597933.526087265</v>
      </c>
      <c r="P95" s="94">
        <f t="shared" si="22"/>
        <v>0</v>
      </c>
      <c r="Q95" s="180">
        <f t="shared" si="27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IF(A95&lt;&gt;"Biogas",IFERROR(VLOOKUP(A95,[1]Biogasudbytte!$A$2:$B$18,2,FALSE)*[1]Energiindhold!$C$10,0)*K95*IFERROR(VLOOKUP(A95,Biogasanlæg!$F$3:$G$8,2,FALSE),1)+IFERROR(VLOOKUP(A95,[1]Energiindhold!$A$2:$C$11,3,FALSE),0)*M95+IF(E95&lt;&gt;År1,R95,0),0)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8"/>
        <v>0</v>
      </c>
      <c r="V95" s="169">
        <f>P95*IFERROR(VLOOKUP(A95,[1]Tørstofindhold!A$2:B$24,2,FALSE),0)</f>
        <v>0</v>
      </c>
      <c r="W95">
        <f>IF(E95=År1,Q95,SUM(P95,Q95))*IFERROR(VLOOKUP(A95,[1]Tørstofindhold!A$2:B$24,2,FALSE),0)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9"/>
        <v>0</v>
      </c>
      <c r="Z95">
        <f t="shared" si="23"/>
        <v>0</v>
      </c>
      <c r="AA95">
        <f t="shared" si="24"/>
        <v>1</v>
      </c>
      <c r="AB95" s="94">
        <f t="shared" si="25"/>
        <v>719809.07013594534</v>
      </c>
      <c r="AC95">
        <f>AB95*D95*10000*VLOOKUP(A95,[1]kcal!$A$2:$C$49,3,FALSE)/1000000000000</f>
        <v>1.4036276867650932</v>
      </c>
    </row>
    <row r="96" spans="1:29" x14ac:dyDescent="0.25">
      <c r="A96" s="171" t="str">
        <f t="shared" si="36"/>
        <v>Tang</v>
      </c>
      <c r="B96" s="171" t="str">
        <f t="shared" si="37"/>
        <v>Havbiomasse</v>
      </c>
      <c r="C96" s="171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71">
        <f t="shared" si="21"/>
        <v>1</v>
      </c>
      <c r="E96" s="171">
        <f t="shared" si="20"/>
        <v>2030</v>
      </c>
      <c r="F96" t="s">
        <v>23</v>
      </c>
      <c r="G96" s="94">
        <f>IF(F96="Vestdanmark",SUMIFS(IF(E96=År1,'Resultater - Vestdanmark'!H$3:H$504,IF(E96=År2,'Resultater - Vestdanmark'!I$3:I$504,'Resultater - Vestdanmark'!J$3:J$504)),'Resultater - Vestdanmark'!$F$3:$F$504,$A96,IF(E96=År1,'Resultater - Vestdanmark'!H$3:H$504,IF(E96=År2,'Resultater - Vestdanmark'!I$3:I$504,'Resultater - Vestdanmark'!J$3:J$504)),"&gt;0"),SUMIFS(IF(E96=År1,'Resultater - Østdanmark'!H$3:H$504,IF(E96=År2,'Resultater - Østdanmark'!I$3:I$504,'Resultater - Østdanmark'!J$3:J$504)),'Resultater - Østdanmark'!$F$3:$F$504,$A96,IF(E96=År1,'Resultater - Østdanmark'!H$3:H$504,IF(E96=År2,'Resultater - Østdanmark'!I$3:I$504,'Resultater - Østdanmark'!J$3:J$504)),"&gt;0"))</f>
        <v>382.5</v>
      </c>
      <c r="H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forbrug'!H$3,'Forbrug af biomasse'!$B$2:$B$425,$F96)</f>
        <v>0</v>
      </c>
      <c r="I96">
        <f>IF(F96="Vestdanmark",-IF(A96="Halm",SUMIFS(IF(E96=År1,'Resultater - Vestdanmark'!H$3:H$504,IF(E96=År2,'Resultater - Vestdanmark'!I$3:I$504,'Resultater - Vestdanmark'!J$3:J$504)),'Resultater - Vestdanmark'!$F$3:$F$504,$A96,'Resultater - Vestdanmark'!H$3:H$504,"&lt;0"),0),-IF(A96="Halm",SUMIFS(IF(E96=År1,'Resultater - Østdanmark'!H$3:H$504,IF(E96=År2,'Resultater - Østdanmark'!I$3:I$504,'Resultater - Østdanmark'!J$3:J$504)),'Resultater - Østdanmark'!$F$3:$F$504,$A96,'Resultater - Østdanmark'!H$3:H$504,"&lt;0"),0))</f>
        <v>0</v>
      </c>
      <c r="J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forbrug'!J$3,'Forbrug af biomasse'!$B$2:$B$425,$F96)</f>
        <v>0</v>
      </c>
      <c r="K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forbrug'!K$3,'Forbrug af biomasse'!$B$2:$B$425,$F96)</f>
        <v>0</v>
      </c>
      <c r="L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forbrug'!L$3,'Forbrug af biomasse'!$B$2:$B$425,$F96)</f>
        <v>0</v>
      </c>
      <c r="M96" s="94">
        <f>IF(A96&lt;&gt;"Biogas",SUMIFS('Forbrug af biomasse'!$E$2:$E$425,'Forbrug af biomasse'!$C$2:$C$425,'Resultat-Produktion &amp; forbrug'!$A96,'Forbrug af biomasse'!$D$2:$D$425,'Resultat-Produktion &amp; forbrug'!$E96,'Forbrug af biomasse'!$A$2:$A$425,'Resultat-Produktion &amp; forbrug'!M$3,'Forbrug af biomasse'!$B$2:$B$425,$F96),G96)</f>
        <v>0</v>
      </c>
      <c r="N96" s="94">
        <f>SUMIFS('Forbrug af biomasse'!E:E,'Forbrug af biomasse'!C:C,'Resultat-Produktion &amp; forbrug'!$A96,'Forbrug af biomasse'!D:D,'Resultat-Produktion &amp; forbrug'!$E96,'Forbrug af biomasse'!G:G,1,'Forbrug af biomasse'!B:B,$F96)</f>
        <v>0</v>
      </c>
      <c r="O96" s="179">
        <f t="shared" si="26"/>
        <v>382.5</v>
      </c>
      <c r="P96" s="94">
        <f t="shared" si="22"/>
        <v>382.5</v>
      </c>
      <c r="Q96" s="180">
        <f t="shared" si="27"/>
        <v>0</v>
      </c>
      <c r="R96">
        <f>IFERROR(VLOOKUP(A96,[1]Energiindhold!$A$2:$C$11,3,FALSE),IFERROR(VLOOKUP(A96,[1]Biogasudbytte!$A$2:$B$18,2,FALSE)*[1]Energiindhold!$C$10,0))*P96</f>
        <v>3.4329375000000003E-4</v>
      </c>
      <c r="S96">
        <f>IF(A96&lt;&gt;"Biogas",IFERROR(VLOOKUP(A96,[1]Biogasudbytte!$A$2:$B$18,2,FALSE)*[1]Energiindhold!$C$10,0)*K96*IFERROR(VLOOKUP(A96,Biogasanlæg!$F$3:$G$8,2,FALSE),1)+IFERROR(VLOOKUP(A96,[1]Energiindhold!$A$2:$C$11,3,FALSE),0)*M96+IF(E96&lt;&gt;År1,R96,0),0)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si="28"/>
        <v>3.4329375000000003E-4</v>
      </c>
      <c r="V96" s="169">
        <f>P96*IFERROR(VLOOKUP(A96,[1]Tørstofindhold!A$2:B$24,2,FALSE),0)</f>
        <v>57.375</v>
      </c>
      <c r="W96">
        <f>IF(E96=År1,Q96,SUM(P96,Q96))*IFERROR(VLOOKUP(A96,[1]Tørstofindhold!A$2:B$24,2,FALSE),0)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si="29"/>
        <v>57.375</v>
      </c>
      <c r="Z96">
        <f t="shared" si="23"/>
        <v>0</v>
      </c>
      <c r="AA96">
        <f t="shared" si="24"/>
        <v>1</v>
      </c>
      <c r="AB96" s="94">
        <f t="shared" si="25"/>
        <v>382.5</v>
      </c>
      <c r="AC96">
        <f>AB96*D96*10000*VLOOKUP(A96,[1]kcal!$A$2:$C$49,3,FALSE)/1000000000000</f>
        <v>1.5605999999999999E-4</v>
      </c>
    </row>
    <row r="97" spans="1:29" x14ac:dyDescent="0.25">
      <c r="A97" s="171" t="str">
        <f t="shared" si="36"/>
        <v>Total til biogas</v>
      </c>
      <c r="B97" s="171" t="str">
        <f t="shared" si="37"/>
        <v/>
      </c>
      <c r="C97" s="171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71">
        <f t="shared" si="21"/>
        <v>0</v>
      </c>
      <c r="E97" s="171">
        <f t="shared" si="20"/>
        <v>2030</v>
      </c>
      <c r="F97" t="s">
        <v>23</v>
      </c>
      <c r="G97" s="94">
        <f>IF(F97="Vestdanmark",SUMIFS(IF(E97=År1,'Resultater - Vestdanmark'!H$3:H$504,IF(E97=År2,'Resultater - Vestdanmark'!I$3:I$504,'Resultater - Vestdanmark'!J$3:J$504)),'Resultater - Vestdanmark'!$F$3:$F$504,$A97,IF(E97=År1,'Resultater - Vestdanmark'!H$3:H$504,IF(E97=År2,'Resultater - Vestdanmark'!I$3:I$504,'Resultater - Vestdanmark'!J$3:J$504)),"&gt;0"),SUMIFS(IF(E97=År1,'Resultater - Østdanmark'!H$3:H$504,IF(E97=År2,'Resultater - Østdanmark'!I$3:I$504,'Resultater - Østdanmark'!J$3:J$504)),'Resultater - Østdanmark'!$F$3:$F$504,$A97,IF(E97=År1,'Resultater - Østdanmark'!H$3:H$504,IF(E97=År2,'Resultater - Østdanmark'!I$3:I$504,'Resultater - Østdanmark'!J$3:J$504)),"&gt;0"))</f>
        <v>0</v>
      </c>
      <c r="H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forbrug'!H$3,'Forbrug af biomasse'!$B$2:$B$425,$F97)</f>
        <v>0</v>
      </c>
      <c r="I97">
        <f>IF(F97="Vestdanmark",-IF(A97="Halm",SUMIFS(IF(E97=År1,'Resultater - Vestdanmark'!H$3:H$504,IF(E97=År2,'Resultater - Vestdanmark'!I$3:I$504,'Resultater - Vestdanmark'!J$3:J$504)),'Resultater - Vestdanmark'!$F$3:$F$504,$A97,'Resultater - Vestdanmark'!H$3:H$504,"&lt;0"),0),-IF(A97="Halm",SUMIFS(IF(E97=År1,'Resultater - Østdanmark'!H$3:H$504,IF(E97=År2,'Resultater - Østdanmark'!I$3:I$504,'Resultater - Østdanmark'!J$3:J$504)),'Resultater - Østdanmark'!$F$3:$F$504,$A97,'Resultater - Østdanmark'!H$3:H$504,"&lt;0"),0))</f>
        <v>0</v>
      </c>
      <c r="J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forbrug'!J$3,'Forbrug af biomasse'!$B$2:$B$425,$F97)</f>
        <v>0</v>
      </c>
      <c r="K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forbrug'!K$3,'Forbrug af biomasse'!$B$2:$B$425,$F97)</f>
        <v>0</v>
      </c>
      <c r="L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forbrug'!L$3,'Forbrug af biomasse'!$B$2:$B$425,$F97)</f>
        <v>0</v>
      </c>
      <c r="M97" s="94">
        <f>IF(A97&lt;&gt;"Biogas",SUMIFS('Forbrug af biomasse'!$E$2:$E$425,'Forbrug af biomasse'!$C$2:$C$425,'Resultat-Produktion &amp; forbrug'!$A97,'Forbrug af biomasse'!$D$2:$D$425,'Resultat-Produktion &amp; forbrug'!$E97,'Forbrug af biomasse'!$A$2:$A$425,'Resultat-Produktion &amp; forbrug'!M$3,'Forbrug af biomasse'!$B$2:$B$425,$F97),G97)</f>
        <v>0</v>
      </c>
      <c r="N97" s="94">
        <f>SUMIFS('Forbrug af biomasse'!E:E,'Forbrug af biomasse'!C:C,'Resultat-Produktion &amp; forbrug'!$A97,'Forbrug af biomasse'!D:D,'Resultat-Produktion &amp; forbrug'!$E97,'Forbrug af biomasse'!G:G,1,'Forbrug af biomasse'!B:B,$F97)</f>
        <v>0</v>
      </c>
      <c r="O97" s="179">
        <f t="shared" si="26"/>
        <v>0</v>
      </c>
      <c r="P97" s="94">
        <f t="shared" si="22"/>
        <v>0</v>
      </c>
      <c r="Q97" s="180">
        <f t="shared" si="27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IF(A97&lt;&gt;"Biogas",IFERROR(VLOOKUP(A97,[1]Biogasudbytte!$A$2:$B$18,2,FALSE)*[1]Energiindhold!$C$10,0)*K97*IFERROR(VLOOKUP(A97,Biogasanlæg!$F$3:$G$8,2,FALSE),1)+IFERROR(VLOOKUP(A97,[1]Energiindhold!$A$2:$C$11,3,FALSE),0)*M97+IF(E97&lt;&gt;År1,R97,0),0)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8"/>
        <v>0</v>
      </c>
      <c r="V97" s="169">
        <f>P97*IFERROR(VLOOKUP(A97,[1]Tørstofindhold!A$2:B$24,2,FALSE),0)</f>
        <v>0</v>
      </c>
      <c r="W97">
        <f>IF(E97=År1,Q97,SUM(P97,Q97))*IFERROR(VLOOKUP(A97,[1]Tørstofindhold!A$2:B$24,2,FALSE),0)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9"/>
        <v>0</v>
      </c>
      <c r="Z97">
        <f t="shared" si="23"/>
        <v>0</v>
      </c>
      <c r="AA97">
        <f t="shared" si="24"/>
        <v>0</v>
      </c>
      <c r="AB97" s="94">
        <f t="shared" si="25"/>
        <v>0</v>
      </c>
      <c r="AC97">
        <f>AB97*D97*10000*VLOOKUP(A97,[1]kcal!$A$2:$C$49,3,FALSE)/1000000000000</f>
        <v>0</v>
      </c>
    </row>
    <row r="98" spans="1:29" x14ac:dyDescent="0.25">
      <c r="A98" s="171" t="str">
        <f t="shared" si="36"/>
        <v>Træ til energi</v>
      </c>
      <c r="B98" s="171" t="str">
        <f t="shared" si="37"/>
        <v>Vedmasse</v>
      </c>
      <c r="C98" s="171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1</v>
      </c>
      <c r="D98" s="171">
        <f t="shared" si="21"/>
        <v>0</v>
      </c>
      <c r="E98" s="171">
        <f t="shared" si="20"/>
        <v>2030</v>
      </c>
      <c r="F98" t="s">
        <v>23</v>
      </c>
      <c r="G98" s="94">
        <f ca="1">IF(F98="Vestdanmark",SUMIFS(IF(E98=År1,'Resultater - Vestdanmark'!H$3:H$504,IF(E98=År2,'Resultater - Vestdanmark'!I$3:I$504,'Resultater - Vestdanmark'!J$3:J$504)),'Resultater - Vestdanmark'!$F$3:$F$504,$A98,IF(E98=År1,'Resultater - Vestdanmark'!H$3:H$504,IF(E98=År2,'Resultater - Vestdanmark'!I$3:I$504,'Resultater - Vestdanmark'!J$3:J$504)),"&gt;0"),SUMIFS(IF(E98=År1,'Resultater - Østdanmark'!H$3:H$504,IF(E98=År2,'Resultater - Østdanmark'!I$3:I$504,'Resultater - Østdanmark'!J$3:J$504)),'Resultater - Østdanmark'!$F$3:$F$504,$A98,IF(E98=År1,'Resultater - Østdanmark'!H$3:H$504,IF(E98=År2,'Resultater - Østdanmark'!I$3:I$504,'Resultater - Østdanmark'!J$3:J$504)),"&gt;0"))</f>
        <v>2217144.8993992088</v>
      </c>
      <c r="H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forbrug'!H$3,'Forbrug af biomasse'!$B$2:$B$425,$F98)</f>
        <v>0</v>
      </c>
      <c r="I98">
        <f>IF(F98="Vestdanmark",-IF(A98="Halm",SUMIFS(IF(E98=År1,'Resultater - Vestdanmark'!H$3:H$504,IF(E98=År2,'Resultater - Vestdanmark'!I$3:I$504,'Resultater - Vestdanmark'!J$3:J$504)),'Resultater - Vestdanmark'!$F$3:$F$504,$A98,'Resultater - Vestdanmark'!H$3:H$504,"&lt;0"),0),-IF(A98="Halm",SUMIFS(IF(E98=År1,'Resultater - Østdanmark'!H$3:H$504,IF(E98=År2,'Resultater - Østdanmark'!I$3:I$504,'Resultater - Østdanmark'!J$3:J$504)),'Resultater - Østdanmark'!$F$3:$F$504,$A98,'Resultater - Østdanmark'!H$3:H$504,"&lt;0"),0))</f>
        <v>0</v>
      </c>
      <c r="J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forbrug'!J$3,'Forbrug af biomasse'!$B$2:$B$425,$F98)</f>
        <v>0</v>
      </c>
      <c r="K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forbrug'!K$3,'Forbrug af biomasse'!$B$2:$B$425,$F98)</f>
        <v>0</v>
      </c>
      <c r="L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forbrug'!L$3,'Forbrug af biomasse'!$B$2:$B$425,$F98)</f>
        <v>0</v>
      </c>
      <c r="M98" s="94">
        <f ca="1">IF(A98&lt;&gt;"Biogas",SUMIFS('Forbrug af biomasse'!$E$2:$E$425,'Forbrug af biomasse'!$C$2:$C$425,'Resultat-Produktion &amp; forbrug'!$A98,'Forbrug af biomasse'!$D$2:$D$425,'Resultat-Produktion &amp; forbrug'!$E98,'Forbrug af biomasse'!$A$2:$A$425,'Resultat-Produktion &amp; forbrug'!M$3,'Forbrug af biomasse'!$B$2:$B$425,$F98),G98)</f>
        <v>2217144.8993992088</v>
      </c>
      <c r="N98" s="94">
        <f>SUMIFS('Forbrug af biomasse'!E:E,'Forbrug af biomasse'!C:C,'Resultat-Produktion &amp; forbrug'!$A98,'Forbrug af biomasse'!D:D,'Resultat-Produktion &amp; forbrug'!$E98,'Forbrug af biomasse'!G:G,1,'Forbrug af biomasse'!B:B,$F98)</f>
        <v>0</v>
      </c>
      <c r="O98" s="179">
        <f t="shared" ca="1" si="26"/>
        <v>0</v>
      </c>
      <c r="P98" s="94">
        <f t="shared" ca="1" si="22"/>
        <v>0</v>
      </c>
      <c r="Q98" s="180">
        <f t="shared" ca="1" si="27"/>
        <v>2217144.8993992088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IF(A98&lt;&gt;"Biogas",IFERROR(VLOOKUP(A98,[1]Biogasudbytte!$A$2:$B$18,2,FALSE)*[1]Energiindhold!$C$10,0)*K98*IFERROR(VLOOKUP(A98,Biogasanlæg!$F$3:$G$8,2,FALSE),1)+IFERROR(VLOOKUP(A98,[1]Energiindhold!$A$2:$C$11,3,FALSE),0)*M98+IF(E98&lt;&gt;År1,R98,0),0)</f>
        <v>32.134342362444997</v>
      </c>
      <c r="T98">
        <f>IFERROR(VLOOKUP(A98,[1]Biogasudbytte!$A$2:$B$18,2,FALSE)*[1]Energiindhold!$C$10,0)*K98*IFERROR(VLOOKUP(A98,Biogasanlæg!$F$3:$G$8,2,FALSE),1)</f>
        <v>0</v>
      </c>
      <c r="U98" s="170">
        <f t="shared" ca="1" si="28"/>
        <v>32.134342362444997</v>
      </c>
      <c r="V98" s="169">
        <f ca="1">P98*IFERROR(VLOOKUP(A98,[1]Tørstofindhold!A$2:B$24,2,FALSE),0)</f>
        <v>0</v>
      </c>
      <c r="W98">
        <f ca="1">IF(E98=År1,Q98,SUM(P98,Q98))*IFERROR(VLOOKUP(A98,[1]Tørstofindhold!A$2:B$24,2,FALSE),0)</f>
        <v>1096562.9148278586</v>
      </c>
      <c r="X98">
        <f>K98*IFERROR(VLOOKUP(A98,[1]Tørstofindhold!A$2:B$24,2,FALSE),0)</f>
        <v>0</v>
      </c>
      <c r="Y98" s="170">
        <f t="shared" ca="1" si="29"/>
        <v>1096562.9148278586</v>
      </c>
      <c r="Z98">
        <f t="shared" ca="1" si="23"/>
        <v>0</v>
      </c>
      <c r="AA98">
        <f t="shared" ca="1" si="24"/>
        <v>0</v>
      </c>
      <c r="AB98" s="94">
        <f t="shared" ca="1" si="25"/>
        <v>2217144.8993992088</v>
      </c>
      <c r="AC98">
        <f ca="1">AB98*D98*10000*VLOOKUP(A98,[1]kcal!$A$2:$C$49,3,FALSE)/1000000000000</f>
        <v>0</v>
      </c>
    </row>
    <row r="99" spans="1:29" x14ac:dyDescent="0.25">
      <c r="A99" s="171" t="str">
        <f t="shared" si="36"/>
        <v>Træmaterialer</v>
      </c>
      <c r="B99" s="171" t="str">
        <f t="shared" si="37"/>
        <v/>
      </c>
      <c r="C99" s="171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71">
        <f t="shared" si="21"/>
        <v>0</v>
      </c>
      <c r="E99" s="171">
        <f t="shared" si="20"/>
        <v>2030</v>
      </c>
      <c r="F99" t="s">
        <v>23</v>
      </c>
      <c r="G99" s="94">
        <f ca="1">IF(F99="Vestdanmark",SUMIFS(IF(E99=År1,'Resultater - Vestdanmark'!H$3:H$504,IF(E99=År2,'Resultater - Vestdanmark'!I$3:I$504,'Resultater - Vestdanmark'!J$3:J$504)),'Resultater - Vestdanmark'!$F$3:$F$504,$A99,IF(E99=År1,'Resultater - Vestdanmark'!H$3:H$504,IF(E99=År2,'Resultater - Vestdanmark'!I$3:I$504,'Resultater - Vestdanmark'!J$3:J$504)),"&gt;0"),SUMIFS(IF(E99=År1,'Resultater - Østdanmark'!H$3:H$504,IF(E99=År2,'Resultater - Østdanmark'!I$3:I$504,'Resultater - Østdanmark'!J$3:J$504)),'Resultater - Østdanmark'!$F$3:$F$504,$A99,IF(E99=År1,'Resultater - Østdanmark'!H$3:H$504,IF(E99=År2,'Resultater - Østdanmark'!I$3:I$504,'Resultater - Østdanmark'!J$3:J$504)),"&gt;0"))</f>
        <v>610444.4261939266</v>
      </c>
      <c r="H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forbrug'!H$3,'Forbrug af biomasse'!$B$2:$B$425,$F99)</f>
        <v>0</v>
      </c>
      <c r="I99">
        <f>IF(F99="Vestdanmark",-IF(A99="Halm",SUMIFS(IF(E99=År1,'Resultater - Vestdanmark'!H$3:H$504,IF(E99=År2,'Resultater - Vestdanmark'!I$3:I$504,'Resultater - Vestdanmark'!J$3:J$504)),'Resultater - Vestdanmark'!$F$3:$F$504,$A99,'Resultater - Vestdanmark'!H$3:H$504,"&lt;0"),0),-IF(A99="Halm",SUMIFS(IF(E99=År1,'Resultater - Østdanmark'!H$3:H$504,IF(E99=År2,'Resultater - Østdanmark'!I$3:I$504,'Resultater - Østdanmark'!J$3:J$504)),'Resultater - Østdanmark'!$F$3:$F$504,$A99,'Resultater - Østdanmark'!H$3:H$504,"&lt;0"),0))</f>
        <v>0</v>
      </c>
      <c r="J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forbrug'!J$3,'Forbrug af biomasse'!$B$2:$B$425,$F99)</f>
        <v>0</v>
      </c>
      <c r="K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forbrug'!K$3,'Forbrug af biomasse'!$B$2:$B$425,$F99)</f>
        <v>0</v>
      </c>
      <c r="L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forbrug'!L$3,'Forbrug af biomasse'!$B$2:$B$425,$F99)</f>
        <v>0</v>
      </c>
      <c r="M99" s="94">
        <f>IF(A99&lt;&gt;"Biogas",SUMIFS('Forbrug af biomasse'!$E$2:$E$425,'Forbrug af biomasse'!$C$2:$C$425,'Resultat-Produktion &amp; forbrug'!$A99,'Forbrug af biomasse'!$D$2:$D$425,'Resultat-Produktion &amp; forbrug'!$E99,'Forbrug af biomasse'!$A$2:$A$425,'Resultat-Produktion &amp; forbrug'!M$3,'Forbrug af biomasse'!$B$2:$B$425,$F99),G99)</f>
        <v>0</v>
      </c>
      <c r="N99" s="94">
        <f ca="1">SUMIFS('Forbrug af biomasse'!E:E,'Forbrug af biomasse'!C:C,'Resultat-Produktion &amp; forbrug'!$A99,'Forbrug af biomasse'!D:D,'Resultat-Produktion &amp; forbrug'!$E99,'Forbrug af biomasse'!G:G,1,'Forbrug af biomasse'!B:B,$F99)</f>
        <v>610444.4261939266</v>
      </c>
      <c r="O99" s="179">
        <f t="shared" ca="1" si="26"/>
        <v>0</v>
      </c>
      <c r="P99" s="94">
        <f t="shared" si="22"/>
        <v>0</v>
      </c>
      <c r="Q99" s="180">
        <f t="shared" si="27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IF(A99&lt;&gt;"Biogas",IFERROR(VLOOKUP(A99,[1]Biogasudbytte!$A$2:$B$18,2,FALSE)*[1]Energiindhold!$C$10,0)*K99*IFERROR(VLOOKUP(A99,Biogasanlæg!$F$3:$G$8,2,FALSE),1)+IFERROR(VLOOKUP(A99,[1]Energiindhold!$A$2:$C$11,3,FALSE),0)*M99+IF(E99&lt;&gt;År1,R99,0),0)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8"/>
        <v>0</v>
      </c>
      <c r="V99" s="169">
        <f>P99*IFERROR(VLOOKUP(A99,[1]Tørstofindhold!A$2:B$24,2,FALSE),0)</f>
        <v>0</v>
      </c>
      <c r="W99">
        <f>IF(E99=År1,Q99,SUM(P99,Q99))*IFERROR(VLOOKUP(A99,[1]Tørstofindhold!A$2:B$24,2,FALSE),0)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9"/>
        <v>0</v>
      </c>
      <c r="Z99">
        <f t="shared" ca="1" si="23"/>
        <v>0</v>
      </c>
      <c r="AA99">
        <f t="shared" ca="1" si="24"/>
        <v>0</v>
      </c>
      <c r="AB99" s="94">
        <f t="shared" ca="1" si="25"/>
        <v>610444.4261939266</v>
      </c>
      <c r="AC99">
        <f ca="1">AB99*D99*10000*VLOOKUP(A99,[1]kcal!$A$2:$C$49,3,FALSE)/1000000000000</f>
        <v>0</v>
      </c>
    </row>
    <row r="100" spans="1:29" x14ac:dyDescent="0.25">
      <c r="A100" s="171" t="str">
        <f t="shared" si="36"/>
        <v>Æg</v>
      </c>
      <c r="B100" s="171" t="str">
        <f t="shared" si="37"/>
        <v/>
      </c>
      <c r="C100" s="171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71">
        <f t="shared" si="21"/>
        <v>1</v>
      </c>
      <c r="E100" s="171">
        <f t="shared" ref="E100:E147" si="38">År3</f>
        <v>2050</v>
      </c>
      <c r="F100" t="s">
        <v>23</v>
      </c>
      <c r="G100" s="94">
        <f>IF(F100="Vestdanmark",SUMIFS(IF(E100=År1,'Resultater - Vestdanmark'!H$3:H$504,IF(E100=År2,'Resultater - Vestdanmark'!I$3:I$504,'Resultater - Vestdanmark'!J$3:J$504)),'Resultater - Vestdanmark'!$F$3:$F$504,$A100,IF(E100=År1,'Resultater - Vestdanmark'!H$3:H$504,IF(E100=År2,'Resultater - Vestdanmark'!I$3:I$504,'Resultater - Vestdanmark'!J$3:J$504)),"&gt;0"),SUMIFS(IF(E100=År1,'Resultater - Østdanmark'!H$3:H$504,IF(E100=År2,'Resultater - Østdanmark'!I$3:I$504,'Resultater - Østdanmark'!J$3:J$504)),'Resultater - Østdanmark'!$F$3:$F$504,$A100,IF(E100=År1,'Resultater - Østdanmark'!H$3:H$504,IF(E100=År2,'Resultater - Østdanmark'!I$3:I$504,'Resultater - Østdanmark'!J$3:J$504)),"&gt;0"))</f>
        <v>38948.680417674739</v>
      </c>
      <c r="H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forbrug'!H$3,'Forbrug af biomasse'!$B$2:$B$425,$F100)</f>
        <v>0</v>
      </c>
      <c r="I100">
        <f>IF(F100="Vestdanmark",-IF(A100="Halm",SUMIFS(IF(E100=År1,'Resultater - Vestdanmark'!H$3:H$504,IF(E100=År2,'Resultater - Vestdanmark'!I$3:I$504,'Resultater - Vestdanmark'!J$3:J$504)),'Resultater - Vestdanmark'!$F$3:$F$504,$A100,'Resultater - Vestdanmark'!H$3:H$504,"&lt;0"),0),-IF(A100="Halm",SUMIFS(IF(E100=År1,'Resultater - Østdanmark'!H$3:H$504,IF(E100=År2,'Resultater - Østdanmark'!I$3:I$504,'Resultater - Østdanmark'!J$3:J$504)),'Resultater - Østdanmark'!$F$3:$F$504,$A100,'Resultater - Østdanmark'!H$3:H$504,"&lt;0"),0))</f>
        <v>0</v>
      </c>
      <c r="J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forbrug'!J$3,'Forbrug af biomasse'!$B$2:$B$425,$F100)</f>
        <v>33849.968886444818</v>
      </c>
      <c r="K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forbrug'!K$3,'Forbrug af biomasse'!$B$2:$B$425,$F100)</f>
        <v>0</v>
      </c>
      <c r="L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forbrug'!L$3,'Forbrug af biomasse'!$B$2:$B$425,$F100)</f>
        <v>0</v>
      </c>
      <c r="M100" s="94">
        <f>IF(A100&lt;&gt;"Biogas",SUMIFS('Forbrug af biomasse'!$E$2:$E$425,'Forbrug af biomasse'!$C$2:$C$425,'Resultat-Produktion &amp; forbrug'!$A100,'Forbrug af biomasse'!$D$2:$D$425,'Resultat-Produktion &amp; forbrug'!$E100,'Forbrug af biomasse'!$A$2:$A$425,'Resultat-Produktion &amp; forbrug'!M$3,'Forbrug af biomasse'!$B$2:$B$425,$F100),G100)</f>
        <v>0</v>
      </c>
      <c r="N100" s="94">
        <f>SUMIFS('Forbrug af biomasse'!E:E,'Forbrug af biomasse'!C:C,'Resultat-Produktion &amp; forbrug'!$A100,'Forbrug af biomasse'!D:D,'Resultat-Produktion &amp; forbrug'!$E100,'Forbrug af biomasse'!G:G,1,'Forbrug af biomasse'!B:B,$F100)</f>
        <v>0</v>
      </c>
      <c r="O100" s="179">
        <f t="shared" si="26"/>
        <v>5098.7115312299211</v>
      </c>
      <c r="P100" s="94">
        <f t="shared" si="22"/>
        <v>0</v>
      </c>
      <c r="Q100" s="180">
        <f t="shared" si="27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IF(A100&lt;&gt;"Biogas",IFERROR(VLOOKUP(A100,[1]Biogasudbytte!$A$2:$B$18,2,FALSE)*[1]Energiindhold!$C$10,0)*K100*IFERROR(VLOOKUP(A100,Biogasanlæg!$F$3:$G$8,2,FALSE),1)+IFERROR(VLOOKUP(A100,[1]Energiindhold!$A$2:$C$11,3,FALSE),0)*M100+IF(E100&lt;&gt;År1,R100,0),0)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8"/>
        <v>0</v>
      </c>
      <c r="V100" s="169">
        <f>P100*IFERROR(VLOOKUP(A100,[1]Tørstofindhold!A$2:B$24,2,FALSE),0)</f>
        <v>0</v>
      </c>
      <c r="W100">
        <f>IF(E100=År1,Q100,SUM(P100,Q100))*IFERROR(VLOOKUP(A100,[1]Tørstofindhold!A$2:B$24,2,FALSE),0)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9"/>
        <v>0</v>
      </c>
      <c r="Z100">
        <f t="shared" si="23"/>
        <v>1</v>
      </c>
      <c r="AA100">
        <f t="shared" si="24"/>
        <v>0</v>
      </c>
      <c r="AB100" s="94">
        <f t="shared" si="25"/>
        <v>38948.680417674739</v>
      </c>
      <c r="AC100">
        <f>AB100*D100*10000*VLOOKUP(A100,[1]kcal!$A$2:$C$49,3,FALSE)/1000000000000</f>
        <v>5.3749178976391136E-2</v>
      </c>
    </row>
    <row r="101" spans="1:29" x14ac:dyDescent="0.25">
      <c r="A101" s="171" t="str">
        <f t="shared" si="36"/>
        <v>Bælgsæd</v>
      </c>
      <c r="B101" s="171" t="str">
        <f t="shared" si="37"/>
        <v/>
      </c>
      <c r="C101" s="171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0</v>
      </c>
      <c r="D101" s="171">
        <f t="shared" si="21"/>
        <v>1</v>
      </c>
      <c r="E101" s="171">
        <f t="shared" si="38"/>
        <v>2050</v>
      </c>
      <c r="F101" t="s">
        <v>23</v>
      </c>
      <c r="G101" s="94">
        <f>IF(F101="Vestdanmark",SUMIFS(IF(E101=År1,'Resultater - Vestdanmark'!H$3:H$504,IF(E101=År2,'Resultater - Vestdanmark'!I$3:I$504,'Resultater - Vestdanmark'!J$3:J$504)),'Resultater - Vestdanmark'!$F$3:$F$504,$A101,IF(E101=År1,'Resultater - Vestdanmark'!H$3:H$504,IF(E101=År2,'Resultater - Vestdanmark'!I$3:I$504,'Resultater - Vestdanmark'!J$3:J$504)),"&gt;0"),SUMIFS(IF(E101=År1,'Resultater - Østdanmark'!H$3:H$504,IF(E101=År2,'Resultater - Østdanmark'!I$3:I$504,'Resultater - Østdanmark'!J$3:J$504)),'Resultater - Østdanmark'!$F$3:$F$504,$A101,IF(E101=År1,'Resultater - Østdanmark'!H$3:H$504,IF(E101=År2,'Resultater - Østdanmark'!I$3:I$504,'Resultater - Østdanmark'!J$3:J$504)),"&gt;0"))</f>
        <v>1461503.2991938624</v>
      </c>
      <c r="H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forbrug'!H$3,'Forbrug af biomasse'!$B$2:$B$425,$F101)</f>
        <v>5548.5022247895331</v>
      </c>
      <c r="I101">
        <f>IF(F101="Vestdanmark",-IF(A101="Halm",SUMIFS(IF(E101=År1,'Resultater - Vestdanmark'!H$3:H$504,IF(E101=År2,'Resultater - Vestdanmark'!I$3:I$504,'Resultater - Vestdanmark'!J$3:J$504)),'Resultater - Vestdanmark'!$F$3:$F$504,$A101,'Resultater - Vestdanmark'!H$3:H$504,"&lt;0"),0),-IF(A101="Halm",SUMIFS(IF(E101=År1,'Resultater - Østdanmark'!H$3:H$504,IF(E101=År2,'Resultater - Østdanmark'!I$3:I$504,'Resultater - Østdanmark'!J$3:J$504)),'Resultater - Østdanmark'!$F$3:$F$504,$A101,'Resultater - Østdanmark'!H$3:H$504,"&lt;0"),0))</f>
        <v>0</v>
      </c>
      <c r="J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forbrug'!J$3,'Forbrug af biomasse'!$B$2:$B$425,$F101)</f>
        <v>0</v>
      </c>
      <c r="K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forbrug'!K$3,'Forbrug af biomasse'!$B$2:$B$425,$F101)</f>
        <v>0</v>
      </c>
      <c r="L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forbrug'!L$3,'Forbrug af biomasse'!$B$2:$B$425,$F101)</f>
        <v>0</v>
      </c>
      <c r="M101" s="94">
        <f>IF(A101&lt;&gt;"Biogas",SUMIFS('Forbrug af biomasse'!$E$2:$E$425,'Forbrug af biomasse'!$C$2:$C$425,'Resultat-Produktion &amp; forbrug'!$A101,'Forbrug af biomasse'!$D$2:$D$425,'Resultat-Produktion &amp; forbrug'!$E101,'Forbrug af biomasse'!$A$2:$A$425,'Resultat-Produktion &amp; forbrug'!M$3,'Forbrug af biomasse'!$B$2:$B$425,$F101),G101)</f>
        <v>0</v>
      </c>
      <c r="N101" s="94">
        <f>SUMIFS('Forbrug af biomasse'!E:E,'Forbrug af biomasse'!C:C,'Resultat-Produktion &amp; forbrug'!$A101,'Forbrug af biomasse'!D:D,'Resultat-Produktion &amp; forbrug'!$E101,'Forbrug af biomasse'!G:G,1,'Forbrug af biomasse'!B:B,$F101)</f>
        <v>0</v>
      </c>
      <c r="O101" s="179">
        <f t="shared" si="26"/>
        <v>1455954.7969690729</v>
      </c>
      <c r="P101" s="94">
        <f t="shared" si="22"/>
        <v>0</v>
      </c>
      <c r="Q101" s="180">
        <f t="shared" si="27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IF(A101&lt;&gt;"Biogas",IFERROR(VLOOKUP(A101,[1]Biogasudbytte!$A$2:$B$18,2,FALSE)*[1]Energiindhold!$C$10,0)*K101*IFERROR(VLOOKUP(A101,Biogasanlæg!$F$3:$G$8,2,FALSE),1)+IFERROR(VLOOKUP(A101,[1]Energiindhold!$A$2:$C$11,3,FALSE),0)*M101+IF(E101&lt;&gt;År1,R101,0),0)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8"/>
        <v>0</v>
      </c>
      <c r="V101" s="169">
        <f>P101*IFERROR(VLOOKUP(A101,[1]Tørstofindhold!A$2:B$24,2,FALSE),0)</f>
        <v>0</v>
      </c>
      <c r="W101">
        <f>IF(E101=År1,Q101,SUM(P101,Q101))*IFERROR(VLOOKUP(A101,[1]Tørstofindhold!A$2:B$24,2,FALSE),0)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9"/>
        <v>0</v>
      </c>
      <c r="Z101">
        <f t="shared" si="23"/>
        <v>0</v>
      </c>
      <c r="AA101">
        <f t="shared" si="24"/>
        <v>1</v>
      </c>
      <c r="AB101" s="94">
        <f t="shared" si="25"/>
        <v>1455954.7969690729</v>
      </c>
      <c r="AC101">
        <f>AB101*D101*10000*VLOOKUP(A101,[1]kcal!$A$2:$C$49,3,FALSE)/1000000000000</f>
        <v>10.111606064950211</v>
      </c>
    </row>
    <row r="102" spans="1:29" x14ac:dyDescent="0.25">
      <c r="A102" s="171" t="str">
        <f t="shared" si="36"/>
        <v>Bioaffald</v>
      </c>
      <c r="B102" s="171" t="str">
        <f t="shared" si="37"/>
        <v>Bionedbrydeligt affald</v>
      </c>
      <c r="C102" s="171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71">
        <f t="shared" si="21"/>
        <v>0</v>
      </c>
      <c r="E102" s="171">
        <f t="shared" si="38"/>
        <v>2050</v>
      </c>
      <c r="F102" t="s">
        <v>23</v>
      </c>
      <c r="G102" s="94">
        <f ca="1">IF(F102="Vestdanmark",SUMIFS(IF(E102=År1,'Resultater - Vestdanmark'!H$3:H$504,IF(E102=År2,'Resultater - Vestdanmark'!I$3:I$504,'Resultater - Vestdanmark'!J$3:J$504)),'Resultater - Vestdanmark'!$F$3:$F$504,$A102,IF(E102=År1,'Resultater - Vestdanmark'!H$3:H$504,IF(E102=År2,'Resultater - Vestdanmark'!I$3:I$504,'Resultater - Vestdanmark'!J$3:J$504)),"&gt;0"),SUMIFS(IF(E102=År1,'Resultater - Østdanmark'!H$3:H$504,IF(E102=År2,'Resultater - Østdanmark'!I$3:I$504,'Resultater - Østdanmark'!J$3:J$504)),'Resultater - Østdanmark'!$F$3:$F$504,$A102,IF(E102=År1,'Resultater - Østdanmark'!H$3:H$504,IF(E102=År2,'Resultater - Østdanmark'!I$3:I$504,'Resultater - Østdanmark'!J$3:J$504)),"&gt;0"))</f>
        <v>197484.13479984918</v>
      </c>
      <c r="H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forbrug'!H$3,'Forbrug af biomasse'!$B$2:$B$425,$F102)</f>
        <v>0</v>
      </c>
      <c r="I102">
        <f>IF(F102="Vestdanmark",-IF(A102="Halm",SUMIFS(IF(E102=År1,'Resultater - Vestdanmark'!H$3:H$504,IF(E102=År2,'Resultater - Vestdanmark'!I$3:I$504,'Resultater - Vestdanmark'!J$3:J$504)),'Resultater - Vestdanmark'!$F$3:$F$504,$A102,'Resultater - Vestdanmark'!H$3:H$504,"&lt;0"),0),-IF(A102="Halm",SUMIFS(IF(E102=År1,'Resultater - Østdanmark'!H$3:H$504,IF(E102=År2,'Resultater - Østdanmark'!I$3:I$504,'Resultater - Østdanmark'!J$3:J$504)),'Resultater - Østdanmark'!$F$3:$F$504,$A102,'Resultater - Østdanmark'!H$3:H$504,"&lt;0"),0))</f>
        <v>0</v>
      </c>
      <c r="J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forbrug'!J$3,'Forbrug af biomasse'!$B$2:$B$425,$F102)</f>
        <v>0</v>
      </c>
      <c r="K102" s="94">
        <f ca="1">SUMIFS('Forbrug af biomasse'!$E$2:$E$425,'Forbrug af biomasse'!$C$2:$C$425,'Resultat-Produktion &amp; forbrug'!$A102,'Forbrug af biomasse'!$D$2:$D$425,'Resultat-Produktion &amp; forbrug'!$E102,'Forbrug af biomasse'!$A$2:$A$425,'Resultat-Produktion &amp; forbrug'!K$3,'Forbrug af biomasse'!$B$2:$B$425,$F102)</f>
        <v>0</v>
      </c>
      <c r="L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forbrug'!L$3,'Forbrug af biomasse'!$B$2:$B$425,$F102)</f>
        <v>0</v>
      </c>
      <c r="M102" s="94">
        <f ca="1">IF(A102&lt;&gt;"Biogas",SUMIFS('Forbrug af biomasse'!$E$2:$E$425,'Forbrug af biomasse'!$C$2:$C$425,'Resultat-Produktion &amp; forbrug'!$A102,'Forbrug af biomasse'!$D$2:$D$425,'Resultat-Produktion &amp; forbrug'!$E102,'Forbrug af biomasse'!$A$2:$A$425,'Resultat-Produktion &amp; forbrug'!M$3,'Forbrug af biomasse'!$B$2:$B$425,$F102),G102)</f>
        <v>197484.13479984918</v>
      </c>
      <c r="N102" s="94">
        <f ca="1">SUMIFS('Forbrug af biomasse'!E:E,'Forbrug af biomasse'!C:C,'Resultat-Produktion &amp; forbrug'!$A102,'Forbrug af biomasse'!D:D,'Resultat-Produktion &amp; forbrug'!$E102,'Forbrug af biomasse'!G:G,1,'Forbrug af biomasse'!B:B,$F102)</f>
        <v>0</v>
      </c>
      <c r="O102" s="179">
        <f t="shared" ca="1" si="26"/>
        <v>0</v>
      </c>
      <c r="P102" s="94">
        <f t="shared" ca="1" si="22"/>
        <v>0</v>
      </c>
      <c r="Q102" s="180">
        <f t="shared" ca="1" si="27"/>
        <v>197484.13479984918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IF(A102&lt;&gt;"Biogas",IFERROR(VLOOKUP(A102,[1]Biogasudbytte!$A$2:$B$18,2,FALSE)*[1]Energiindhold!$C$10,0)*K102*IFERROR(VLOOKUP(A102,Biogasanlæg!$F$3:$G$8,2,FALSE),1)+IFERROR(VLOOKUP(A102,[1]Energiindhold!$A$2:$C$11,3,FALSE),0)*M102+IF(E102&lt;&gt;År1,R102,0),0)</f>
        <v>3.5255303237813815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8"/>
        <v>3.5255303237813815</v>
      </c>
      <c r="V102" s="169">
        <f ca="1">P102*IFERROR(VLOOKUP(A102,[1]Tørstofindhold!A$2:B$24,2,FALSE),0)</f>
        <v>0</v>
      </c>
      <c r="W102">
        <f ca="1">IF(E102=År1,Q102,SUM(P102,Q102))*IFERROR(VLOOKUP(A102,[1]Tørstofindhold!A$2:B$24,2,FALSE),0)</f>
        <v>55295.557743957776</v>
      </c>
      <c r="X102">
        <f ca="1">K102*IFERROR(VLOOKUP(A102,[1]Tørstofindhold!A$2:B$24,2,FALSE),0)</f>
        <v>0</v>
      </c>
      <c r="Y102" s="170">
        <f t="shared" ca="1" si="29"/>
        <v>55295.557743957776</v>
      </c>
      <c r="Z102">
        <f t="shared" ca="1" si="23"/>
        <v>0</v>
      </c>
      <c r="AA102">
        <f t="shared" ca="1" si="24"/>
        <v>0</v>
      </c>
      <c r="AB102" s="94">
        <f t="shared" ca="1" si="25"/>
        <v>197484.13479984918</v>
      </c>
      <c r="AC102">
        <f ca="1">AB102*D102*10000*VLOOKUP(A102,[1]kcal!$A$2:$C$49,3,FALSE)/1000000000000</f>
        <v>0</v>
      </c>
    </row>
    <row r="103" spans="1:29" x14ac:dyDescent="0.25">
      <c r="A103" s="171" t="str">
        <f t="shared" si="36"/>
        <v>Biogas</v>
      </c>
      <c r="B103" s="171" t="str">
        <f t="shared" si="37"/>
        <v/>
      </c>
      <c r="C103" s="171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1</v>
      </c>
      <c r="D103" s="171">
        <f t="shared" si="21"/>
        <v>0</v>
      </c>
      <c r="E103" s="171">
        <f t="shared" si="38"/>
        <v>2050</v>
      </c>
      <c r="F103" t="s">
        <v>23</v>
      </c>
      <c r="G103" s="94">
        <f ca="1">IF(F103="Vestdanmark",SUMIFS(IF(E103=År1,'Resultater - Vestdanmark'!H$3:H$504,IF(E103=År2,'Resultater - Vestdanmark'!I$3:I$504,'Resultater - Vestdanmark'!J$3:J$504)),'Resultater - Vestdanmark'!$F$3:$F$504,$A103,IF(E103=År1,'Resultater - Vestdanmark'!H$3:H$504,IF(E103=År2,'Resultater - Vestdanmark'!I$3:I$504,'Resultater - Vestdanmark'!J$3:J$504)),"&gt;0"),SUMIFS(IF(E103=År1,'Resultater - Østdanmark'!H$3:H$504,IF(E103=År2,'Resultater - Østdanmark'!I$3:I$504,'Resultater - Østdanmark'!J$3:J$504)),'Resultater - Østdanmark'!$F$3:$F$504,$A103,IF(E103=År1,'Resultater - Østdanmark'!H$3:H$504,IF(E103=År2,'Resultater - Østdanmark'!I$3:I$504,'Resultater - Østdanmark'!J$3:J$504)),"&gt;0"))</f>
        <v>154707932.21283442</v>
      </c>
      <c r="H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forbrug'!H$3,'Forbrug af biomasse'!$B$2:$B$425,$F103)</f>
        <v>0</v>
      </c>
      <c r="I103">
        <f>IF(F103="Vestdanmark",-IF(A103="Halm",SUMIFS(IF(E103=År1,'Resultater - Vestdanmark'!H$3:H$504,IF(E103=År2,'Resultater - Vestdanmark'!I$3:I$504,'Resultater - Vestdanmark'!J$3:J$504)),'Resultater - Vestdanmark'!$F$3:$F$504,$A103,'Resultater - Vestdanmark'!H$3:H$504,"&lt;0"),0),-IF(A103="Halm",SUMIFS(IF(E103=År1,'Resultater - Østdanmark'!H$3:H$504,IF(E103=År2,'Resultater - Østdanmark'!I$3:I$504,'Resultater - Østdanmark'!J$3:J$504)),'Resultater - Østdanmark'!$F$3:$F$504,$A103,'Resultater - Østdanmark'!H$3:H$504,"&lt;0"),0))</f>
        <v>0</v>
      </c>
      <c r="J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forbrug'!J$3,'Forbrug af biomasse'!$B$2:$B$425,$F103)</f>
        <v>0</v>
      </c>
      <c r="K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forbrug'!K$3,'Forbrug af biomasse'!$B$2:$B$425,$F103)</f>
        <v>0</v>
      </c>
      <c r="L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forbrug'!L$3,'Forbrug af biomasse'!$B$2:$B$425,$F103)</f>
        <v>0</v>
      </c>
      <c r="M103" s="94">
        <f ca="1">IF(A103&lt;&gt;"Biogas",SUMIFS('Forbrug af biomasse'!$E$2:$E$425,'Forbrug af biomasse'!$C$2:$C$425,'Resultat-Produktion &amp; forbrug'!$A103,'Forbrug af biomasse'!$D$2:$D$425,'Resultat-Produktion &amp; forbrug'!$E103,'Forbrug af biomasse'!$A$2:$A$425,'Resultat-Produktion &amp; forbrug'!M$3,'Forbrug af biomasse'!$B$2:$B$425,$F103),G103)</f>
        <v>154707932.21283442</v>
      </c>
      <c r="N103" s="94">
        <f>SUMIFS('Forbrug af biomasse'!E:E,'Forbrug af biomasse'!C:C,'Resultat-Produktion &amp; forbrug'!$A103,'Forbrug af biomasse'!D:D,'Resultat-Produktion &amp; forbrug'!$E103,'Forbrug af biomasse'!G:G,1,'Forbrug af biomasse'!B:B,$F103)</f>
        <v>0</v>
      </c>
      <c r="O103" s="179">
        <f t="shared" ca="1" si="26"/>
        <v>0</v>
      </c>
      <c r="P103" s="94">
        <f t="shared" ca="1" si="22"/>
        <v>0</v>
      </c>
      <c r="Q103" s="180">
        <f t="shared" ca="1" si="27"/>
        <v>154707932.21283442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IF(A103&lt;&gt;"Biogas",IFERROR(VLOOKUP(A103,[1]Biogasudbytte!$A$2:$B$18,2,FALSE)*[1]Energiindhold!$C$10,0)*K103*IFERROR(VLOOKUP(A103,Biogasanlæg!$F$3:$G$8,2,FALSE),1)+IFERROR(VLOOKUP(A103,[1]Energiindhold!$A$2:$C$11,3,FALSE),0)*M103+IF(E103&lt;&gt;År1,R103,0),0)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8"/>
        <v>0</v>
      </c>
      <c r="V103" s="169">
        <f ca="1">P103*IFERROR(VLOOKUP(A103,[1]Tørstofindhold!A$2:B$24,2,FALSE),0)</f>
        <v>0</v>
      </c>
      <c r="W103">
        <f ca="1">IF(E103=År1,Q103,SUM(P103,Q103))*IFERROR(VLOOKUP(A103,[1]Tørstofindhold!A$2:B$24,2,FALSE),0)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9"/>
        <v>0</v>
      </c>
      <c r="Z103">
        <f t="shared" ca="1" si="23"/>
        <v>0</v>
      </c>
      <c r="AA103">
        <f t="shared" ca="1" si="24"/>
        <v>0</v>
      </c>
      <c r="AB103" s="94">
        <f t="shared" ca="1" si="25"/>
        <v>154707932.21283442</v>
      </c>
      <c r="AC103">
        <f ca="1">AB103*D103*10000*VLOOKUP(A103,[1]kcal!$A$2:$C$49,3,FALSE)/1000000000000</f>
        <v>0</v>
      </c>
    </row>
    <row r="104" spans="1:29" x14ac:dyDescent="0.25">
      <c r="A104" s="171" t="str">
        <f t="shared" si="36"/>
        <v>Biogasgylle</v>
      </c>
      <c r="B104" s="171" t="str">
        <f t="shared" si="37"/>
        <v/>
      </c>
      <c r="C104" s="171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0</v>
      </c>
      <c r="D104" s="171">
        <f t="shared" si="21"/>
        <v>0</v>
      </c>
      <c r="E104" s="171">
        <f t="shared" si="38"/>
        <v>2050</v>
      </c>
      <c r="F104" t="s">
        <v>23</v>
      </c>
      <c r="G104" s="94">
        <f ca="1">IF(F104="Vestdanmark",SUMIFS(IF(E104=År1,'Resultater - Vestdanmark'!H$3:H$504,IF(E104=År2,'Resultater - Vestdanmark'!I$3:I$504,'Resultater - Vestdanmark'!J$3:J$504)),'Resultater - Vestdanmark'!$F$3:$F$504,$A104,IF(E104=År1,'Resultater - Vestdanmark'!H$3:H$504,IF(E104=År2,'Resultater - Vestdanmark'!I$3:I$504,'Resultater - Vestdanmark'!J$3:J$504)),"&gt;0"),SUMIFS(IF(E104=År1,'Resultater - Østdanmark'!H$3:H$504,IF(E104=År2,'Resultater - Østdanmark'!I$3:I$504,'Resultater - Østdanmark'!J$3:J$504)),'Resultater - Østdanmark'!$F$3:$F$504,$A104,IF(E104=År1,'Resultater - Østdanmark'!H$3:H$504,IF(E104=År2,'Resultater - Østdanmark'!I$3:I$504,'Resultater - Østdanmark'!J$3:J$504)),"&gt;0"))</f>
        <v>4885897.4700810183</v>
      </c>
      <c r="H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forbrug'!H$3,'Forbrug af biomasse'!$B$2:$B$425,$F104)</f>
        <v>0</v>
      </c>
      <c r="I104">
        <f>IF(F104="Vestdanmark",-IF(A104="Halm",SUMIFS(IF(E104=År1,'Resultater - Vestdanmark'!H$3:H$504,IF(E104=År2,'Resultater - Vestdanmark'!I$3:I$504,'Resultater - Vestdanmark'!J$3:J$504)),'Resultater - Vestdanmark'!$F$3:$F$504,$A104,'Resultater - Vestdanmark'!H$3:H$504,"&lt;0"),0),-IF(A104="Halm",SUMIFS(IF(E104=År1,'Resultater - Østdanmark'!H$3:H$504,IF(E104=År2,'Resultater - Østdanmark'!I$3:I$504,'Resultater - Østdanmark'!J$3:J$504)),'Resultater - Østdanmark'!$F$3:$F$504,$A104,'Resultater - Østdanmark'!H$3:H$504,"&lt;0"),0))</f>
        <v>0</v>
      </c>
      <c r="J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forbrug'!J$3,'Forbrug af biomasse'!$B$2:$B$425,$F104)</f>
        <v>0</v>
      </c>
      <c r="K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forbrug'!K$3,'Forbrug af biomasse'!$B$2:$B$425,$F104)</f>
        <v>0</v>
      </c>
      <c r="L104" s="94">
        <f ca="1">SUMIFS('Forbrug af biomasse'!$E$2:$E$425,'Forbrug af biomasse'!$C$2:$C$425,'Resultat-Produktion &amp; forbrug'!$A104,'Forbrug af biomasse'!$D$2:$D$425,'Resultat-Produktion &amp; forbrug'!$E104,'Forbrug af biomasse'!$A$2:$A$425,'Resultat-Produktion &amp; forbrug'!L$3,'Forbrug af biomasse'!$B$2:$B$425,$F104)</f>
        <v>495509.77237359248</v>
      </c>
      <c r="M104" s="94">
        <f>IF(A104&lt;&gt;"Biogas",SUMIFS('Forbrug af biomasse'!$E$2:$E$425,'Forbrug af biomasse'!$C$2:$C$425,'Resultat-Produktion &amp; forbrug'!$A104,'Forbrug af biomasse'!$D$2:$D$425,'Resultat-Produktion &amp; forbrug'!$E104,'Forbrug af biomasse'!$A$2:$A$425,'Resultat-Produktion &amp; forbrug'!M$3,'Forbrug af biomasse'!$B$2:$B$425,$F104),G104)</f>
        <v>0</v>
      </c>
      <c r="N104" s="94">
        <f>SUMIFS('Forbrug af biomasse'!E:E,'Forbrug af biomasse'!C:C,'Resultat-Produktion &amp; forbrug'!$A104,'Forbrug af biomasse'!D:D,'Resultat-Produktion &amp; forbrug'!$E104,'Forbrug af biomasse'!G:G,1,'Forbrug af biomasse'!B:B,$F104)</f>
        <v>0</v>
      </c>
      <c r="O104" s="179">
        <f t="shared" ca="1" si="26"/>
        <v>4390387.6977074258</v>
      </c>
      <c r="P104" s="94">
        <f t="shared" si="22"/>
        <v>0</v>
      </c>
      <c r="Q104" s="180">
        <f t="shared" si="27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IF(A104&lt;&gt;"Biogas",IFERROR(VLOOKUP(A104,[1]Biogasudbytte!$A$2:$B$18,2,FALSE)*[1]Energiindhold!$C$10,0)*K104*IFERROR(VLOOKUP(A104,Biogasanlæg!$F$3:$G$8,2,FALSE),1)+IFERROR(VLOOKUP(A104,[1]Energiindhold!$A$2:$C$11,3,FALSE),0)*M104+IF(E104&lt;&gt;År1,R104,0),0)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8"/>
        <v>0</v>
      </c>
      <c r="V104" s="169">
        <f>P104*IFERROR(VLOOKUP(A104,[1]Tørstofindhold!A$2:B$24,2,FALSE),0)</f>
        <v>0</v>
      </c>
      <c r="W104">
        <f>IF(E104=År1,Q104,SUM(P104,Q104))*IFERROR(VLOOKUP(A104,[1]Tørstofindhold!A$2:B$24,2,FALSE),0)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9"/>
        <v>0</v>
      </c>
      <c r="Z104">
        <f t="shared" ca="1" si="23"/>
        <v>0</v>
      </c>
      <c r="AA104">
        <f t="shared" ca="1" si="24"/>
        <v>1</v>
      </c>
      <c r="AB104" s="94">
        <f t="shared" ca="1" si="25"/>
        <v>4390387.6977074258</v>
      </c>
      <c r="AC104">
        <f ca="1">AB104*D104*10000*VLOOKUP(A104,[1]kcal!$A$2:$C$49,3,FALSE)/1000000000000</f>
        <v>0</v>
      </c>
    </row>
    <row r="105" spans="1:29" x14ac:dyDescent="0.25">
      <c r="A105" s="171" t="str">
        <f t="shared" si="36"/>
        <v>Brun saft</v>
      </c>
      <c r="B105" s="171" t="str">
        <f t="shared" si="37"/>
        <v>Bionedbrydeligt affald</v>
      </c>
      <c r="C105" s="171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71">
        <f t="shared" si="21"/>
        <v>0</v>
      </c>
      <c r="E105" s="171">
        <f t="shared" si="38"/>
        <v>2050</v>
      </c>
      <c r="F105" t="s">
        <v>23</v>
      </c>
      <c r="G105" s="94">
        <f>IF(F105="Vestdanmark",SUMIFS(IF(E105=År1,'Resultater - Vestdanmark'!H$3:H$504,IF(E105=År2,'Resultater - Vestdanmark'!I$3:I$504,'Resultater - Vestdanmark'!J$3:J$504)),'Resultater - Vestdanmark'!$F$3:$F$504,$A105,IF(E105=År1,'Resultater - Vestdanmark'!H$3:H$504,IF(E105=År2,'Resultater - Vestdanmark'!I$3:I$504,'Resultater - Vestdanmark'!J$3:J$504)),"&gt;0"),SUMIFS(IF(E105=År1,'Resultater - Østdanmark'!H$3:H$504,IF(E105=År2,'Resultater - Østdanmark'!I$3:I$504,'Resultater - Østdanmark'!J$3:J$504)),'Resultater - Østdanmark'!$F$3:$F$504,$A105,IF(E105=År1,'Resultater - Østdanmark'!H$3:H$504,IF(E105=År2,'Resultater - Østdanmark'!I$3:I$504,'Resultater - Østdanmark'!J$3:J$504)),"&gt;0"))</f>
        <v>0</v>
      </c>
      <c r="H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forbrug'!H$3,'Forbrug af biomasse'!$B$2:$B$425,$F105)</f>
        <v>0</v>
      </c>
      <c r="I105">
        <f>IF(F105="Vestdanmark",-IF(A105="Halm",SUMIFS(IF(E105=År1,'Resultater - Vestdanmark'!H$3:H$504,IF(E105=År2,'Resultater - Vestdanmark'!I$3:I$504,'Resultater - Vestdanmark'!J$3:J$504)),'Resultater - Vestdanmark'!$F$3:$F$504,$A105,'Resultater - Vestdanmark'!H$3:H$504,"&lt;0"),0),-IF(A105="Halm",SUMIFS(IF(E105=År1,'Resultater - Østdanmark'!H$3:H$504,IF(E105=År2,'Resultater - Østdanmark'!I$3:I$504,'Resultater - Østdanmark'!J$3:J$504)),'Resultater - Østdanmark'!$F$3:$F$504,$A105,'Resultater - Østdanmark'!H$3:H$504,"&lt;0"),0))</f>
        <v>0</v>
      </c>
      <c r="J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forbrug'!J$3,'Forbrug af biomasse'!$B$2:$B$425,$F105)</f>
        <v>0</v>
      </c>
      <c r="K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forbrug'!K$3,'Forbrug af biomasse'!$B$2:$B$425,$F105)</f>
        <v>0</v>
      </c>
      <c r="L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forbrug'!L$3,'Forbrug af biomasse'!$B$2:$B$425,$F105)</f>
        <v>0</v>
      </c>
      <c r="M105" s="94">
        <f>IF(A105&lt;&gt;"Biogas",SUMIFS('Forbrug af biomasse'!$E$2:$E$425,'Forbrug af biomasse'!$C$2:$C$425,'Resultat-Produktion &amp; forbrug'!$A105,'Forbrug af biomasse'!$D$2:$D$425,'Resultat-Produktion &amp; forbrug'!$E105,'Forbrug af biomasse'!$A$2:$A$425,'Resultat-Produktion &amp; forbrug'!M$3,'Forbrug af biomasse'!$B$2:$B$425,$F105),G105)</f>
        <v>0</v>
      </c>
      <c r="N105" s="94">
        <f>SUMIFS('Forbrug af biomasse'!E:E,'Forbrug af biomasse'!C:C,'Resultat-Produktion &amp; forbrug'!$A105,'Forbrug af biomasse'!D:D,'Resultat-Produktion &amp; forbrug'!$E105,'Forbrug af biomasse'!G:G,1,'Forbrug af biomasse'!B:B,$F105)</f>
        <v>0</v>
      </c>
      <c r="O105" s="179">
        <f t="shared" si="26"/>
        <v>0</v>
      </c>
      <c r="P105" s="94">
        <f t="shared" si="22"/>
        <v>0</v>
      </c>
      <c r="Q105" s="180">
        <f t="shared" si="27"/>
        <v>0</v>
      </c>
      <c r="R105">
        <f>IFERROR(VLOOKUP(A105,[1]Energiindhold!$A$2:$C$11,3,FALSE),IFERROR(VLOOKUP(A105,[1]Biogasudbytte!$A$2:$B$18,2,FALSE)*[1]Energiindhold!$C$10,0))*P105</f>
        <v>0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IF(A105&lt;&gt;"Biogas",IFERROR(VLOOKUP(A105,[1]Biogasudbytte!$A$2:$B$18,2,FALSE)*[1]Energiindhold!$C$10,0)*K105*IFERROR(VLOOKUP(A105,Biogasanlæg!$F$3:$G$8,2,FALSE),1)+IFERROR(VLOOKUP(A105,[1]Energiindhold!$A$2:$C$11,3,FALSE),0)*M105+IF(E105&lt;&gt;År1,R105,0),0)</f>
        <v>0</v>
      </c>
      <c r="T105">
        <f>IFERROR(VLOOKUP(A105,[1]Biogasudbytte!$A$2:$B$18,2,FALSE)*[1]Energiindhold!$C$10,0)*K105*IFERROR(VLOOKUP(A105,Biogasanlæg!$F$3:$G$8,2,FALSE),1)</f>
        <v>0</v>
      </c>
      <c r="U105" s="170">
        <f t="shared" si="28"/>
        <v>0</v>
      </c>
      <c r="V105" s="169">
        <f>P105*IFERROR(VLOOKUP(A105,[1]Tørstofindhold!A$2:B$24,2,FALSE),0)</f>
        <v>0</v>
      </c>
      <c r="W105">
        <f>IF(E105=År1,Q105,SUM(P105,Q105))*IFERROR(VLOOKUP(A105,[1]Tørstofindhold!A$2:B$24,2,FALSE),0)</f>
        <v>0</v>
      </c>
      <c r="X105">
        <f>K105*IFERROR(VLOOKUP(A105,[1]Tørstofindhold!A$2:B$24,2,FALSE),0)</f>
        <v>0</v>
      </c>
      <c r="Y105" s="170">
        <f t="shared" si="29"/>
        <v>0</v>
      </c>
      <c r="Z105">
        <f t="shared" si="23"/>
        <v>0</v>
      </c>
      <c r="AA105">
        <f t="shared" si="24"/>
        <v>0</v>
      </c>
      <c r="AB105" s="94">
        <f t="shared" si="25"/>
        <v>0</v>
      </c>
      <c r="AC105">
        <f>AB105*D105*10000*VLOOKUP(A105,[1]kcal!$A$2:$C$49,3,FALSE)/1000000000000</f>
        <v>0</v>
      </c>
    </row>
    <row r="106" spans="1:29" x14ac:dyDescent="0.25">
      <c r="A106" s="171" t="str">
        <f t="shared" si="36"/>
        <v>Dybstrøelse</v>
      </c>
      <c r="B106" s="171" t="str">
        <f t="shared" si="37"/>
        <v>Husdyrgødning</v>
      </c>
      <c r="C106" s="171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1</v>
      </c>
      <c r="D106" s="171">
        <f t="shared" si="21"/>
        <v>0</v>
      </c>
      <c r="E106" s="171">
        <f t="shared" si="38"/>
        <v>2050</v>
      </c>
      <c r="F106" t="s">
        <v>23</v>
      </c>
      <c r="G106" s="94">
        <f>IF(F106="Vestdanmark",SUMIFS(IF(E106=År1,'Resultater - Vestdanmark'!H$3:H$504,IF(E106=År2,'Resultater - Vestdanmark'!I$3:I$504,'Resultater - Vestdanmark'!J$3:J$504)),'Resultater - Vestdanmark'!$F$3:$F$504,$A106,IF(E106=År1,'Resultater - Vestdanmark'!H$3:H$504,IF(E106=År2,'Resultater - Vestdanmark'!I$3:I$504,'Resultater - Vestdanmark'!J$3:J$504)),"&gt;0"),SUMIFS(IF(E106=År1,'Resultater - Østdanmark'!H$3:H$504,IF(E106=År2,'Resultater - Østdanmark'!I$3:I$504,'Resultater - Østdanmark'!J$3:J$504)),'Resultater - Østdanmark'!$F$3:$F$504,$A106,IF(E106=År1,'Resultater - Østdanmark'!H$3:H$504,IF(E106=År2,'Resultater - Østdanmark'!I$3:I$504,'Resultater - Østdanmark'!J$3:J$504)),"&gt;0"))</f>
        <v>396632.81426913757</v>
      </c>
      <c r="H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forbrug'!H$3,'Forbrug af biomasse'!$B$2:$B$425,$F106)</f>
        <v>0</v>
      </c>
      <c r="I106">
        <f>IF(F106="Vestdanmark",-IF(A106="Halm",SUMIFS(IF(E106=År1,'Resultater - Vestdanmark'!H$3:H$504,IF(E106=År2,'Resultater - Vestdanmark'!I$3:I$504,'Resultater - Vestdanmark'!J$3:J$504)),'Resultater - Vestdanmark'!$F$3:$F$504,$A106,'Resultater - Vestdanmark'!H$3:H$504,"&lt;0"),0),-IF(A106="Halm",SUMIFS(IF(E106=År1,'Resultater - Østdanmark'!H$3:H$504,IF(E106=År2,'Resultater - Østdanmark'!I$3:I$504,'Resultater - Østdanmark'!J$3:J$504)),'Resultater - Østdanmark'!$F$3:$F$504,$A106,'Resultater - Østdanmark'!H$3:H$504,"&lt;0"),0))</f>
        <v>0</v>
      </c>
      <c r="J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forbrug'!J$3,'Forbrug af biomasse'!$B$2:$B$425,$F106)</f>
        <v>0</v>
      </c>
      <c r="K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forbrug'!K$3,'Forbrug af biomasse'!$B$2:$B$425,$F106)</f>
        <v>356969.53284222382</v>
      </c>
      <c r="L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forbrug'!L$3,'Forbrug af biomasse'!$B$2:$B$425,$F106)</f>
        <v>15015.385111617346</v>
      </c>
      <c r="M106" s="94">
        <f>IF(A106&lt;&gt;"Biogas",SUMIFS('Forbrug af biomasse'!$E$2:$E$425,'Forbrug af biomasse'!$C$2:$C$425,'Resultat-Produktion &amp; forbrug'!$A106,'Forbrug af biomasse'!$D$2:$D$425,'Resultat-Produktion &amp; forbrug'!$E106,'Forbrug af biomasse'!$A$2:$A$425,'Resultat-Produktion &amp; forbrug'!M$3,'Forbrug af biomasse'!$B$2:$B$425,$F106),G106)</f>
        <v>0</v>
      </c>
      <c r="N106" s="94">
        <f>SUMIFS('Forbrug af biomasse'!E:E,'Forbrug af biomasse'!C:C,'Resultat-Produktion &amp; forbrug'!$A106,'Forbrug af biomasse'!D:D,'Resultat-Produktion &amp; forbrug'!$E106,'Forbrug af biomasse'!G:G,1,'Forbrug af biomasse'!B:B,$F106)</f>
        <v>0</v>
      </c>
      <c r="O106" s="179">
        <f t="shared" si="26"/>
        <v>24647.896315296413</v>
      </c>
      <c r="P106" s="94">
        <f t="shared" si="22"/>
        <v>24647.896315296413</v>
      </c>
      <c r="Q106" s="180">
        <f t="shared" si="27"/>
        <v>356969.53284222382</v>
      </c>
      <c r="R106">
        <f>IFERROR(VLOOKUP(A106,[1]Energiindhold!$A$2:$C$11,3,FALSE),IFERROR(VLOOKUP(A106,[1]Biogasudbytte!$A$2:$B$18,2,FALSE)*[1]Energiindhold!$C$10,0))*P106</f>
        <v>5.3091568663148472E-2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IF(A106&lt;&gt;"Biogas",IFERROR(VLOOKUP(A106,[1]Biogasudbytte!$A$2:$B$18,2,FALSE)*[1]Energiindhold!$C$10,0)*K106*IFERROR(VLOOKUP(A106,Biogasanlæg!$F$3:$G$8,2,FALSE),1)+IFERROR(VLOOKUP(A106,[1]Energiindhold!$A$2:$C$11,3,FALSE),0)*M106+IF(E106&lt;&gt;År1,R106,0),0)</f>
        <v>0.82200394240529862</v>
      </c>
      <c r="T106">
        <f>IFERROR(VLOOKUP(A106,[1]Biogasudbytte!$A$2:$B$18,2,FALSE)*[1]Energiindhold!$C$10,0)*K106*IFERROR(VLOOKUP(A106,Biogasanlæg!$F$3:$G$8,2,FALSE),1)</f>
        <v>0.76891237374215016</v>
      </c>
      <c r="U106" s="170">
        <f t="shared" si="28"/>
        <v>5.3091568663148458E-2</v>
      </c>
      <c r="V106" s="169">
        <f>P106*IFERROR(VLOOKUP(A106,[1]Tørstofindhold!A$2:B$24,2,FALSE),0)</f>
        <v>7394.3688945889235</v>
      </c>
      <c r="W106">
        <f>IF(E106=År1,Q106,SUM(P106,Q106))*IFERROR(VLOOKUP(A106,[1]Tørstofindhold!A$2:B$24,2,FALSE),0)</f>
        <v>114485.22874725607</v>
      </c>
      <c r="X106">
        <f>K106*IFERROR(VLOOKUP(A106,[1]Tørstofindhold!A$2:B$24,2,FALSE),0)</f>
        <v>107090.85985266714</v>
      </c>
      <c r="Y106" s="170">
        <f t="shared" si="29"/>
        <v>7394.3688945889298</v>
      </c>
      <c r="Z106">
        <f t="shared" si="23"/>
        <v>0</v>
      </c>
      <c r="AA106">
        <f t="shared" si="24"/>
        <v>1</v>
      </c>
      <c r="AB106" s="94">
        <f t="shared" si="25"/>
        <v>24647.896315296413</v>
      </c>
      <c r="AC106">
        <f>AB106*D106*10000*VLOOKUP(A106,[1]kcal!$A$2:$C$49,3,FALSE)/1000000000000</f>
        <v>0</v>
      </c>
    </row>
    <row r="107" spans="1:29" x14ac:dyDescent="0.25">
      <c r="A107" s="171" t="str">
        <f t="shared" si="36"/>
        <v>Fiberfraktion</v>
      </c>
      <c r="B107" s="171" t="str">
        <f t="shared" si="37"/>
        <v/>
      </c>
      <c r="C107" s="171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0</v>
      </c>
      <c r="D107" s="171">
        <f t="shared" si="21"/>
        <v>0</v>
      </c>
      <c r="E107" s="171">
        <f t="shared" si="38"/>
        <v>2050</v>
      </c>
      <c r="F107" t="s">
        <v>23</v>
      </c>
      <c r="G107" s="94">
        <f>IF(F107="Vestdanmark",SUMIFS(IF(E107=År1,'Resultater - Vestdanmark'!H$3:H$504,IF(E107=År2,'Resultater - Vestdanmark'!I$3:I$504,'Resultater - Vestdanmark'!J$3:J$504)),'Resultater - Vestdanmark'!$F$3:$F$504,$A107,IF(E107=År1,'Resultater - Vestdanmark'!H$3:H$504,IF(E107=År2,'Resultater - Vestdanmark'!I$3:I$504,'Resultater - Vestdanmark'!J$3:J$504)),"&gt;0"),SUMIFS(IF(E107=År1,'Resultater - Østdanmark'!H$3:H$504,IF(E107=År2,'Resultater - Østdanmark'!I$3:I$504,'Resultater - Østdanmark'!J$3:J$504)),'Resultater - Østdanmark'!$F$3:$F$504,$A107,IF(E107=År1,'Resultater - Østdanmark'!H$3:H$504,IF(E107=År2,'Resultater - Østdanmark'!I$3:I$504,'Resultater - Østdanmark'!J$3:J$504)),"&gt;0"))</f>
        <v>0</v>
      </c>
      <c r="H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forbrug'!H$3,'Forbrug af biomasse'!$B$2:$B$425,$F107)</f>
        <v>0</v>
      </c>
      <c r="I107">
        <f>IF(F107="Vestdanmark",-IF(A107="Halm",SUMIFS(IF(E107=År1,'Resultater - Vestdanmark'!H$3:H$504,IF(E107=År2,'Resultater - Vestdanmark'!I$3:I$504,'Resultater - Vestdanmark'!J$3:J$504)),'Resultater - Vestdanmark'!$F$3:$F$504,$A107,'Resultater - Vestdanmark'!H$3:H$504,"&lt;0"),0),-IF(A107="Halm",SUMIFS(IF(E107=År1,'Resultater - Østdanmark'!H$3:H$504,IF(E107=År2,'Resultater - Østdanmark'!I$3:I$504,'Resultater - Østdanmark'!J$3:J$504)),'Resultater - Østdanmark'!$F$3:$F$504,$A107,'Resultater - Østdanmark'!H$3:H$504,"&lt;0"),0))</f>
        <v>0</v>
      </c>
      <c r="J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forbrug'!J$3,'Forbrug af biomasse'!$B$2:$B$425,$F107)</f>
        <v>0</v>
      </c>
      <c r="K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forbrug'!K$3,'Forbrug af biomasse'!$B$2:$B$425,$F107)</f>
        <v>0</v>
      </c>
      <c r="L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forbrug'!L$3,'Forbrug af biomasse'!$B$2:$B$425,$F107)</f>
        <v>0</v>
      </c>
      <c r="M107" s="94">
        <f>IF(A107&lt;&gt;"Biogas",SUMIFS('Forbrug af biomasse'!$E$2:$E$425,'Forbrug af biomasse'!$C$2:$C$425,'Resultat-Produktion &amp; forbrug'!$A107,'Forbrug af biomasse'!$D$2:$D$425,'Resultat-Produktion &amp; forbrug'!$E107,'Forbrug af biomasse'!$A$2:$A$425,'Resultat-Produktion &amp; forbrug'!M$3,'Forbrug af biomasse'!$B$2:$B$425,$F107),G107)</f>
        <v>0</v>
      </c>
      <c r="N107" s="94">
        <f>SUMIFS('Forbrug af biomasse'!E:E,'Forbrug af biomasse'!C:C,'Resultat-Produktion &amp; forbrug'!$A107,'Forbrug af biomasse'!D:D,'Resultat-Produktion &amp; forbrug'!$E107,'Forbrug af biomasse'!G:G,1,'Forbrug af biomasse'!B:B,$F107)</f>
        <v>0</v>
      </c>
      <c r="O107" s="179">
        <f t="shared" si="26"/>
        <v>0</v>
      </c>
      <c r="P107" s="94">
        <f t="shared" si="22"/>
        <v>0</v>
      </c>
      <c r="Q107" s="180">
        <f t="shared" si="27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IF(A107&lt;&gt;"Biogas",IFERROR(VLOOKUP(A107,[1]Biogasudbytte!$A$2:$B$18,2,FALSE)*[1]Energiindhold!$C$10,0)*K107*IFERROR(VLOOKUP(A107,Biogasanlæg!$F$3:$G$8,2,FALSE),1)+IFERROR(VLOOKUP(A107,[1]Energiindhold!$A$2:$C$11,3,FALSE),0)*M107+IF(E107&lt;&gt;År1,R107,0),0)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8"/>
        <v>0</v>
      </c>
      <c r="V107" s="169">
        <f>P107*IFERROR(VLOOKUP(A107,[1]Tørstofindhold!A$2:B$24,2,FALSE),0)</f>
        <v>0</v>
      </c>
      <c r="W107">
        <f>IF(E107=År1,Q107,SUM(P107,Q107))*IFERROR(VLOOKUP(A107,[1]Tørstofindhold!A$2:B$24,2,FALSE),0)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9"/>
        <v>0</v>
      </c>
      <c r="Z107">
        <f t="shared" si="23"/>
        <v>0</v>
      </c>
      <c r="AA107">
        <f t="shared" si="24"/>
        <v>0</v>
      </c>
      <c r="AB107" s="94">
        <f t="shared" si="25"/>
        <v>0</v>
      </c>
      <c r="AC107">
        <f>AB107*D107*10000*VLOOKUP(A107,[1]kcal!$A$2:$C$49,3,FALSE)/1000000000000</f>
        <v>0</v>
      </c>
    </row>
    <row r="108" spans="1:29" x14ac:dyDescent="0.25">
      <c r="A108" s="171" t="str">
        <f t="shared" si="36"/>
        <v>Fjerkrægylle</v>
      </c>
      <c r="B108" s="171" t="str">
        <f t="shared" si="37"/>
        <v>Husdyrgødning</v>
      </c>
      <c r="C108" s="171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1</v>
      </c>
      <c r="D108" s="171">
        <f t="shared" si="21"/>
        <v>0</v>
      </c>
      <c r="E108" s="171">
        <f t="shared" si="38"/>
        <v>2050</v>
      </c>
      <c r="F108" t="s">
        <v>23</v>
      </c>
      <c r="G108" s="94">
        <f>IF(F108="Vestdanmark",SUMIFS(IF(E108=År1,'Resultater - Vestdanmark'!H$3:H$504,IF(E108=År2,'Resultater - Vestdanmark'!I$3:I$504,'Resultater - Vestdanmark'!J$3:J$504)),'Resultater - Vestdanmark'!$F$3:$F$504,$A108,IF(E108=År1,'Resultater - Vestdanmark'!H$3:H$504,IF(E108=År2,'Resultater - Vestdanmark'!I$3:I$504,'Resultater - Vestdanmark'!J$3:J$504)),"&gt;0"),SUMIFS(IF(E108=År1,'Resultater - Østdanmark'!H$3:H$504,IF(E108=År2,'Resultater - Østdanmark'!I$3:I$504,'Resultater - Østdanmark'!J$3:J$504)),'Resultater - Østdanmark'!$F$3:$F$504,$A108,IF(E108=År1,'Resultater - Østdanmark'!H$3:H$504,IF(E108=År2,'Resultater - Østdanmark'!I$3:I$504,'Resultater - Østdanmark'!J$3:J$504)),"&gt;0"))</f>
        <v>5618.4151705662098</v>
      </c>
      <c r="H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forbrug'!H$3,'Forbrug af biomasse'!$B$2:$B$425,$F108)</f>
        <v>0</v>
      </c>
      <c r="I108">
        <f>IF(F108="Vestdanmark",-IF(A108="Halm",SUMIFS(IF(E108=År1,'Resultater - Vestdanmark'!H$3:H$504,IF(E108=År2,'Resultater - Vestdanmark'!I$3:I$504,'Resultater - Vestdanmark'!J$3:J$504)),'Resultater - Vestdanmark'!$F$3:$F$504,$A108,'Resultater - Vestdanmark'!H$3:H$504,"&lt;0"),0),-IF(A108="Halm",SUMIFS(IF(E108=År1,'Resultater - Østdanmark'!H$3:H$504,IF(E108=År2,'Resultater - Østdanmark'!I$3:I$504,'Resultater - Østdanmark'!J$3:J$504)),'Resultater - Østdanmark'!$F$3:$F$504,$A108,'Resultater - Østdanmark'!H$3:H$504,"&lt;0"),0))</f>
        <v>0</v>
      </c>
      <c r="J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forbrug'!J$3,'Forbrug af biomasse'!$B$2:$B$425,$F108)</f>
        <v>0</v>
      </c>
      <c r="K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forbrug'!K$3,'Forbrug af biomasse'!$B$2:$B$425,$F108)</f>
        <v>5056.5736535095893</v>
      </c>
      <c r="L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forbrug'!L$3,'Forbrug af biomasse'!$B$2:$B$425,$F108)</f>
        <v>561.84151705662089</v>
      </c>
      <c r="M108" s="94">
        <f>IF(A108&lt;&gt;"Biogas",SUMIFS('Forbrug af biomasse'!$E$2:$E$425,'Forbrug af biomasse'!$C$2:$C$425,'Resultat-Produktion &amp; forbrug'!$A108,'Forbrug af biomasse'!$D$2:$D$425,'Resultat-Produktion &amp; forbrug'!$E108,'Forbrug af biomasse'!$A$2:$A$425,'Resultat-Produktion &amp; forbrug'!M$3,'Forbrug af biomasse'!$B$2:$B$425,$F108),G108)</f>
        <v>0</v>
      </c>
      <c r="N108" s="94">
        <f>SUMIFS('Forbrug af biomasse'!E:E,'Forbrug af biomasse'!C:C,'Resultat-Produktion &amp; forbrug'!$A108,'Forbrug af biomasse'!D:D,'Resultat-Produktion &amp; forbrug'!$E108,'Forbrug af biomasse'!G:G,1,'Forbrug af biomasse'!B:B,$F108)</f>
        <v>0</v>
      </c>
      <c r="O108" s="179">
        <f t="shared" si="26"/>
        <v>0</v>
      </c>
      <c r="P108" s="94">
        <f t="shared" si="22"/>
        <v>0</v>
      </c>
      <c r="Q108" s="180">
        <f t="shared" si="27"/>
        <v>5056.5736535095893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IF(A108&lt;&gt;"Biogas",IFERROR(VLOOKUP(A108,[1]Biogasudbytte!$A$2:$B$18,2,FALSE)*[1]Energiindhold!$C$10,0)*K108*IFERROR(VLOOKUP(A108,Biogasanlæg!$F$3:$G$8,2,FALSE),1)+IFERROR(VLOOKUP(A108,[1]Energiindhold!$A$2:$C$11,3,FALSE),0)*M108+IF(E108&lt;&gt;År1,R108,0),0)</f>
        <v>2.3780560235090249E-3</v>
      </c>
      <c r="T108">
        <f>IFERROR(VLOOKUP(A108,[1]Biogasudbytte!$A$2:$B$18,2,FALSE)*[1]Energiindhold!$C$10,0)*K108*IFERROR(VLOOKUP(A108,Biogasanlæg!$F$3:$G$8,2,FALSE),1)</f>
        <v>2.3780560235090249E-3</v>
      </c>
      <c r="U108" s="170">
        <f t="shared" si="28"/>
        <v>0</v>
      </c>
      <c r="V108" s="169">
        <f>P108*IFERROR(VLOOKUP(A108,[1]Tørstofindhold!A$2:B$24,2,FALSE),0)</f>
        <v>0</v>
      </c>
      <c r="W108">
        <f>IF(E108=År1,Q108,SUM(P108,Q108))*IFERROR(VLOOKUP(A108,[1]Tørstofindhold!A$2:B$24,2,FALSE),0)</f>
        <v>318.56414017110416</v>
      </c>
      <c r="X108">
        <f>K108*IFERROR(VLOOKUP(A108,[1]Tørstofindhold!A$2:B$24,2,FALSE),0)</f>
        <v>318.56414017110416</v>
      </c>
      <c r="Y108" s="170">
        <f t="shared" si="29"/>
        <v>0</v>
      </c>
      <c r="Z108">
        <f t="shared" si="23"/>
        <v>0</v>
      </c>
      <c r="AA108">
        <f t="shared" si="24"/>
        <v>0</v>
      </c>
      <c r="AB108" s="94">
        <f t="shared" si="25"/>
        <v>0</v>
      </c>
      <c r="AC108">
        <f>AB108*D108*10000*VLOOKUP(A108,[1]kcal!$A$2:$C$49,3,FALSE)/1000000000000</f>
        <v>0</v>
      </c>
    </row>
    <row r="109" spans="1:29" x14ac:dyDescent="0.25">
      <c r="A109" s="171" t="str">
        <f t="shared" si="36"/>
        <v>Fjerkrækød</v>
      </c>
      <c r="B109" s="171" t="str">
        <f t="shared" si="37"/>
        <v/>
      </c>
      <c r="C109" s="171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71">
        <f t="shared" si="21"/>
        <v>1</v>
      </c>
      <c r="E109" s="171">
        <f t="shared" si="38"/>
        <v>2050</v>
      </c>
      <c r="F109" t="s">
        <v>23</v>
      </c>
      <c r="G109" s="94">
        <f>IF(F109="Vestdanmark",SUMIFS(IF(E109=År1,'Resultater - Vestdanmark'!H$3:H$504,IF(E109=År2,'Resultater - Vestdanmark'!I$3:I$504,'Resultater - Vestdanmark'!J$3:J$504)),'Resultater - Vestdanmark'!$F$3:$F$504,$A109,IF(E109=År1,'Resultater - Vestdanmark'!H$3:H$504,IF(E109=År2,'Resultater - Vestdanmark'!I$3:I$504,'Resultater - Vestdanmark'!J$3:J$504)),"&gt;0"),SUMIFS(IF(E109=År1,'Resultater - Østdanmark'!H$3:H$504,IF(E109=År2,'Resultater - Østdanmark'!I$3:I$504,'Resultater - Østdanmark'!J$3:J$504)),'Resultater - Østdanmark'!$F$3:$F$504,$A109,IF(E109=År1,'Resultater - Østdanmark'!H$3:H$504,IF(E109=År2,'Resultater - Østdanmark'!I$3:I$504,'Resultater - Østdanmark'!J$3:J$504)),"&gt;0"))</f>
        <v>6001.6248923716248</v>
      </c>
      <c r="H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forbrug'!H$3,'Forbrug af biomasse'!$B$2:$B$425,$F109)</f>
        <v>0</v>
      </c>
      <c r="I109">
        <f>IF(F109="Vestdanmark",-IF(A109="Halm",SUMIFS(IF(E109=År1,'Resultater - Vestdanmark'!H$3:H$504,IF(E109=År2,'Resultater - Vestdanmark'!I$3:I$504,'Resultater - Vestdanmark'!J$3:J$504)),'Resultater - Vestdanmark'!$F$3:$F$504,$A109,'Resultater - Vestdanmark'!H$3:H$504,"&lt;0"),0),-IF(A109="Halm",SUMIFS(IF(E109=År1,'Resultater - Østdanmark'!H$3:H$504,IF(E109=År2,'Resultater - Østdanmark'!I$3:I$504,'Resultater - Østdanmark'!J$3:J$504)),'Resultater - Østdanmark'!$F$3:$F$504,$A109,'Resultater - Østdanmark'!H$3:H$504,"&lt;0"),0))</f>
        <v>0</v>
      </c>
      <c r="J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forbrug'!J$3,'Forbrug af biomasse'!$B$2:$B$425,$F109)</f>
        <v>36670.799626981883</v>
      </c>
      <c r="K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forbrug'!K$3,'Forbrug af biomasse'!$B$2:$B$425,$F109)</f>
        <v>0</v>
      </c>
      <c r="L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forbrug'!L$3,'Forbrug af biomasse'!$B$2:$B$425,$F109)</f>
        <v>0</v>
      </c>
      <c r="M109" s="94">
        <f>IF(A109&lt;&gt;"Biogas",SUMIFS('Forbrug af biomasse'!$E$2:$E$425,'Forbrug af biomasse'!$C$2:$C$425,'Resultat-Produktion &amp; forbrug'!$A109,'Forbrug af biomasse'!$D$2:$D$425,'Resultat-Produktion &amp; forbrug'!$E109,'Forbrug af biomasse'!$A$2:$A$425,'Resultat-Produktion &amp; forbrug'!M$3,'Forbrug af biomasse'!$B$2:$B$425,$F109),G109)</f>
        <v>0</v>
      </c>
      <c r="N109" s="94">
        <f>SUMIFS('Forbrug af biomasse'!E:E,'Forbrug af biomasse'!C:C,'Resultat-Produktion &amp; forbrug'!$A109,'Forbrug af biomasse'!D:D,'Resultat-Produktion &amp; forbrug'!$E109,'Forbrug af biomasse'!G:G,1,'Forbrug af biomasse'!B:B,$F109)</f>
        <v>0</v>
      </c>
      <c r="O109" s="179">
        <f t="shared" si="26"/>
        <v>-30669.174734610257</v>
      </c>
      <c r="P109" s="94">
        <f t="shared" si="22"/>
        <v>0</v>
      </c>
      <c r="Q109" s="180">
        <f t="shared" si="27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IF(A109&lt;&gt;"Biogas",IFERROR(VLOOKUP(A109,[1]Biogasudbytte!$A$2:$B$18,2,FALSE)*[1]Energiindhold!$C$10,0)*K109*IFERROR(VLOOKUP(A109,Biogasanlæg!$F$3:$G$8,2,FALSE),1)+IFERROR(VLOOKUP(A109,[1]Energiindhold!$A$2:$C$11,3,FALSE),0)*M109+IF(E109&lt;&gt;År1,R109,0),0)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8"/>
        <v>0</v>
      </c>
      <c r="V109" s="169">
        <f>P109*IFERROR(VLOOKUP(A109,[1]Tørstofindhold!A$2:B$24,2,FALSE),0)</f>
        <v>0</v>
      </c>
      <c r="W109">
        <f>IF(E109=År1,Q109,SUM(P109,Q109))*IFERROR(VLOOKUP(A109,[1]Tørstofindhold!A$2:B$24,2,FALSE),0)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9"/>
        <v>0</v>
      </c>
      <c r="Z109">
        <f t="shared" si="23"/>
        <v>1</v>
      </c>
      <c r="AA109">
        <f t="shared" si="24"/>
        <v>0</v>
      </c>
      <c r="AB109" s="94">
        <f t="shared" si="25"/>
        <v>6001.6248923716248</v>
      </c>
      <c r="AC109">
        <f>AB109*D109*10000*VLOOKUP(A109,[1]kcal!$A$2:$C$49,3,FALSE)/1000000000000</f>
        <v>9.1224698364048683E-3</v>
      </c>
    </row>
    <row r="110" spans="1:29" x14ac:dyDescent="0.25">
      <c r="A110" s="171" t="str">
        <f t="shared" si="36"/>
        <v>Frø</v>
      </c>
      <c r="B110" s="171" t="str">
        <f t="shared" si="37"/>
        <v/>
      </c>
      <c r="C110" s="171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71">
        <f t="shared" si="21"/>
        <v>0</v>
      </c>
      <c r="E110" s="171">
        <f t="shared" si="38"/>
        <v>2050</v>
      </c>
      <c r="F110" t="s">
        <v>23</v>
      </c>
      <c r="G110" s="94">
        <f>IF(F110="Vestdanmark",SUMIFS(IF(E110=År1,'Resultater - Vestdanmark'!H$3:H$504,IF(E110=År2,'Resultater - Vestdanmark'!I$3:I$504,'Resultater - Vestdanmark'!J$3:J$504)),'Resultater - Vestdanmark'!$F$3:$F$504,$A110,IF(E110=År1,'Resultater - Vestdanmark'!H$3:H$504,IF(E110=År2,'Resultater - Vestdanmark'!I$3:I$504,'Resultater - Vestdanmark'!J$3:J$504)),"&gt;0"),SUMIFS(IF(E110=År1,'Resultater - Østdanmark'!H$3:H$504,IF(E110=År2,'Resultater - Østdanmark'!I$3:I$504,'Resultater - Østdanmark'!J$3:J$504)),'Resultater - Østdanmark'!$F$3:$F$504,$A110,IF(E110=År1,'Resultater - Østdanmark'!H$3:H$504,IF(E110=År2,'Resultater - Østdanmark'!I$3:I$504,'Resultater - Østdanmark'!J$3:J$504)),"&gt;0"))</f>
        <v>5541.8750535368863</v>
      </c>
      <c r="H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forbrug'!H$3,'Forbrug af biomasse'!$B$2:$B$425,$F110)</f>
        <v>0</v>
      </c>
      <c r="I110">
        <f>IF(F110="Vestdanmark",-IF(A110="Halm",SUMIFS(IF(E110=År1,'Resultater - Vestdanmark'!H$3:H$504,IF(E110=År2,'Resultater - Vestdanmark'!I$3:I$504,'Resultater - Vestdanmark'!J$3:J$504)),'Resultater - Vestdanmark'!$F$3:$F$504,$A110,'Resultater - Vestdanmark'!H$3:H$504,"&lt;0"),0),-IF(A110="Halm",SUMIFS(IF(E110=År1,'Resultater - Østdanmark'!H$3:H$504,IF(E110=År2,'Resultater - Østdanmark'!I$3:I$504,'Resultater - Østdanmark'!J$3:J$504)),'Resultater - Østdanmark'!$F$3:$F$504,$A110,'Resultater - Østdanmark'!H$3:H$504,"&lt;0"),0))</f>
        <v>0</v>
      </c>
      <c r="J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forbrug'!J$3,'Forbrug af biomasse'!$B$2:$B$425,$F110)</f>
        <v>0</v>
      </c>
      <c r="K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forbrug'!K$3,'Forbrug af biomasse'!$B$2:$B$425,$F110)</f>
        <v>0</v>
      </c>
      <c r="L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forbrug'!L$3,'Forbrug af biomasse'!$B$2:$B$425,$F110)</f>
        <v>0</v>
      </c>
      <c r="M110" s="94">
        <f>IF(A110&lt;&gt;"Biogas",SUMIFS('Forbrug af biomasse'!$E$2:$E$425,'Forbrug af biomasse'!$C$2:$C$425,'Resultat-Produktion &amp; forbrug'!$A110,'Forbrug af biomasse'!$D$2:$D$425,'Resultat-Produktion &amp; forbrug'!$E110,'Forbrug af biomasse'!$A$2:$A$425,'Resultat-Produktion &amp; forbrug'!M$3,'Forbrug af biomasse'!$B$2:$B$425,$F110),G110)</f>
        <v>0</v>
      </c>
      <c r="N110" s="94">
        <f>SUMIFS('Forbrug af biomasse'!E:E,'Forbrug af biomasse'!C:C,'Resultat-Produktion &amp; forbrug'!$A110,'Forbrug af biomasse'!D:D,'Resultat-Produktion &amp; forbrug'!$E110,'Forbrug af biomasse'!G:G,1,'Forbrug af biomasse'!B:B,$F110)</f>
        <v>0</v>
      </c>
      <c r="O110" s="179">
        <f t="shared" si="26"/>
        <v>5541.8750535368863</v>
      </c>
      <c r="P110" s="94">
        <f t="shared" si="22"/>
        <v>0</v>
      </c>
      <c r="Q110" s="180">
        <f t="shared" si="27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IF(A110&lt;&gt;"Biogas",IFERROR(VLOOKUP(A110,[1]Biogasudbytte!$A$2:$B$18,2,FALSE)*[1]Energiindhold!$C$10,0)*K110*IFERROR(VLOOKUP(A110,Biogasanlæg!$F$3:$G$8,2,FALSE),1)+IFERROR(VLOOKUP(A110,[1]Energiindhold!$A$2:$C$11,3,FALSE),0)*M110+IF(E110&lt;&gt;År1,R110,0),0)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8"/>
        <v>0</v>
      </c>
      <c r="V110" s="169">
        <f>P110*IFERROR(VLOOKUP(A110,[1]Tørstofindhold!A$2:B$24,2,FALSE),0)</f>
        <v>0</v>
      </c>
      <c r="W110">
        <f>IF(E110=År1,Q110,SUM(P110,Q110))*IFERROR(VLOOKUP(A110,[1]Tørstofindhold!A$2:B$24,2,FALSE),0)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9"/>
        <v>0</v>
      </c>
      <c r="Z110">
        <f t="shared" si="23"/>
        <v>0</v>
      </c>
      <c r="AA110">
        <f t="shared" si="24"/>
        <v>1</v>
      </c>
      <c r="AB110" s="94">
        <f t="shared" si="25"/>
        <v>5541.8750535368863</v>
      </c>
      <c r="AC110">
        <f>AB110*D110*10000*VLOOKUP(A110,[1]kcal!$A$2:$C$49,3,FALSE)/1000000000000</f>
        <v>0</v>
      </c>
    </row>
    <row r="111" spans="1:29" x14ac:dyDescent="0.25">
      <c r="A111" s="171" t="str">
        <f t="shared" si="36"/>
        <v>Frugt</v>
      </c>
      <c r="B111" s="171" t="str">
        <f t="shared" si="37"/>
        <v/>
      </c>
      <c r="C111" s="171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0</v>
      </c>
      <c r="D111" s="171">
        <f t="shared" si="21"/>
        <v>1</v>
      </c>
      <c r="E111" s="171">
        <f t="shared" si="38"/>
        <v>2050</v>
      </c>
      <c r="F111" t="s">
        <v>23</v>
      </c>
      <c r="G111" s="94">
        <f>IF(F111="Vestdanmark",SUMIFS(IF(E111=År1,'Resultater - Vestdanmark'!H$3:H$504,IF(E111=År2,'Resultater - Vestdanmark'!I$3:I$504,'Resultater - Vestdanmark'!J$3:J$504)),'Resultater - Vestdanmark'!$F$3:$F$504,$A111,IF(E111=År1,'Resultater - Vestdanmark'!H$3:H$504,IF(E111=År2,'Resultater - Vestdanmark'!I$3:I$504,'Resultater - Vestdanmark'!J$3:J$504)),"&gt;0"),SUMIFS(IF(E111=År1,'Resultater - Østdanmark'!H$3:H$504,IF(E111=År2,'Resultater - Østdanmark'!I$3:I$504,'Resultater - Østdanmark'!J$3:J$504)),'Resultater - Østdanmark'!$F$3:$F$504,$A111,IF(E111=År1,'Resultater - Østdanmark'!H$3:H$504,IF(E111=År2,'Resultater - Østdanmark'!I$3:I$504,'Resultater - Østdanmark'!J$3:J$504)),"&gt;0"))</f>
        <v>1792737.3458964743</v>
      </c>
      <c r="H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forbrug'!H$3,'Forbrug af biomasse'!$B$2:$B$425,$F111)</f>
        <v>0</v>
      </c>
      <c r="I111">
        <f>IF(F111="Vestdanmark",-IF(A111="Halm",SUMIFS(IF(E111=År1,'Resultater - Vestdanmark'!H$3:H$504,IF(E111=År2,'Resultater - Vestdanmark'!I$3:I$504,'Resultater - Vestdanmark'!J$3:J$504)),'Resultater - Vestdanmark'!$F$3:$F$504,$A111,'Resultater - Vestdanmark'!H$3:H$504,"&lt;0"),0),-IF(A111="Halm",SUMIFS(IF(E111=År1,'Resultater - Østdanmark'!H$3:H$504,IF(E111=År2,'Resultater - Østdanmark'!I$3:I$504,'Resultater - Østdanmark'!J$3:J$504)),'Resultater - Østdanmark'!$F$3:$F$504,$A111,'Resultater - Østdanmark'!H$3:H$504,"&lt;0"),0))</f>
        <v>0</v>
      </c>
      <c r="J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forbrug'!J$3,'Forbrug af biomasse'!$B$2:$B$425,$F111)</f>
        <v>267978.92035102146</v>
      </c>
      <c r="K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forbrug'!K$3,'Forbrug af biomasse'!$B$2:$B$425,$F111)</f>
        <v>0</v>
      </c>
      <c r="L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forbrug'!L$3,'Forbrug af biomasse'!$B$2:$B$425,$F111)</f>
        <v>0</v>
      </c>
      <c r="M111" s="94">
        <f>IF(A111&lt;&gt;"Biogas",SUMIFS('Forbrug af biomasse'!$E$2:$E$425,'Forbrug af biomasse'!$C$2:$C$425,'Resultat-Produktion &amp; forbrug'!$A111,'Forbrug af biomasse'!$D$2:$D$425,'Resultat-Produktion &amp; forbrug'!$E111,'Forbrug af biomasse'!$A$2:$A$425,'Resultat-Produktion &amp; forbrug'!M$3,'Forbrug af biomasse'!$B$2:$B$425,$F111),G111)</f>
        <v>0</v>
      </c>
      <c r="N111" s="94">
        <f>SUMIFS('Forbrug af biomasse'!E:E,'Forbrug af biomasse'!C:C,'Resultat-Produktion &amp; forbrug'!$A111,'Forbrug af biomasse'!D:D,'Resultat-Produktion &amp; forbrug'!$E111,'Forbrug af biomasse'!G:G,1,'Forbrug af biomasse'!B:B,$F111)</f>
        <v>0</v>
      </c>
      <c r="O111" s="179">
        <f t="shared" si="26"/>
        <v>1524758.4255454529</v>
      </c>
      <c r="P111" s="94">
        <f t="shared" si="22"/>
        <v>0</v>
      </c>
      <c r="Q111" s="180">
        <f t="shared" si="27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IF(A111&lt;&gt;"Biogas",IFERROR(VLOOKUP(A111,[1]Biogasudbytte!$A$2:$B$18,2,FALSE)*[1]Energiindhold!$C$10,0)*K111*IFERROR(VLOOKUP(A111,Biogasanlæg!$F$3:$G$8,2,FALSE),1)+IFERROR(VLOOKUP(A111,[1]Energiindhold!$A$2:$C$11,3,FALSE),0)*M111+IF(E111&lt;&gt;År1,R111,0),0)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8"/>
        <v>0</v>
      </c>
      <c r="V111" s="169">
        <f>P111*IFERROR(VLOOKUP(A111,[1]Tørstofindhold!A$2:B$24,2,FALSE),0)</f>
        <v>0</v>
      </c>
      <c r="W111">
        <f>IF(E111=År1,Q111,SUM(P111,Q111))*IFERROR(VLOOKUP(A111,[1]Tørstofindhold!A$2:B$24,2,FALSE),0)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9"/>
        <v>0</v>
      </c>
      <c r="Z111">
        <f t="shared" si="23"/>
        <v>0</v>
      </c>
      <c r="AA111">
        <f t="shared" si="24"/>
        <v>1</v>
      </c>
      <c r="AB111" s="94">
        <f t="shared" si="25"/>
        <v>1792737.3458964743</v>
      </c>
      <c r="AC111">
        <f>AB111*D111*10000*VLOOKUP(A111,[1]kcal!$A$2:$C$49,3,FALSE)/1000000000000</f>
        <v>0.93222341986616675</v>
      </c>
    </row>
    <row r="112" spans="1:29" x14ac:dyDescent="0.25">
      <c r="A112" s="171" t="str">
        <f t="shared" si="36"/>
        <v>Glycerin</v>
      </c>
      <c r="B112" s="171" t="str">
        <f t="shared" si="37"/>
        <v>Glycerin</v>
      </c>
      <c r="C112" s="171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71">
        <f t="shared" si="21"/>
        <v>0</v>
      </c>
      <c r="E112" s="171">
        <f t="shared" si="38"/>
        <v>2050</v>
      </c>
      <c r="F112" t="s">
        <v>23</v>
      </c>
      <c r="G112" s="94">
        <f>IF(F112="Vestdanmark",SUMIFS(IF(E112=År1,'Resultater - Vestdanmark'!H$3:H$504,IF(E112=År2,'Resultater - Vestdanmark'!I$3:I$504,'Resultater - Vestdanmark'!J$3:J$504)),'Resultater - Vestdanmark'!$F$3:$F$504,$A112,IF(E112=År1,'Resultater - Vestdanmark'!H$3:H$504,IF(E112=År2,'Resultater - Vestdanmark'!I$3:I$504,'Resultater - Vestdanmark'!J$3:J$504)),"&gt;0"),SUMIFS(IF(E112=År1,'Resultater - Østdanmark'!H$3:H$504,IF(E112=År2,'Resultater - Østdanmark'!I$3:I$504,'Resultater - Østdanmark'!J$3:J$504)),'Resultater - Østdanmark'!$F$3:$F$504,$A112,IF(E112=År1,'Resultater - Østdanmark'!H$3:H$504,IF(E112=År2,'Resultater - Østdanmark'!I$3:I$504,'Resultater - Østdanmark'!J$3:J$504)),"&gt;0"))</f>
        <v>0</v>
      </c>
      <c r="H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forbrug'!H$3,'Forbrug af biomasse'!$B$2:$B$425,$F112)</f>
        <v>0</v>
      </c>
      <c r="I112">
        <f>IF(F112="Vestdanmark",-IF(A112="Halm",SUMIFS(IF(E112=År1,'Resultater - Vestdanmark'!H$3:H$504,IF(E112=År2,'Resultater - Vestdanmark'!I$3:I$504,'Resultater - Vestdanmark'!J$3:J$504)),'Resultater - Vestdanmark'!$F$3:$F$504,$A112,'Resultater - Vestdanmark'!H$3:H$504,"&lt;0"),0),-IF(A112="Halm",SUMIFS(IF(E112=År1,'Resultater - Østdanmark'!H$3:H$504,IF(E112=År2,'Resultater - Østdanmark'!I$3:I$504,'Resultater - Østdanmark'!J$3:J$504)),'Resultater - Østdanmark'!$F$3:$F$504,$A112,'Resultater - Østdanmark'!H$3:H$504,"&lt;0"),0))</f>
        <v>0</v>
      </c>
      <c r="J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forbrug'!J$3,'Forbrug af biomasse'!$B$2:$B$425,$F112)</f>
        <v>0</v>
      </c>
      <c r="K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forbrug'!K$3,'Forbrug af biomasse'!$B$2:$B$425,$F112)</f>
        <v>114193.60000000001</v>
      </c>
      <c r="L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forbrug'!L$3,'Forbrug af biomasse'!$B$2:$B$425,$F112)</f>
        <v>0</v>
      </c>
      <c r="M112" s="94">
        <f>IF(A112&lt;&gt;"Biogas",SUMIFS('Forbrug af biomasse'!$E$2:$E$425,'Forbrug af biomasse'!$C$2:$C$425,'Resultat-Produktion &amp; forbrug'!$A112,'Forbrug af biomasse'!$D$2:$D$425,'Resultat-Produktion &amp; forbrug'!$E112,'Forbrug af biomasse'!$A$2:$A$425,'Resultat-Produktion &amp; forbrug'!M$3,'Forbrug af biomasse'!$B$2:$B$425,$F112),G112)</f>
        <v>0</v>
      </c>
      <c r="N112" s="94">
        <f>SUMIFS('Forbrug af biomasse'!E:E,'Forbrug af biomasse'!C:C,'Resultat-Produktion &amp; forbrug'!$A112,'Forbrug af biomasse'!D:D,'Resultat-Produktion &amp; forbrug'!$E112,'Forbrug af biomasse'!G:G,1,'Forbrug af biomasse'!B:B,$F112)</f>
        <v>0</v>
      </c>
      <c r="O112" s="179">
        <f t="shared" si="26"/>
        <v>-114193.60000000001</v>
      </c>
      <c r="P112" s="94">
        <f t="shared" si="22"/>
        <v>0</v>
      </c>
      <c r="Q112" s="180">
        <f t="shared" si="27"/>
        <v>114193.60000000001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IF(A112&lt;&gt;"Biogas",IFERROR(VLOOKUP(A112,[1]Biogasudbytte!$A$2:$B$18,2,FALSE)*[1]Energiindhold!$C$10,0)*K112*IFERROR(VLOOKUP(A112,Biogasanlæg!$F$3:$G$8,2,FALSE),1)+IFERROR(VLOOKUP(A112,[1]Energiindhold!$A$2:$C$11,3,FALSE),0)*M112+IF(E112&lt;&gt;År1,R112,0),0)</f>
        <v>1.7355855896064003</v>
      </c>
      <c r="T112">
        <f>IFERROR(VLOOKUP(A112,[1]Biogasudbytte!$A$2:$B$18,2,FALSE)*[1]Energiindhold!$C$10,0)*K112*IFERROR(VLOOKUP(A112,Biogasanlæg!$F$3:$G$8,2,FALSE),1)</f>
        <v>1.7355855896064003</v>
      </c>
      <c r="U112" s="170">
        <f t="shared" si="28"/>
        <v>0</v>
      </c>
      <c r="V112" s="169">
        <f>P112*IFERROR(VLOOKUP(A112,[1]Tørstofindhold!A$2:B$24,2,FALSE),0)</f>
        <v>0</v>
      </c>
      <c r="W112">
        <f>IF(E112=År1,Q112,SUM(P112,Q112))*IFERROR(VLOOKUP(A112,[1]Tørstofindhold!A$2:B$24,2,FALSE),0)</f>
        <v>102774.24</v>
      </c>
      <c r="X112">
        <f>K112*IFERROR(VLOOKUP(A112,[1]Tørstofindhold!A$2:B$24,2,FALSE),0)</f>
        <v>102774.24</v>
      </c>
      <c r="Y112" s="170">
        <f t="shared" si="29"/>
        <v>0</v>
      </c>
      <c r="Z112">
        <f t="shared" si="23"/>
        <v>1</v>
      </c>
      <c r="AA112">
        <f t="shared" si="24"/>
        <v>0</v>
      </c>
      <c r="AB112" s="94">
        <f t="shared" si="25"/>
        <v>-114193.60000000001</v>
      </c>
      <c r="AC112">
        <f>AB112*D112*10000*VLOOKUP(A112,[1]kcal!$A$2:$C$49,3,FALSE)/1000000000000</f>
        <v>0</v>
      </c>
    </row>
    <row r="113" spans="1:29" x14ac:dyDescent="0.25">
      <c r="A113" s="171" t="str">
        <f t="shared" si="36"/>
        <v>Græs</v>
      </c>
      <c r="B113" s="171" t="str">
        <f t="shared" si="37"/>
        <v>Græs og urter</v>
      </c>
      <c r="C113" s="171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1</v>
      </c>
      <c r="D113" s="171">
        <f t="shared" si="21"/>
        <v>0</v>
      </c>
      <c r="E113" s="171">
        <f t="shared" si="38"/>
        <v>2050</v>
      </c>
      <c r="F113" t="s">
        <v>23</v>
      </c>
      <c r="G113" s="94">
        <f>IF(F113="Vestdanmark",SUMIFS(IF(E113=År1,'Resultater - Vestdanmark'!H$3:H$504,IF(E113=År2,'Resultater - Vestdanmark'!I$3:I$504,'Resultater - Vestdanmark'!J$3:J$504)),'Resultater - Vestdanmark'!$F$3:$F$504,$A113,IF(E113=År1,'Resultater - Vestdanmark'!H$3:H$504,IF(E113=År2,'Resultater - Vestdanmark'!I$3:I$504,'Resultater - Vestdanmark'!J$3:J$504)),"&gt;0"),SUMIFS(IF(E113=År1,'Resultater - Østdanmark'!H$3:H$504,IF(E113=År2,'Resultater - Østdanmark'!I$3:I$504,'Resultater - Østdanmark'!J$3:J$504)),'Resultater - Østdanmark'!$F$3:$F$504,$A113,IF(E113=År1,'Resultater - Østdanmark'!H$3:H$504,IF(E113=År2,'Resultater - Østdanmark'!I$3:I$504,'Resultater - Østdanmark'!J$3:J$504)),"&gt;0"))</f>
        <v>27470991.955365088</v>
      </c>
      <c r="H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forbrug'!H$3,'Forbrug af biomasse'!$B$2:$B$425,$F113)</f>
        <v>1052751.2346229136</v>
      </c>
      <c r="I113">
        <f>IF(F113="Vestdanmark",-IF(A113="Halm",SUMIFS(IF(E113=År1,'Resultater - Vestdanmark'!H$3:H$504,IF(E113=År2,'Resultater - Vestdanmark'!I$3:I$504,'Resultater - Vestdanmark'!J$3:J$504)),'Resultater - Vestdanmark'!$F$3:$F$504,$A113,'Resultater - Vestdanmark'!H$3:H$504,"&lt;0"),0),-IF(A113="Halm",SUMIFS(IF(E113=År1,'Resultater - Østdanmark'!H$3:H$504,IF(E113=År2,'Resultater - Østdanmark'!I$3:I$504,'Resultater - Østdanmark'!J$3:J$504)),'Resultater - Østdanmark'!$F$3:$F$504,$A113,'Resultater - Østdanmark'!H$3:H$504,"&lt;0"),0))</f>
        <v>0</v>
      </c>
      <c r="J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forbrug'!J$3,'Forbrug af biomasse'!$B$2:$B$425,$F113)</f>
        <v>0</v>
      </c>
      <c r="K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forbrug'!K$3,'Forbrug af biomasse'!$B$2:$B$425,$F113)</f>
        <v>0</v>
      </c>
      <c r="L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forbrug'!L$3,'Forbrug af biomasse'!$B$2:$B$425,$F113)</f>
        <v>0</v>
      </c>
      <c r="M113" s="94">
        <f>IF(A113&lt;&gt;"Biogas",SUMIFS('Forbrug af biomasse'!$E$2:$E$425,'Forbrug af biomasse'!$C$2:$C$425,'Resultat-Produktion &amp; forbrug'!$A113,'Forbrug af biomasse'!$D$2:$D$425,'Resultat-Produktion &amp; forbrug'!$E113,'Forbrug af biomasse'!$A$2:$A$425,'Resultat-Produktion &amp; forbrug'!M$3,'Forbrug af biomasse'!$B$2:$B$425,$F113),G113)</f>
        <v>0</v>
      </c>
      <c r="N113" s="94">
        <f>SUMIFS('Forbrug af biomasse'!E:E,'Forbrug af biomasse'!C:C,'Resultat-Produktion &amp; forbrug'!$A113,'Forbrug af biomasse'!D:D,'Resultat-Produktion &amp; forbrug'!$E113,'Forbrug af biomasse'!G:G,1,'Forbrug af biomasse'!B:B,$F113)</f>
        <v>0</v>
      </c>
      <c r="O113" s="179">
        <f t="shared" si="26"/>
        <v>26418240.720742173</v>
      </c>
      <c r="P113" s="94">
        <f t="shared" si="22"/>
        <v>26418240.720742173</v>
      </c>
      <c r="Q113" s="180">
        <f t="shared" si="27"/>
        <v>0</v>
      </c>
      <c r="R113">
        <f>IFERROR(VLOOKUP(A113,[1]Energiindhold!$A$2:$C$11,3,FALSE),IFERROR(VLOOKUP(A113,[1]Biogasudbytte!$A$2:$B$18,2,FALSE)*[1]Energiindhold!$C$10,0))*P113</f>
        <v>48.606260646075512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IF(A113&lt;&gt;"Biogas",IFERROR(VLOOKUP(A113,[1]Biogasudbytte!$A$2:$B$18,2,FALSE)*[1]Energiindhold!$C$10,0)*K113*IFERROR(VLOOKUP(A113,Biogasanlæg!$F$3:$G$8,2,FALSE),1)+IFERROR(VLOOKUP(A113,[1]Energiindhold!$A$2:$C$11,3,FALSE),0)*M113+IF(E113&lt;&gt;År1,R113,0),0)</f>
        <v>48.606260646075512</v>
      </c>
      <c r="T113">
        <f>IFERROR(VLOOKUP(A113,[1]Biogasudbytte!$A$2:$B$18,2,FALSE)*[1]Energiindhold!$C$10,0)*K113*IFERROR(VLOOKUP(A113,Biogasanlæg!$F$3:$G$8,2,FALSE),1)</f>
        <v>0</v>
      </c>
      <c r="U113" s="170">
        <f t="shared" si="28"/>
        <v>48.606260646075512</v>
      </c>
      <c r="V113" s="169">
        <f>P113*IFERROR(VLOOKUP(A113,[1]Tørstofindhold!A$2:B$24,2,FALSE),0)</f>
        <v>7397107.4018078092</v>
      </c>
      <c r="W113">
        <f>IF(E113=År1,Q113,SUM(P113,Q113))*IFERROR(VLOOKUP(A113,[1]Tørstofindhold!A$2:B$24,2,FALSE),0)</f>
        <v>7397107.4018078092</v>
      </c>
      <c r="X113">
        <f>K113*IFERROR(VLOOKUP(A113,[1]Tørstofindhold!A$2:B$24,2,FALSE),0)</f>
        <v>0</v>
      </c>
      <c r="Y113" s="170">
        <f t="shared" si="29"/>
        <v>7397107.4018078092</v>
      </c>
      <c r="Z113">
        <f t="shared" si="23"/>
        <v>0</v>
      </c>
      <c r="AA113">
        <f t="shared" si="24"/>
        <v>1</v>
      </c>
      <c r="AB113" s="94">
        <f t="shared" si="25"/>
        <v>26418240.720742173</v>
      </c>
      <c r="AC113">
        <f>AB113*D113*10000*VLOOKUP(A113,[1]kcal!$A$2:$C$49,3,FALSE)/1000000000000</f>
        <v>0</v>
      </c>
    </row>
    <row r="114" spans="1:29" x14ac:dyDescent="0.25">
      <c r="A114" s="171" t="str">
        <f t="shared" si="36"/>
        <v>Græsprotein</v>
      </c>
      <c r="B114" s="171" t="str">
        <f t="shared" si="37"/>
        <v/>
      </c>
      <c r="C114" s="171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71">
        <f t="shared" si="21"/>
        <v>0</v>
      </c>
      <c r="E114" s="171">
        <f t="shared" si="38"/>
        <v>2050</v>
      </c>
      <c r="F114" t="s">
        <v>23</v>
      </c>
      <c r="G114" s="94">
        <f>IF(F114="Vestdanmark",SUMIFS(IF(E114=År1,'Resultater - Vestdanmark'!H$3:H$504,IF(E114=År2,'Resultater - Vestdanmark'!I$3:I$504,'Resultater - Vestdanmark'!J$3:J$504)),'Resultater - Vestdanmark'!$F$3:$F$504,$A114,IF(E114=År1,'Resultater - Vestdanmark'!H$3:H$504,IF(E114=År2,'Resultater - Vestdanmark'!I$3:I$504,'Resultater - Vestdanmark'!J$3:J$504)),"&gt;0"),SUMIFS(IF(E114=År1,'Resultater - Østdanmark'!H$3:H$504,IF(E114=År2,'Resultater - Østdanmark'!I$3:I$504,'Resultater - Østdanmark'!J$3:J$504)),'Resultater - Østdanmark'!$F$3:$F$504,$A114,IF(E114=År1,'Resultater - Østdanmark'!H$3:H$504,IF(E114=År2,'Resultater - Østdanmark'!I$3:I$504,'Resultater - Østdanmark'!J$3:J$504)),"&gt;0"))</f>
        <v>0</v>
      </c>
      <c r="H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forbrug'!H$3,'Forbrug af biomasse'!$B$2:$B$425,$F114)</f>
        <v>0</v>
      </c>
      <c r="I114">
        <f>IF(F114="Vestdanmark",-IF(A114="Halm",SUMIFS(IF(E114=År1,'Resultater - Vestdanmark'!H$3:H$504,IF(E114=År2,'Resultater - Vestdanmark'!I$3:I$504,'Resultater - Vestdanmark'!J$3:J$504)),'Resultater - Vestdanmark'!$F$3:$F$504,$A114,'Resultater - Vestdanmark'!H$3:H$504,"&lt;0"),0),-IF(A114="Halm",SUMIFS(IF(E114=År1,'Resultater - Østdanmark'!H$3:H$504,IF(E114=År2,'Resultater - Østdanmark'!I$3:I$504,'Resultater - Østdanmark'!J$3:J$504)),'Resultater - Østdanmark'!$F$3:$F$504,$A114,'Resultater - Østdanmark'!H$3:H$504,"&lt;0"),0))</f>
        <v>0</v>
      </c>
      <c r="J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forbrug'!J$3,'Forbrug af biomasse'!$B$2:$B$425,$F114)</f>
        <v>0</v>
      </c>
      <c r="K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forbrug'!K$3,'Forbrug af biomasse'!$B$2:$B$425,$F114)</f>
        <v>0</v>
      </c>
      <c r="L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forbrug'!L$3,'Forbrug af biomasse'!$B$2:$B$425,$F114)</f>
        <v>0</v>
      </c>
      <c r="M114" s="94">
        <f>IF(A114&lt;&gt;"Biogas",SUMIFS('Forbrug af biomasse'!$E$2:$E$425,'Forbrug af biomasse'!$C$2:$C$425,'Resultat-Produktion &amp; forbrug'!$A114,'Forbrug af biomasse'!$D$2:$D$425,'Resultat-Produktion &amp; forbrug'!$E114,'Forbrug af biomasse'!$A$2:$A$425,'Resultat-Produktion &amp; forbrug'!M$3,'Forbrug af biomasse'!$B$2:$B$425,$F114),G114)</f>
        <v>0</v>
      </c>
      <c r="N114" s="94">
        <f>SUMIFS('Forbrug af biomasse'!E:E,'Forbrug af biomasse'!C:C,'Resultat-Produktion &amp; forbrug'!$A114,'Forbrug af biomasse'!D:D,'Resultat-Produktion &amp; forbrug'!$E114,'Forbrug af biomasse'!G:G,1,'Forbrug af biomasse'!B:B,$F114)</f>
        <v>0</v>
      </c>
      <c r="O114" s="179">
        <f t="shared" si="26"/>
        <v>0</v>
      </c>
      <c r="P114" s="94">
        <f t="shared" si="22"/>
        <v>0</v>
      </c>
      <c r="Q114" s="180">
        <f t="shared" si="27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IF(A114&lt;&gt;"Biogas",IFERROR(VLOOKUP(A114,[1]Biogasudbytte!$A$2:$B$18,2,FALSE)*[1]Energiindhold!$C$10,0)*K114*IFERROR(VLOOKUP(A114,Biogasanlæg!$F$3:$G$8,2,FALSE),1)+IFERROR(VLOOKUP(A114,[1]Energiindhold!$A$2:$C$11,3,FALSE),0)*M114+IF(E114&lt;&gt;År1,R114,0),0)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8"/>
        <v>0</v>
      </c>
      <c r="V114" s="169">
        <f>P114*IFERROR(VLOOKUP(A114,[1]Tørstofindhold!A$2:B$24,2,FALSE),0)</f>
        <v>0</v>
      </c>
      <c r="W114">
        <f>IF(E114=År1,Q114,SUM(P114,Q114))*IFERROR(VLOOKUP(A114,[1]Tørstofindhold!A$2:B$24,2,FALSE),0)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9"/>
        <v>0</v>
      </c>
      <c r="Z114">
        <f t="shared" si="23"/>
        <v>0</v>
      </c>
      <c r="AA114">
        <f t="shared" si="24"/>
        <v>0</v>
      </c>
      <c r="AB114" s="94">
        <f t="shared" si="25"/>
        <v>0</v>
      </c>
      <c r="AC114">
        <f>AB114*D114*10000*VLOOKUP(A114,[1]kcal!$A$2:$C$49,3,FALSE)/1000000000000</f>
        <v>0</v>
      </c>
    </row>
    <row r="115" spans="1:29" x14ac:dyDescent="0.25">
      <c r="A115" s="171" t="str">
        <f t="shared" si="36"/>
        <v>Grøntsager</v>
      </c>
      <c r="B115" s="171" t="str">
        <f t="shared" si="37"/>
        <v/>
      </c>
      <c r="C115" s="171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0</v>
      </c>
      <c r="D115" s="171">
        <f t="shared" si="21"/>
        <v>1</v>
      </c>
      <c r="E115" s="171">
        <f t="shared" si="38"/>
        <v>2050</v>
      </c>
      <c r="F115" t="s">
        <v>23</v>
      </c>
      <c r="G115" s="94">
        <f>IF(F115="Vestdanmark",SUMIFS(IF(E115=År1,'Resultater - Vestdanmark'!H$3:H$504,IF(E115=År2,'Resultater - Vestdanmark'!I$3:I$504,'Resultater - Vestdanmark'!J$3:J$504)),'Resultater - Vestdanmark'!$F$3:$F$504,$A115,IF(E115=År1,'Resultater - Vestdanmark'!H$3:H$504,IF(E115=År2,'Resultater - Vestdanmark'!I$3:I$504,'Resultater - Vestdanmark'!J$3:J$504)),"&gt;0"),SUMIFS(IF(E115=År1,'Resultater - Østdanmark'!H$3:H$504,IF(E115=År2,'Resultater - Østdanmark'!I$3:I$504,'Resultater - Østdanmark'!J$3:J$504)),'Resultater - Østdanmark'!$F$3:$F$504,$A115,IF(E115=År1,'Resultater - Østdanmark'!H$3:H$504,IF(E115=År2,'Resultater - Østdanmark'!I$3:I$504,'Resultater - Østdanmark'!J$3:J$504)),"&gt;0"))</f>
        <v>3574924.4318902972</v>
      </c>
      <c r="H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forbrug'!H$3,'Forbrug af biomasse'!$B$2:$B$425,$F115)</f>
        <v>0</v>
      </c>
      <c r="I115">
        <f>IF(F115="Vestdanmark",-IF(A115="Halm",SUMIFS(IF(E115=År1,'Resultater - Vestdanmark'!H$3:H$504,IF(E115=År2,'Resultater - Vestdanmark'!I$3:I$504,'Resultater - Vestdanmark'!J$3:J$504)),'Resultater - Vestdanmark'!$F$3:$F$504,$A115,'Resultater - Vestdanmark'!H$3:H$504,"&lt;0"),0),-IF(A115="Halm",SUMIFS(IF(E115=År1,'Resultater - Østdanmark'!H$3:H$504,IF(E115=År2,'Resultater - Østdanmark'!I$3:I$504,'Resultater - Østdanmark'!J$3:J$504)),'Resultater - Østdanmark'!$F$3:$F$504,$A115,'Resultater - Østdanmark'!H$3:H$504,"&lt;0"),0))</f>
        <v>0</v>
      </c>
      <c r="J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forbrug'!J$3,'Forbrug af biomasse'!$B$2:$B$425,$F115)</f>
        <v>280672.65868343826</v>
      </c>
      <c r="K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forbrug'!K$3,'Forbrug af biomasse'!$B$2:$B$425,$F115)</f>
        <v>0</v>
      </c>
      <c r="L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forbrug'!L$3,'Forbrug af biomasse'!$B$2:$B$425,$F115)</f>
        <v>0</v>
      </c>
      <c r="M115" s="94">
        <f>IF(A115&lt;&gt;"Biogas",SUMIFS('Forbrug af biomasse'!$E$2:$E$425,'Forbrug af biomasse'!$C$2:$C$425,'Resultat-Produktion &amp; forbrug'!$A115,'Forbrug af biomasse'!$D$2:$D$425,'Resultat-Produktion &amp; forbrug'!$E115,'Forbrug af biomasse'!$A$2:$A$425,'Resultat-Produktion &amp; forbrug'!M$3,'Forbrug af biomasse'!$B$2:$B$425,$F115),G115)</f>
        <v>0</v>
      </c>
      <c r="N115" s="94">
        <f>SUMIFS('Forbrug af biomasse'!E:E,'Forbrug af biomasse'!C:C,'Resultat-Produktion &amp; forbrug'!$A115,'Forbrug af biomasse'!D:D,'Resultat-Produktion &amp; forbrug'!$E115,'Forbrug af biomasse'!G:G,1,'Forbrug af biomasse'!B:B,$F115)</f>
        <v>0</v>
      </c>
      <c r="O115" s="179">
        <f t="shared" si="26"/>
        <v>3294251.7732068589</v>
      </c>
      <c r="P115" s="94">
        <f t="shared" si="22"/>
        <v>0</v>
      </c>
      <c r="Q115" s="180">
        <f t="shared" si="27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IF(A115&lt;&gt;"Biogas",IFERROR(VLOOKUP(A115,[1]Biogasudbytte!$A$2:$B$18,2,FALSE)*[1]Energiindhold!$C$10,0)*K115*IFERROR(VLOOKUP(A115,Biogasanlæg!$F$3:$G$8,2,FALSE),1)+IFERROR(VLOOKUP(A115,[1]Energiindhold!$A$2:$C$11,3,FALSE),0)*M115+IF(E115&lt;&gt;År1,R115,0),0)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8"/>
        <v>0</v>
      </c>
      <c r="V115" s="169">
        <f>P115*IFERROR(VLOOKUP(A115,[1]Tørstofindhold!A$2:B$24,2,FALSE),0)</f>
        <v>0</v>
      </c>
      <c r="W115">
        <f>IF(E115=År1,Q115,SUM(P115,Q115))*IFERROR(VLOOKUP(A115,[1]Tørstofindhold!A$2:B$24,2,FALSE),0)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9"/>
        <v>0</v>
      </c>
      <c r="Z115">
        <f t="shared" si="23"/>
        <v>0</v>
      </c>
      <c r="AA115">
        <f t="shared" si="24"/>
        <v>1</v>
      </c>
      <c r="AB115" s="94">
        <f t="shared" si="25"/>
        <v>3574924.4318902972</v>
      </c>
      <c r="AC115">
        <f>AB115*D115*10000*VLOOKUP(A115,[1]kcal!$A$2:$C$49,3,FALSE)/1000000000000</f>
        <v>1.3942205284372158</v>
      </c>
    </row>
    <row r="116" spans="1:29" x14ac:dyDescent="0.25">
      <c r="A116" s="171" t="str">
        <f t="shared" si="36"/>
        <v>Halm</v>
      </c>
      <c r="B116" s="171" t="str">
        <f t="shared" si="37"/>
        <v>Halm og strå</v>
      </c>
      <c r="C116" s="171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71">
        <f t="shared" si="21"/>
        <v>0</v>
      </c>
      <c r="E116" s="171">
        <f t="shared" si="38"/>
        <v>2050</v>
      </c>
      <c r="F116" t="s">
        <v>23</v>
      </c>
      <c r="G116" s="94">
        <f>IF(F116="Vestdanmark",SUMIFS(IF(E116=År1,'Resultater - Vestdanmark'!H$3:H$504,IF(E116=År2,'Resultater - Vestdanmark'!I$3:I$504,'Resultater - Vestdanmark'!J$3:J$504)),'Resultater - Vestdanmark'!$F$3:$F$504,$A116,IF(E116=År1,'Resultater - Vestdanmark'!H$3:H$504,IF(E116=År2,'Resultater - Vestdanmark'!I$3:I$504,'Resultater - Vestdanmark'!J$3:J$504)),"&gt;0"),SUMIFS(IF(E116=År1,'Resultater - Østdanmark'!H$3:H$504,IF(E116=År2,'Resultater - Østdanmark'!I$3:I$504,'Resultater - Østdanmark'!J$3:J$504)),'Resultater - Østdanmark'!$F$3:$F$504,$A116,IF(E116=År1,'Resultater - Østdanmark'!H$3:H$504,IF(E116=År2,'Resultater - Østdanmark'!I$3:I$504,'Resultater - Østdanmark'!J$3:J$504)),"&gt;0"))</f>
        <v>1112034.6998953791</v>
      </c>
      <c r="H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forbrug'!H$3,'Forbrug af biomasse'!$B$2:$B$425,$F116)</f>
        <v>66504.964166574544</v>
      </c>
      <c r="I116">
        <f>IF(F116="Vestdanmark",-IF(A116="Halm",SUMIFS(IF(E116=År1,'Resultater - Vestdanmark'!H$3:H$504,IF(E116=År2,'Resultater - Vestdanmark'!I$3:I$504,'Resultater - Vestdanmark'!J$3:J$504)),'Resultater - Vestdanmark'!$F$3:$F$504,$A116,'Resultater - Vestdanmark'!H$3:H$504,"&lt;0"),0),-IF(A116="Halm",SUMIFS(IF(E116=År1,'Resultater - Østdanmark'!H$3:H$504,IF(E116=År2,'Resultater - Østdanmark'!I$3:I$504,'Resultater - Østdanmark'!J$3:J$504)),'Resultater - Østdanmark'!$F$3:$F$504,$A116,'Resultater - Østdanmark'!H$3:H$504,"&lt;0"),0))</f>
        <v>50454.584612926636</v>
      </c>
      <c r="J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forbrug'!J$3,'Forbrug af biomasse'!$B$2:$B$425,$F116)</f>
        <v>0</v>
      </c>
      <c r="K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forbrug'!K$3,'Forbrug af biomasse'!$B$2:$B$425,$F116)</f>
        <v>0</v>
      </c>
      <c r="L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forbrug'!L$3,'Forbrug af biomasse'!$B$2:$B$425,$F116)</f>
        <v>0</v>
      </c>
      <c r="M116" s="94">
        <f>IF(A116&lt;&gt;"Biogas",SUMIFS('Forbrug af biomasse'!$E$2:$E$425,'Forbrug af biomasse'!$C$2:$C$425,'Resultat-Produktion &amp; forbrug'!$A116,'Forbrug af biomasse'!$D$2:$D$425,'Resultat-Produktion &amp; forbrug'!$E116,'Forbrug af biomasse'!$A$2:$A$425,'Resultat-Produktion &amp; forbrug'!M$3,'Forbrug af biomasse'!$B$2:$B$425,$F116),G116)</f>
        <v>995075.1511158779</v>
      </c>
      <c r="N116" s="94">
        <f>SUMIFS('Forbrug af biomasse'!E:E,'Forbrug af biomasse'!C:C,'Resultat-Produktion &amp; forbrug'!$A116,'Forbrug af biomasse'!D:D,'Resultat-Produktion &amp; forbrug'!$E116,'Forbrug af biomasse'!G:G,1,'Forbrug af biomasse'!B:B,$F116)</f>
        <v>0</v>
      </c>
      <c r="O116" s="179">
        <f t="shared" si="26"/>
        <v>0</v>
      </c>
      <c r="P116" s="94">
        <f t="shared" si="22"/>
        <v>0</v>
      </c>
      <c r="Q116" s="180">
        <f t="shared" si="27"/>
        <v>995075.1511158779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IF(A116&lt;&gt;"Biogas",IFERROR(VLOOKUP(A116,[1]Biogasudbytte!$A$2:$B$18,2,FALSE)*[1]Energiindhold!$C$10,0)*K116*IFERROR(VLOOKUP(A116,Biogasanlæg!$F$3:$G$8,2,FALSE),1)+IFERROR(VLOOKUP(A116,[1]Energiindhold!$A$2:$C$11,3,FALSE),0)*M116+IF(E116&lt;&gt;År1,R116,0),0)</f>
        <v>10.284904054818577</v>
      </c>
      <c r="T116">
        <f>IFERROR(VLOOKUP(A116,[1]Biogasudbytte!$A$2:$B$18,2,FALSE)*[1]Energiindhold!$C$10,0)*K116*IFERROR(VLOOKUP(A116,Biogasanlæg!$F$3:$G$8,2,FALSE),1)</f>
        <v>0</v>
      </c>
      <c r="U116" s="170">
        <f t="shared" si="28"/>
        <v>10.284904054818577</v>
      </c>
      <c r="V116" s="169">
        <f>P116*IFERROR(VLOOKUP(A116,[1]Tørstofindhold!A$2:B$24,2,FALSE),0)</f>
        <v>0</v>
      </c>
      <c r="W116">
        <f>IF(E116=År1,Q116,SUM(P116,Q116))*IFERROR(VLOOKUP(A116,[1]Tørstofindhold!A$2:B$24,2,FALSE),0)</f>
        <v>845813.87844849622</v>
      </c>
      <c r="X116">
        <f>K116*IFERROR(VLOOKUP(A116,[1]Tørstofindhold!A$2:B$24,2,FALSE),0)</f>
        <v>0</v>
      </c>
      <c r="Y116" s="170">
        <f t="shared" si="29"/>
        <v>845813.87844849622</v>
      </c>
      <c r="Z116">
        <f t="shared" si="23"/>
        <v>0</v>
      </c>
      <c r="AA116">
        <f t="shared" si="24"/>
        <v>0</v>
      </c>
      <c r="AB116" s="94">
        <f t="shared" si="25"/>
        <v>995075.15111587802</v>
      </c>
      <c r="AC116">
        <f>AB116*D116*10000*VLOOKUP(A116,[1]kcal!$A$2:$C$49,3,FALSE)/1000000000000</f>
        <v>0</v>
      </c>
    </row>
    <row r="117" spans="1:29" x14ac:dyDescent="0.25">
      <c r="A117" s="171" t="str">
        <f t="shared" si="36"/>
        <v>Have/parkaffald</v>
      </c>
      <c r="B117" s="171" t="str">
        <f t="shared" si="37"/>
        <v>Bionedbrydeligt affald</v>
      </c>
      <c r="C117" s="171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1</v>
      </c>
      <c r="D117" s="171">
        <f t="shared" ref="D117:D180" si="39">D69</f>
        <v>0</v>
      </c>
      <c r="E117" s="171">
        <f t="shared" si="38"/>
        <v>2050</v>
      </c>
      <c r="F117" t="s">
        <v>23</v>
      </c>
      <c r="G117" s="94">
        <f>IF(F117="Vestdanmark",SUMIFS(IF(E117=År1,'Resultater - Vestdanmark'!H$3:H$504,IF(E117=År2,'Resultater - Vestdanmark'!I$3:I$504,'Resultater - Vestdanmark'!J$3:J$504)),'Resultater - Vestdanmark'!$F$3:$F$504,$A117,IF(E117=År1,'Resultater - Vestdanmark'!H$3:H$504,IF(E117=År2,'Resultater - Vestdanmark'!I$3:I$504,'Resultater - Vestdanmark'!J$3:J$504)),"&gt;0"),SUMIFS(IF(E117=År1,'Resultater - Østdanmark'!H$3:H$504,IF(E117=År2,'Resultater - Østdanmark'!I$3:I$504,'Resultater - Østdanmark'!J$3:J$504)),'Resultater - Østdanmark'!$F$3:$F$504,$A117,IF(E117=År1,'Resultater - Østdanmark'!H$3:H$504,IF(E117=År2,'Resultater - Østdanmark'!I$3:I$504,'Resultater - Østdanmark'!J$3:J$504)),"&gt;0"))</f>
        <v>524881.97503939818</v>
      </c>
      <c r="H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forbrug'!H$3,'Forbrug af biomasse'!$B$2:$B$425,$F117)</f>
        <v>0</v>
      </c>
      <c r="I117">
        <f>IF(F117="Vestdanmark",-IF(A117="Halm",SUMIFS(IF(E117=År1,'Resultater - Vestdanmark'!H$3:H$504,IF(E117=År2,'Resultater - Vestdanmark'!I$3:I$504,'Resultater - Vestdanmark'!J$3:J$504)),'Resultater - Vestdanmark'!$F$3:$F$504,$A117,'Resultater - Vestdanmark'!H$3:H$504,"&lt;0"),0),-IF(A117="Halm",SUMIFS(IF(E117=År1,'Resultater - Østdanmark'!H$3:H$504,IF(E117=År2,'Resultater - Østdanmark'!I$3:I$504,'Resultater - Østdanmark'!J$3:J$504)),'Resultater - Østdanmark'!$F$3:$F$504,$A117,'Resultater - Østdanmark'!H$3:H$504,"&lt;0"),0))</f>
        <v>0</v>
      </c>
      <c r="J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forbrug'!J$3,'Forbrug af biomasse'!$B$2:$B$425,$F117)</f>
        <v>0</v>
      </c>
      <c r="K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forbrug'!K$3,'Forbrug af biomasse'!$B$2:$B$425,$F117)</f>
        <v>523381.79192356829</v>
      </c>
      <c r="L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forbrug'!L$3,'Forbrug af biomasse'!$B$2:$B$425,$F117)</f>
        <v>0</v>
      </c>
      <c r="M117" s="94">
        <f>IF(A117&lt;&gt;"Biogas",SUMIFS('Forbrug af biomasse'!$E$2:$E$425,'Forbrug af biomasse'!$C$2:$C$425,'Resultat-Produktion &amp; forbrug'!$A117,'Forbrug af biomasse'!$D$2:$D$425,'Resultat-Produktion &amp; forbrug'!$E117,'Forbrug af biomasse'!$A$2:$A$425,'Resultat-Produktion &amp; forbrug'!M$3,'Forbrug af biomasse'!$B$2:$B$425,$F117),G117)</f>
        <v>1500.1831158298883</v>
      </c>
      <c r="N117" s="94">
        <f>SUMIFS('Forbrug af biomasse'!E:E,'Forbrug af biomasse'!C:C,'Resultat-Produktion &amp; forbrug'!$A117,'Forbrug af biomasse'!D:D,'Resultat-Produktion &amp; forbrug'!$E117,'Forbrug af biomasse'!G:G,1,'Forbrug af biomasse'!B:B,$F117)</f>
        <v>0</v>
      </c>
      <c r="O117" s="179">
        <f t="shared" si="26"/>
        <v>0</v>
      </c>
      <c r="P117" s="94">
        <f t="shared" si="22"/>
        <v>0</v>
      </c>
      <c r="Q117" s="180">
        <f t="shared" si="27"/>
        <v>524881.97503939818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IF(A117&lt;&gt;"Biogas",IFERROR(VLOOKUP(A117,[1]Biogasudbytte!$A$2:$B$18,2,FALSE)*[1]Energiindhold!$C$10,0)*K117*IFERROR(VLOOKUP(A117,Biogasanlæg!$F$3:$G$8,2,FALSE),1)+IFERROR(VLOOKUP(A117,[1]Energiindhold!$A$2:$C$11,3,FALSE),0)*M117+IF(E117&lt;&gt;År1,R117,0),0)</f>
        <v>0.91552051921684041</v>
      </c>
      <c r="T117">
        <f>IFERROR(VLOOKUP(A117,[1]Biogasudbytte!$A$2:$B$18,2,FALSE)*[1]Energiindhold!$C$10,0)*K117*IFERROR(VLOOKUP(A117,Biogasanlæg!$F$3:$G$8,2,FALSE),1)</f>
        <v>0.88873891941165373</v>
      </c>
      <c r="U117" s="170">
        <f t="shared" si="28"/>
        <v>2.6781599805186684E-2</v>
      </c>
      <c r="V117" s="169">
        <f>P117*IFERROR(VLOOKUP(A117,[1]Tørstofindhold!A$2:B$24,2,FALSE),0)</f>
        <v>0</v>
      </c>
      <c r="W117">
        <f>IF(E117=År1,Q117,SUM(P117,Q117))*IFERROR(VLOOKUP(A117,[1]Tørstofindhold!A$2:B$24,2,FALSE),0)</f>
        <v>157464.59251181944</v>
      </c>
      <c r="X117">
        <f>K117*IFERROR(VLOOKUP(A117,[1]Tørstofindhold!A$2:B$24,2,FALSE),0)</f>
        <v>157014.53757707047</v>
      </c>
      <c r="Y117" s="170">
        <f t="shared" si="29"/>
        <v>450.0549347489723</v>
      </c>
      <c r="Z117">
        <f t="shared" si="23"/>
        <v>0</v>
      </c>
      <c r="AA117">
        <f t="shared" si="24"/>
        <v>0</v>
      </c>
      <c r="AB117" s="94">
        <f t="shared" si="25"/>
        <v>1500.1831158298883</v>
      </c>
      <c r="AC117">
        <f>AB117*D117*10000*VLOOKUP(A117,[1]kcal!$A$2:$C$49,3,FALSE)/1000000000000</f>
        <v>0</v>
      </c>
    </row>
    <row r="118" spans="1:29" x14ac:dyDescent="0.25">
      <c r="A118" s="171" t="str">
        <f t="shared" si="36"/>
        <v>Import af foder</v>
      </c>
      <c r="B118" s="171" t="str">
        <f t="shared" si="37"/>
        <v/>
      </c>
      <c r="C118" s="171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0</v>
      </c>
      <c r="D118" s="171">
        <f t="shared" si="39"/>
        <v>1</v>
      </c>
      <c r="E118" s="171">
        <f t="shared" si="38"/>
        <v>2050</v>
      </c>
      <c r="F118" t="s">
        <v>23</v>
      </c>
      <c r="G118" s="94">
        <f>IF(F118="Vestdanmark",SUMIFS(IF(E118=År1,'Resultater - Vestdanmark'!H$3:H$504,IF(E118=År2,'Resultater - Vestdanmark'!I$3:I$504,'Resultater - Vestdanmark'!J$3:J$504)),'Resultater - Vestdanmark'!$F$3:$F$504,$A118,IF(E118=År1,'Resultater - Vestdanmark'!H$3:H$504,IF(E118=År2,'Resultater - Vestdanmark'!I$3:I$504,'Resultater - Vestdanmark'!J$3:J$504)),"&gt;0"),SUMIFS(IF(E118=År1,'Resultater - Østdanmark'!H$3:H$504,IF(E118=År2,'Resultater - Østdanmark'!I$3:I$504,'Resultater - Østdanmark'!J$3:J$504)),'Resultater - Østdanmark'!$F$3:$F$504,$A118,IF(E118=År1,'Resultater - Østdanmark'!H$3:H$504,IF(E118=År2,'Resultater - Østdanmark'!I$3:I$504,'Resultater - Østdanmark'!J$3:J$504)),"&gt;0"))</f>
        <v>0</v>
      </c>
      <c r="H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forbrug'!H$3,'Forbrug af biomasse'!$B$2:$B$425,$F118)</f>
        <v>415367.04155021644</v>
      </c>
      <c r="I118">
        <f>IF(F118="Vestdanmark",-IF(A118="Halm",SUMIFS(IF(E118=År1,'Resultater - Vestdanmark'!H$3:H$504,IF(E118=År2,'Resultater - Vestdanmark'!I$3:I$504,'Resultater - Vestdanmark'!J$3:J$504)),'Resultater - Vestdanmark'!$F$3:$F$504,$A118,'Resultater - Vestdanmark'!H$3:H$504,"&lt;0"),0),-IF(A118="Halm",SUMIFS(IF(E118=År1,'Resultater - Østdanmark'!H$3:H$504,IF(E118=År2,'Resultater - Østdanmark'!I$3:I$504,'Resultater - Østdanmark'!J$3:J$504)),'Resultater - Østdanmark'!$F$3:$F$504,$A118,'Resultater - Østdanmark'!H$3:H$504,"&lt;0"),0))</f>
        <v>0</v>
      </c>
      <c r="J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forbrug'!J$3,'Forbrug af biomasse'!$B$2:$B$425,$F118)</f>
        <v>0</v>
      </c>
      <c r="K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forbrug'!K$3,'Forbrug af biomasse'!$B$2:$B$425,$F118)</f>
        <v>0</v>
      </c>
      <c r="L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forbrug'!L$3,'Forbrug af biomasse'!$B$2:$B$425,$F118)</f>
        <v>0</v>
      </c>
      <c r="M118" s="94">
        <f>IF(A118&lt;&gt;"Biogas",SUMIFS('Forbrug af biomasse'!$E$2:$E$425,'Forbrug af biomasse'!$C$2:$C$425,'Resultat-Produktion &amp; forbrug'!$A118,'Forbrug af biomasse'!$D$2:$D$425,'Resultat-Produktion &amp; forbrug'!$E118,'Forbrug af biomasse'!$A$2:$A$425,'Resultat-Produktion &amp; forbrug'!M$3,'Forbrug af biomasse'!$B$2:$B$425,$F118),G118)</f>
        <v>0</v>
      </c>
      <c r="N118" s="94">
        <f>SUMIFS('Forbrug af biomasse'!E:E,'Forbrug af biomasse'!C:C,'Resultat-Produktion &amp; forbrug'!$A118,'Forbrug af biomasse'!D:D,'Resultat-Produktion &amp; forbrug'!$E118,'Forbrug af biomasse'!G:G,1,'Forbrug af biomasse'!B:B,$F118)</f>
        <v>0</v>
      </c>
      <c r="O118" s="179">
        <f t="shared" si="26"/>
        <v>-415367.04155021644</v>
      </c>
      <c r="P118" s="94">
        <f t="shared" si="22"/>
        <v>0</v>
      </c>
      <c r="Q118" s="180">
        <f t="shared" si="27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IF(A118&lt;&gt;"Biogas",IFERROR(VLOOKUP(A118,[1]Biogasudbytte!$A$2:$B$18,2,FALSE)*[1]Energiindhold!$C$10,0)*K118*IFERROR(VLOOKUP(A118,Biogasanlæg!$F$3:$G$8,2,FALSE),1)+IFERROR(VLOOKUP(A118,[1]Energiindhold!$A$2:$C$11,3,FALSE),0)*M118+IF(E118&lt;&gt;År1,R118,0),0)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8"/>
        <v>0</v>
      </c>
      <c r="V118" s="169">
        <f>P118*IFERROR(VLOOKUP(A118,[1]Tørstofindhold!A$2:B$24,2,FALSE),0)</f>
        <v>0</v>
      </c>
      <c r="W118">
        <f>IF(E118=År1,Q118,SUM(P118,Q118))*IFERROR(VLOOKUP(A118,[1]Tørstofindhold!A$2:B$24,2,FALSE),0)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9"/>
        <v>0</v>
      </c>
      <c r="Z118">
        <f t="shared" si="23"/>
        <v>1</v>
      </c>
      <c r="AA118">
        <f t="shared" si="24"/>
        <v>0</v>
      </c>
      <c r="AB118" s="94">
        <f t="shared" si="25"/>
        <v>-415367.04155021644</v>
      </c>
      <c r="AC118">
        <f>AB118*D118*10000*VLOOKUP(A118,[1]kcal!$A$2:$C$49,3,FALSE)/1000000000000</f>
        <v>-0.23675921368362338</v>
      </c>
    </row>
    <row r="119" spans="1:29" x14ac:dyDescent="0.25">
      <c r="A119" s="171" t="str">
        <f t="shared" si="36"/>
        <v>Industriaffald</v>
      </c>
      <c r="B119" s="171" t="str">
        <f t="shared" si="37"/>
        <v>Bionedbrydeligt affald</v>
      </c>
      <c r="C119" s="171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1</v>
      </c>
      <c r="D119" s="171">
        <f t="shared" si="39"/>
        <v>0</v>
      </c>
      <c r="E119" s="171">
        <f t="shared" si="38"/>
        <v>2050</v>
      </c>
      <c r="F119" t="s">
        <v>23</v>
      </c>
      <c r="G119" s="94">
        <f>IF(F119="Vestdanmark",SUMIFS(IF(E119=År1,'Resultater - Vestdanmark'!H$3:H$504,IF(E119=År2,'Resultater - Vestdanmark'!I$3:I$504,'Resultater - Vestdanmark'!J$3:J$504)),'Resultater - Vestdanmark'!$F$3:$F$504,$A119,IF(E119=År1,'Resultater - Vestdanmark'!H$3:H$504,IF(E119=År2,'Resultater - Vestdanmark'!I$3:I$504,'Resultater - Vestdanmark'!J$3:J$504)),"&gt;0"),SUMIFS(IF(E119=År1,'Resultater - Østdanmark'!H$3:H$504,IF(E119=År2,'Resultater - Østdanmark'!I$3:I$504,'Resultater - Østdanmark'!J$3:J$504)),'Resultater - Østdanmark'!$F$3:$F$504,$A119,IF(E119=År1,'Resultater - Østdanmark'!H$3:H$504,IF(E119=År2,'Resultater - Østdanmark'!I$3:I$504,'Resultater - Østdanmark'!J$3:J$504)),"&gt;0"))</f>
        <v>214268.06810170741</v>
      </c>
      <c r="H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forbrug'!H$3,'Forbrug af biomasse'!$B$2:$B$425,$F119)</f>
        <v>0</v>
      </c>
      <c r="I119">
        <f>IF(F119="Vestdanmark",-IF(A119="Halm",SUMIFS(IF(E119=År1,'Resultater - Vestdanmark'!H$3:H$504,IF(E119=År2,'Resultater - Vestdanmark'!I$3:I$504,'Resultater - Vestdanmark'!J$3:J$504)),'Resultater - Vestdanmark'!$F$3:$F$504,$A119,'Resultater - Vestdanmark'!H$3:H$504,"&lt;0"),0),-IF(A119="Halm",SUMIFS(IF(E119=År1,'Resultater - Østdanmark'!H$3:H$504,IF(E119=År2,'Resultater - Østdanmark'!I$3:I$504,'Resultater - Østdanmark'!J$3:J$504)),'Resultater - Østdanmark'!$F$3:$F$504,$A119,'Resultater - Østdanmark'!H$3:H$504,"&lt;0"),0))</f>
        <v>0</v>
      </c>
      <c r="J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forbrug'!J$3,'Forbrug af biomasse'!$B$2:$B$425,$F119)</f>
        <v>0</v>
      </c>
      <c r="K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forbrug'!K$3,'Forbrug af biomasse'!$B$2:$B$425,$F119)</f>
        <v>0</v>
      </c>
      <c r="L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forbrug'!L$3,'Forbrug af biomasse'!$B$2:$B$425,$F119)</f>
        <v>0</v>
      </c>
      <c r="M119" s="94">
        <f>IF(A119&lt;&gt;"Biogas",SUMIFS('Forbrug af biomasse'!$E$2:$E$425,'Forbrug af biomasse'!$C$2:$C$425,'Resultat-Produktion &amp; forbrug'!$A119,'Forbrug af biomasse'!$D$2:$D$425,'Resultat-Produktion &amp; forbrug'!$E119,'Forbrug af biomasse'!$A$2:$A$425,'Resultat-Produktion &amp; forbrug'!M$3,'Forbrug af biomasse'!$B$2:$B$425,$F119),G119)</f>
        <v>0</v>
      </c>
      <c r="N119" s="94">
        <f>SUMIFS('Forbrug af biomasse'!E:E,'Forbrug af biomasse'!C:C,'Resultat-Produktion &amp; forbrug'!$A119,'Forbrug af biomasse'!D:D,'Resultat-Produktion &amp; forbrug'!$E119,'Forbrug af biomasse'!G:G,1,'Forbrug af biomasse'!B:B,$F119)</f>
        <v>0</v>
      </c>
      <c r="O119" s="179">
        <f t="shared" si="26"/>
        <v>214268.06810170741</v>
      </c>
      <c r="P119" s="94">
        <f t="shared" si="22"/>
        <v>214268.06810170741</v>
      </c>
      <c r="Q119" s="180">
        <f t="shared" si="27"/>
        <v>0</v>
      </c>
      <c r="R119">
        <f>IFERROR(VLOOKUP(A119,[1]Energiindhold!$A$2:$C$11,3,FALSE),IFERROR(VLOOKUP(A119,[1]Biogasudbytte!$A$2:$B$18,2,FALSE)*[1]Energiindhold!$C$10,0))*P119</f>
        <v>0.92845139393355158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IF(A119&lt;&gt;"Biogas",IFERROR(VLOOKUP(A119,[1]Biogasudbytte!$A$2:$B$18,2,FALSE)*[1]Energiindhold!$C$10,0)*K119*IFERROR(VLOOKUP(A119,Biogasanlæg!$F$3:$G$8,2,FALSE),1)+IFERROR(VLOOKUP(A119,[1]Energiindhold!$A$2:$C$11,3,FALSE),0)*M119+IF(E119&lt;&gt;År1,R119,0),0)</f>
        <v>0.92845139393355158</v>
      </c>
      <c r="T119">
        <f>IFERROR(VLOOKUP(A119,[1]Biogasudbytte!$A$2:$B$18,2,FALSE)*[1]Energiindhold!$C$10,0)*K119*IFERROR(VLOOKUP(A119,Biogasanlæg!$F$3:$G$8,2,FALSE),1)</f>
        <v>0</v>
      </c>
      <c r="U119" s="170">
        <f t="shared" si="28"/>
        <v>0.92845139393355158</v>
      </c>
      <c r="V119" s="169">
        <f>P119*IFERROR(VLOOKUP(A119,[1]Tørstofindhold!A$2:B$24,2,FALSE),0)</f>
        <v>89992.588602717107</v>
      </c>
      <c r="W119">
        <f>IF(E119=År1,Q119,SUM(P119,Q119))*IFERROR(VLOOKUP(A119,[1]Tørstofindhold!A$2:B$24,2,FALSE),0)</f>
        <v>89992.588602717107</v>
      </c>
      <c r="X119">
        <f>K119*IFERROR(VLOOKUP(A119,[1]Tørstofindhold!A$2:B$24,2,FALSE),0)</f>
        <v>0</v>
      </c>
      <c r="Y119" s="170">
        <f t="shared" si="29"/>
        <v>89992.588602717107</v>
      </c>
      <c r="Z119">
        <f t="shared" si="23"/>
        <v>0</v>
      </c>
      <c r="AA119">
        <f t="shared" si="24"/>
        <v>1</v>
      </c>
      <c r="AB119" s="94">
        <f t="shared" si="25"/>
        <v>214268.06810170741</v>
      </c>
      <c r="AC119">
        <f>AB119*D119*10000*VLOOKUP(A119,[1]kcal!$A$2:$C$49,3,FALSE)/1000000000000</f>
        <v>0</v>
      </c>
    </row>
    <row r="120" spans="1:29" x14ac:dyDescent="0.25">
      <c r="A120" s="171" t="str">
        <f t="shared" si="36"/>
        <v>Juletræer</v>
      </c>
      <c r="B120" s="171" t="str">
        <f t="shared" si="37"/>
        <v/>
      </c>
      <c r="C120" s="171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71">
        <f t="shared" si="39"/>
        <v>0</v>
      </c>
      <c r="E120" s="171">
        <f t="shared" si="38"/>
        <v>2050</v>
      </c>
      <c r="F120" t="s">
        <v>23</v>
      </c>
      <c r="G120" s="94">
        <f>IF(F120="Vestdanmark",SUMIFS(IF(E120=År1,'Resultater - Vestdanmark'!H$3:H$504,IF(E120=År2,'Resultater - Vestdanmark'!I$3:I$504,'Resultater - Vestdanmark'!J$3:J$504)),'Resultater - Vestdanmark'!$F$3:$F$504,$A120,IF(E120=År1,'Resultater - Vestdanmark'!H$3:H$504,IF(E120=År2,'Resultater - Vestdanmark'!I$3:I$504,'Resultater - Vestdanmark'!J$3:J$504)),"&gt;0"),SUMIFS(IF(E120=År1,'Resultater - Østdanmark'!H$3:H$504,IF(E120=År2,'Resultater - Østdanmark'!I$3:I$504,'Resultater - Østdanmark'!J$3:J$504)),'Resultater - Østdanmark'!$F$3:$F$504,$A120,IF(E120=År1,'Resultater - Østdanmark'!H$3:H$504,IF(E120=År2,'Resultater - Østdanmark'!I$3:I$504,'Resultater - Østdanmark'!J$3:J$504)),"&gt;0"))</f>
        <v>576432.67952835571</v>
      </c>
      <c r="H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forbrug'!H$3,'Forbrug af biomasse'!$B$2:$B$425,$F120)</f>
        <v>0</v>
      </c>
      <c r="I120">
        <f>IF(F120="Vestdanmark",-IF(A120="Halm",SUMIFS(IF(E120=År1,'Resultater - Vestdanmark'!H$3:H$504,IF(E120=År2,'Resultater - Vestdanmark'!I$3:I$504,'Resultater - Vestdanmark'!J$3:J$504)),'Resultater - Vestdanmark'!$F$3:$F$504,$A120,'Resultater - Vestdanmark'!H$3:H$504,"&lt;0"),0),-IF(A120="Halm",SUMIFS(IF(E120=År1,'Resultater - Østdanmark'!H$3:H$504,IF(E120=År2,'Resultater - Østdanmark'!I$3:I$504,'Resultater - Østdanmark'!J$3:J$504)),'Resultater - Østdanmark'!$F$3:$F$504,$A120,'Resultater - Østdanmark'!H$3:H$504,"&lt;0"),0))</f>
        <v>0</v>
      </c>
      <c r="J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forbrug'!J$3,'Forbrug af biomasse'!$B$2:$B$425,$F120)</f>
        <v>0</v>
      </c>
      <c r="K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forbrug'!K$3,'Forbrug af biomasse'!$B$2:$B$425,$F120)</f>
        <v>0</v>
      </c>
      <c r="L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forbrug'!L$3,'Forbrug af biomasse'!$B$2:$B$425,$F120)</f>
        <v>0</v>
      </c>
      <c r="M120" s="94">
        <f>IF(A120&lt;&gt;"Biogas",SUMIFS('Forbrug af biomasse'!$E$2:$E$425,'Forbrug af biomasse'!$C$2:$C$425,'Resultat-Produktion &amp; forbrug'!$A120,'Forbrug af biomasse'!$D$2:$D$425,'Resultat-Produktion &amp; forbrug'!$E120,'Forbrug af biomasse'!$A$2:$A$425,'Resultat-Produktion &amp; forbrug'!M$3,'Forbrug af biomasse'!$B$2:$B$425,$F120),G120)</f>
        <v>0</v>
      </c>
      <c r="N120" s="94">
        <f>SUMIFS('Forbrug af biomasse'!E:E,'Forbrug af biomasse'!C:C,'Resultat-Produktion &amp; forbrug'!$A120,'Forbrug af biomasse'!D:D,'Resultat-Produktion &amp; forbrug'!$E120,'Forbrug af biomasse'!G:G,1,'Forbrug af biomasse'!B:B,$F120)</f>
        <v>0</v>
      </c>
      <c r="O120" s="179">
        <f t="shared" si="26"/>
        <v>576432.67952835571</v>
      </c>
      <c r="P120" s="94">
        <f t="shared" si="22"/>
        <v>0</v>
      </c>
      <c r="Q120" s="180">
        <f t="shared" si="27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IF(A120&lt;&gt;"Biogas",IFERROR(VLOOKUP(A120,[1]Biogasudbytte!$A$2:$B$18,2,FALSE)*[1]Energiindhold!$C$10,0)*K120*IFERROR(VLOOKUP(A120,Biogasanlæg!$F$3:$G$8,2,FALSE),1)+IFERROR(VLOOKUP(A120,[1]Energiindhold!$A$2:$C$11,3,FALSE),0)*M120+IF(E120&lt;&gt;År1,R120,0),0)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8"/>
        <v>0</v>
      </c>
      <c r="V120" s="169">
        <f>P120*IFERROR(VLOOKUP(A120,[1]Tørstofindhold!A$2:B$24,2,FALSE),0)</f>
        <v>0</v>
      </c>
      <c r="W120">
        <f>IF(E120=År1,Q120,SUM(P120,Q120))*IFERROR(VLOOKUP(A120,[1]Tørstofindhold!A$2:B$24,2,FALSE),0)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9"/>
        <v>0</v>
      </c>
      <c r="Z120">
        <f t="shared" si="23"/>
        <v>0</v>
      </c>
      <c r="AA120">
        <f t="shared" si="24"/>
        <v>1</v>
      </c>
      <c r="AB120" s="94">
        <f t="shared" si="25"/>
        <v>576432.67952835571</v>
      </c>
      <c r="AC120">
        <f>AB120*D120*10000*VLOOKUP(A120,[1]kcal!$A$2:$C$49,3,FALSE)/1000000000000</f>
        <v>0</v>
      </c>
    </row>
    <row r="121" spans="1:29" x14ac:dyDescent="0.25">
      <c r="A121" s="171" t="str">
        <f t="shared" si="36"/>
        <v>Kartofler</v>
      </c>
      <c r="B121" s="171" t="str">
        <f t="shared" si="37"/>
        <v/>
      </c>
      <c r="C121" s="171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0</v>
      </c>
      <c r="D121" s="171">
        <f t="shared" si="39"/>
        <v>1</v>
      </c>
      <c r="E121" s="171">
        <f t="shared" si="38"/>
        <v>2050</v>
      </c>
      <c r="F121" t="s">
        <v>23</v>
      </c>
      <c r="G121" s="94">
        <f>IF(F121="Vestdanmark",SUMIFS(IF(E121=År1,'Resultater - Vestdanmark'!H$3:H$504,IF(E121=År2,'Resultater - Vestdanmark'!I$3:I$504,'Resultater - Vestdanmark'!J$3:J$504)),'Resultater - Vestdanmark'!$F$3:$F$504,$A121,IF(E121=År1,'Resultater - Vestdanmark'!H$3:H$504,IF(E121=År2,'Resultater - Vestdanmark'!I$3:I$504,'Resultater - Vestdanmark'!J$3:J$504)),"&gt;0"),SUMIFS(IF(E121=År1,'Resultater - Østdanmark'!H$3:H$504,IF(E121=År2,'Resultater - Østdanmark'!I$3:I$504,'Resultater - Østdanmark'!J$3:J$504)),'Resultater - Østdanmark'!$F$3:$F$504,$A121,IF(E121=År1,'Resultater - Østdanmark'!H$3:H$504,IF(E121=År2,'Resultater - Østdanmark'!I$3:I$504,'Resultater - Østdanmark'!J$3:J$504)),"&gt;0"))</f>
        <v>6540.3387577996864</v>
      </c>
      <c r="H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forbrug'!H$3,'Forbrug af biomasse'!$B$2:$B$425,$F121)</f>
        <v>0</v>
      </c>
      <c r="I121">
        <f>IF(F121="Vestdanmark",-IF(A121="Halm",SUMIFS(IF(E121=År1,'Resultater - Vestdanmark'!H$3:H$504,IF(E121=År2,'Resultater - Vestdanmark'!I$3:I$504,'Resultater - Vestdanmark'!J$3:J$504)),'Resultater - Vestdanmark'!$F$3:$F$504,$A121,'Resultater - Vestdanmark'!H$3:H$504,"&lt;0"),0),-IF(A121="Halm",SUMIFS(IF(E121=År1,'Resultater - Østdanmark'!H$3:H$504,IF(E121=År2,'Resultater - Østdanmark'!I$3:I$504,'Resultater - Østdanmark'!J$3:J$504)),'Resultater - Østdanmark'!$F$3:$F$504,$A121,'Resultater - Østdanmark'!H$3:H$504,"&lt;0"),0))</f>
        <v>0</v>
      </c>
      <c r="J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forbrug'!J$3,'Forbrug af biomasse'!$B$2:$B$425,$F121)</f>
        <v>128347.79869443661</v>
      </c>
      <c r="K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forbrug'!K$3,'Forbrug af biomasse'!$B$2:$B$425,$F121)</f>
        <v>0</v>
      </c>
      <c r="L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forbrug'!L$3,'Forbrug af biomasse'!$B$2:$B$425,$F121)</f>
        <v>0</v>
      </c>
      <c r="M121" s="94">
        <f>IF(A121&lt;&gt;"Biogas",SUMIFS('Forbrug af biomasse'!$E$2:$E$425,'Forbrug af biomasse'!$C$2:$C$425,'Resultat-Produktion &amp; forbrug'!$A121,'Forbrug af biomasse'!$D$2:$D$425,'Resultat-Produktion &amp; forbrug'!$E121,'Forbrug af biomasse'!$A$2:$A$425,'Resultat-Produktion &amp; forbrug'!M$3,'Forbrug af biomasse'!$B$2:$B$425,$F121),G121)</f>
        <v>0</v>
      </c>
      <c r="N121" s="94">
        <f>SUMIFS('Forbrug af biomasse'!E:E,'Forbrug af biomasse'!C:C,'Resultat-Produktion &amp; forbrug'!$A121,'Forbrug af biomasse'!D:D,'Resultat-Produktion &amp; forbrug'!$E121,'Forbrug af biomasse'!G:G,1,'Forbrug af biomasse'!B:B,$F121)</f>
        <v>0</v>
      </c>
      <c r="O121" s="179">
        <f t="shared" si="26"/>
        <v>-121807.45993663692</v>
      </c>
      <c r="P121" s="94">
        <f t="shared" si="22"/>
        <v>0</v>
      </c>
      <c r="Q121" s="180">
        <f t="shared" si="27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IF(A121&lt;&gt;"Biogas",IFERROR(VLOOKUP(A121,[1]Biogasudbytte!$A$2:$B$18,2,FALSE)*[1]Energiindhold!$C$10,0)*K121*IFERROR(VLOOKUP(A121,Biogasanlæg!$F$3:$G$8,2,FALSE),1)+IFERROR(VLOOKUP(A121,[1]Energiindhold!$A$2:$C$11,3,FALSE),0)*M121+IF(E121&lt;&gt;År1,R121,0),0)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8"/>
        <v>0</v>
      </c>
      <c r="V121" s="169">
        <f>P121*IFERROR(VLOOKUP(A121,[1]Tørstofindhold!A$2:B$24,2,FALSE),0)</f>
        <v>0</v>
      </c>
      <c r="W121">
        <f>IF(E121=År1,Q121,SUM(P121,Q121))*IFERROR(VLOOKUP(A121,[1]Tørstofindhold!A$2:B$24,2,FALSE),0)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9"/>
        <v>0</v>
      </c>
      <c r="Z121">
        <f t="shared" si="23"/>
        <v>1</v>
      </c>
      <c r="AA121">
        <f t="shared" si="24"/>
        <v>0</v>
      </c>
      <c r="AB121" s="94">
        <f t="shared" si="25"/>
        <v>6540.3387577996864</v>
      </c>
      <c r="AC121">
        <f>AB121*D121*10000*VLOOKUP(A121,[1]kcal!$A$2:$C$49,3,FALSE)/1000000000000</f>
        <v>5.1014642310837554E-3</v>
      </c>
    </row>
    <row r="122" spans="1:29" x14ac:dyDescent="0.25">
      <c r="A122" s="171" t="str">
        <f t="shared" si="36"/>
        <v>Korn</v>
      </c>
      <c r="B122" s="171" t="str">
        <f t="shared" si="37"/>
        <v>Halm og strå</v>
      </c>
      <c r="C122" s="171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1</v>
      </c>
      <c r="D122" s="171">
        <f t="shared" si="39"/>
        <v>1</v>
      </c>
      <c r="E122" s="171">
        <f t="shared" si="38"/>
        <v>2050</v>
      </c>
      <c r="F122" t="s">
        <v>23</v>
      </c>
      <c r="G122" s="94">
        <f>IF(F122="Vestdanmark",SUMIFS(IF(E122=År1,'Resultater - Vestdanmark'!H$3:H$504,IF(E122=År2,'Resultater - Vestdanmark'!I$3:I$504,'Resultater - Vestdanmark'!J$3:J$504)),'Resultater - Vestdanmark'!$F$3:$F$504,$A122,IF(E122=År1,'Resultater - Vestdanmark'!H$3:H$504,IF(E122=År2,'Resultater - Vestdanmark'!I$3:I$504,'Resultater - Vestdanmark'!J$3:J$504)),"&gt;0"),SUMIFS(IF(E122=År1,'Resultater - Østdanmark'!H$3:H$504,IF(E122=År2,'Resultater - Østdanmark'!I$3:I$504,'Resultater - Østdanmark'!J$3:J$504)),'Resultater - Østdanmark'!$F$3:$F$504,$A122,IF(E122=År1,'Resultater - Østdanmark'!H$3:H$504,IF(E122=År2,'Resultater - Østdanmark'!I$3:I$504,'Resultater - Østdanmark'!J$3:J$504)),"&gt;0"))</f>
        <v>17585.624267945121</v>
      </c>
      <c r="H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forbrug'!H$3,'Forbrug af biomasse'!$B$2:$B$425,$F122)</f>
        <v>505761.3902957458</v>
      </c>
      <c r="I122">
        <f>IF(F122="Vestdanmark",-IF(A122="Halm",SUMIFS(IF(E122=År1,'Resultater - Vestdanmark'!H$3:H$504,IF(E122=År2,'Resultater - Vestdanmark'!I$3:I$504,'Resultater - Vestdanmark'!J$3:J$504)),'Resultater - Vestdanmark'!$F$3:$F$504,$A122,'Resultater - Vestdanmark'!H$3:H$504,"&lt;0"),0),-IF(A122="Halm",SUMIFS(IF(E122=År1,'Resultater - Østdanmark'!H$3:H$504,IF(E122=År2,'Resultater - Østdanmark'!I$3:I$504,'Resultater - Østdanmark'!J$3:J$504)),'Resultater - Østdanmark'!$F$3:$F$504,$A122,'Resultater - Østdanmark'!H$3:H$504,"&lt;0"),0))</f>
        <v>0</v>
      </c>
      <c r="J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forbrug'!J$3,'Forbrug af biomasse'!$B$2:$B$425,$F122)</f>
        <v>307470.55071854044</v>
      </c>
      <c r="K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forbrug'!K$3,'Forbrug af biomasse'!$B$2:$B$425,$F122)</f>
        <v>0</v>
      </c>
      <c r="L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forbrug'!L$3,'Forbrug af biomasse'!$B$2:$B$425,$F122)</f>
        <v>0</v>
      </c>
      <c r="M122" s="94">
        <f>IF(A122&lt;&gt;"Biogas",SUMIFS('Forbrug af biomasse'!$E$2:$E$425,'Forbrug af biomasse'!$C$2:$C$425,'Resultat-Produktion &amp; forbrug'!$A122,'Forbrug af biomasse'!$D$2:$D$425,'Resultat-Produktion &amp; forbrug'!$E122,'Forbrug af biomasse'!$A$2:$A$425,'Resultat-Produktion &amp; forbrug'!M$3,'Forbrug af biomasse'!$B$2:$B$425,$F122),G122)</f>
        <v>0</v>
      </c>
      <c r="N122" s="94">
        <f>SUMIFS('Forbrug af biomasse'!E:E,'Forbrug af biomasse'!C:C,'Resultat-Produktion &amp; forbrug'!$A122,'Forbrug af biomasse'!D:D,'Resultat-Produktion &amp; forbrug'!$E122,'Forbrug af biomasse'!G:G,1,'Forbrug af biomasse'!B:B,$F122)</f>
        <v>0</v>
      </c>
      <c r="O122" s="179">
        <f t="shared" si="26"/>
        <v>-795646.31674634118</v>
      </c>
      <c r="P122" s="94">
        <f t="shared" si="22"/>
        <v>0</v>
      </c>
      <c r="Q122" s="180">
        <f t="shared" si="27"/>
        <v>0</v>
      </c>
      <c r="R122">
        <f>IFERROR(VLOOKUP(A122,[1]Energiindhold!$A$2:$C$11,3,FALSE),IFERROR(VLOOKUP(A122,[1]Biogasudbytte!$A$2:$B$18,2,FALSE)*[1]Energiindhold!$C$10,0))*P122</f>
        <v>0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IF(A122&lt;&gt;"Biogas",IFERROR(VLOOKUP(A122,[1]Biogasudbytte!$A$2:$B$18,2,FALSE)*[1]Energiindhold!$C$10,0)*K122*IFERROR(VLOOKUP(A122,Biogasanlæg!$F$3:$G$8,2,FALSE),1)+IFERROR(VLOOKUP(A122,[1]Energiindhold!$A$2:$C$11,3,FALSE),0)*M122+IF(E122&lt;&gt;År1,R122,0),0)</f>
        <v>0</v>
      </c>
      <c r="T122">
        <f>IFERROR(VLOOKUP(A122,[1]Biogasudbytte!$A$2:$B$18,2,FALSE)*[1]Energiindhold!$C$10,0)*K122*IFERROR(VLOOKUP(A122,Biogasanlæg!$F$3:$G$8,2,FALSE),1)</f>
        <v>0</v>
      </c>
      <c r="U122" s="170">
        <f t="shared" si="28"/>
        <v>0</v>
      </c>
      <c r="V122" s="169">
        <f>P122*IFERROR(VLOOKUP(A122,[1]Tørstofindhold!A$2:B$24,2,FALSE),0)</f>
        <v>0</v>
      </c>
      <c r="W122">
        <f>IF(E122=År1,Q122,SUM(P122,Q122))*IFERROR(VLOOKUP(A122,[1]Tørstofindhold!A$2:B$24,2,FALSE),0)</f>
        <v>0</v>
      </c>
      <c r="X122">
        <f>K122*IFERROR(VLOOKUP(A122,[1]Tørstofindhold!A$2:B$24,2,FALSE),0)</f>
        <v>0</v>
      </c>
      <c r="Y122" s="170">
        <f t="shared" si="29"/>
        <v>0</v>
      </c>
      <c r="Z122">
        <f t="shared" si="23"/>
        <v>1</v>
      </c>
      <c r="AA122">
        <f t="shared" si="24"/>
        <v>0</v>
      </c>
      <c r="AB122" s="94">
        <f t="shared" si="25"/>
        <v>-488175.76602780068</v>
      </c>
      <c r="AC122">
        <f>AB122*D122*10000*VLOOKUP(A122,[1]kcal!$A$2:$C$49,3,FALSE)/1000000000000</f>
        <v>-1.7867233036617505</v>
      </c>
    </row>
    <row r="123" spans="1:29" x14ac:dyDescent="0.25">
      <c r="A123" s="171" t="str">
        <f t="shared" si="36"/>
        <v>Kunstgødning</v>
      </c>
      <c r="B123" s="171" t="str">
        <f t="shared" si="37"/>
        <v/>
      </c>
      <c r="C123" s="171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0</v>
      </c>
      <c r="D123" s="171">
        <f t="shared" si="39"/>
        <v>0</v>
      </c>
      <c r="E123" s="171">
        <f t="shared" si="38"/>
        <v>2050</v>
      </c>
      <c r="F123" t="s">
        <v>23</v>
      </c>
      <c r="G123" s="94">
        <f>IF(F123="Vestdanmark",SUMIFS(IF(E123=År1,'Resultater - Vestdanmark'!H$3:H$504,IF(E123=År2,'Resultater - Vestdanmark'!I$3:I$504,'Resultater - Vestdanmark'!J$3:J$504)),'Resultater - Vestdanmark'!$F$3:$F$504,$A123,IF(E123=År1,'Resultater - Vestdanmark'!H$3:H$504,IF(E123=År2,'Resultater - Vestdanmark'!I$3:I$504,'Resultater - Vestdanmark'!J$3:J$504)),"&gt;0"),SUMIFS(IF(E123=År1,'Resultater - Østdanmark'!H$3:H$504,IF(E123=År2,'Resultater - Østdanmark'!I$3:I$504,'Resultater - Østdanmark'!J$3:J$504)),'Resultater - Østdanmark'!$F$3:$F$504,$A123,IF(E123=År1,'Resultater - Østdanmark'!H$3:H$504,IF(E123=År2,'Resultater - Østdanmark'!I$3:I$504,'Resultater - Østdanmark'!J$3:J$504)),"&gt;0"))</f>
        <v>0</v>
      </c>
      <c r="H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forbrug'!H$3,'Forbrug af biomasse'!$B$2:$B$425,$F123)</f>
        <v>0</v>
      </c>
      <c r="I123">
        <f>IF(F123="Vestdanmark",-IF(A123="Halm",SUMIFS(IF(E123=År1,'Resultater - Vestdanmark'!H$3:H$504,IF(E123=År2,'Resultater - Vestdanmark'!I$3:I$504,'Resultater - Vestdanmark'!J$3:J$504)),'Resultater - Vestdanmark'!$F$3:$F$504,$A123,'Resultater - Vestdanmark'!H$3:H$504,"&lt;0"),0),-IF(A123="Halm",SUMIFS(IF(E123=År1,'Resultater - Østdanmark'!H$3:H$504,IF(E123=År2,'Resultater - Østdanmark'!I$3:I$504,'Resultater - Østdanmark'!J$3:J$504)),'Resultater - Østdanmark'!$F$3:$F$504,$A123,'Resultater - Østdanmark'!H$3:H$504,"&lt;0"),0))</f>
        <v>0</v>
      </c>
      <c r="J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forbrug'!J$3,'Forbrug af biomasse'!$B$2:$B$425,$F123)</f>
        <v>0</v>
      </c>
      <c r="K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forbrug'!K$3,'Forbrug af biomasse'!$B$2:$B$425,$F123)</f>
        <v>0</v>
      </c>
      <c r="L123" s="94">
        <f ca="1">SUMIFS('Forbrug af biomasse'!$E$2:$E$425,'Forbrug af biomasse'!$C$2:$C$425,'Resultat-Produktion &amp; forbrug'!$A123,'Forbrug af biomasse'!$D$2:$D$425,'Resultat-Produktion &amp; forbrug'!$E123,'Forbrug af biomasse'!$A$2:$A$425,'Resultat-Produktion &amp; forbrug'!L$3,'Forbrug af biomasse'!$B$2:$B$425,$F123)</f>
        <v>3130893.6010473287</v>
      </c>
      <c r="M123" s="94">
        <f>IF(A123&lt;&gt;"Biogas",SUMIFS('Forbrug af biomasse'!$E$2:$E$425,'Forbrug af biomasse'!$C$2:$C$425,'Resultat-Produktion &amp; forbrug'!$A123,'Forbrug af biomasse'!$D$2:$D$425,'Resultat-Produktion &amp; forbrug'!$E123,'Forbrug af biomasse'!$A$2:$A$425,'Resultat-Produktion &amp; forbrug'!M$3,'Forbrug af biomasse'!$B$2:$B$425,$F123),G123)</f>
        <v>0</v>
      </c>
      <c r="N123" s="94">
        <f>SUMIFS('Forbrug af biomasse'!E:E,'Forbrug af biomasse'!C:C,'Resultat-Produktion &amp; forbrug'!$A123,'Forbrug af biomasse'!D:D,'Resultat-Produktion &amp; forbrug'!$E123,'Forbrug af biomasse'!G:G,1,'Forbrug af biomasse'!B:B,$F123)</f>
        <v>0</v>
      </c>
      <c r="O123" s="179">
        <f t="shared" ca="1" si="26"/>
        <v>-3130893.6010473287</v>
      </c>
      <c r="P123" s="94">
        <f t="shared" si="22"/>
        <v>0</v>
      </c>
      <c r="Q123" s="180">
        <f t="shared" si="27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IF(A123&lt;&gt;"Biogas",IFERROR(VLOOKUP(A123,[1]Biogasudbytte!$A$2:$B$18,2,FALSE)*[1]Energiindhold!$C$10,0)*K123*IFERROR(VLOOKUP(A123,Biogasanlæg!$F$3:$G$8,2,FALSE),1)+IFERROR(VLOOKUP(A123,[1]Energiindhold!$A$2:$C$11,3,FALSE),0)*M123+IF(E123&lt;&gt;År1,R123,0),0)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8"/>
        <v>0</v>
      </c>
      <c r="V123" s="169">
        <f>P123*IFERROR(VLOOKUP(A123,[1]Tørstofindhold!A$2:B$24,2,FALSE),0)</f>
        <v>0</v>
      </c>
      <c r="W123">
        <f>IF(E123=År1,Q123,SUM(P123,Q123))*IFERROR(VLOOKUP(A123,[1]Tørstofindhold!A$2:B$24,2,FALSE),0)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9"/>
        <v>0</v>
      </c>
      <c r="Z123">
        <f t="shared" ca="1" si="23"/>
        <v>1</v>
      </c>
      <c r="AA123">
        <f t="shared" ca="1" si="24"/>
        <v>0</v>
      </c>
      <c r="AB123" s="94">
        <f t="shared" ca="1" si="25"/>
        <v>-3130893.6010473287</v>
      </c>
      <c r="AC123">
        <f ca="1">AB123*D123*10000*VLOOKUP(A123,[1]kcal!$A$2:$C$49,3,FALSE)/1000000000000</f>
        <v>0</v>
      </c>
    </row>
    <row r="124" spans="1:29" x14ac:dyDescent="0.25">
      <c r="A124" s="171" t="str">
        <f t="shared" si="36"/>
        <v>Kvæggylle</v>
      </c>
      <c r="B124" s="171" t="str">
        <f t="shared" si="37"/>
        <v>Husdyrgødning</v>
      </c>
      <c r="C124" s="171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1</v>
      </c>
      <c r="D124" s="171">
        <f t="shared" si="39"/>
        <v>0</v>
      </c>
      <c r="E124" s="171">
        <f t="shared" si="38"/>
        <v>2050</v>
      </c>
      <c r="F124" t="s">
        <v>23</v>
      </c>
      <c r="G124" s="94">
        <f>IF(F124="Vestdanmark",SUMIFS(IF(E124=År1,'Resultater - Vestdanmark'!H$3:H$504,IF(E124=År2,'Resultater - Vestdanmark'!I$3:I$504,'Resultater - Vestdanmark'!J$3:J$504)),'Resultater - Vestdanmark'!$F$3:$F$504,$A124,IF(E124=År1,'Resultater - Vestdanmark'!H$3:H$504,IF(E124=År2,'Resultater - Vestdanmark'!I$3:I$504,'Resultater - Vestdanmark'!J$3:J$504)),"&gt;0"),SUMIFS(IF(E124=År1,'Resultater - Østdanmark'!H$3:H$504,IF(E124=År2,'Resultater - Østdanmark'!I$3:I$504,'Resultater - Østdanmark'!J$3:J$504)),'Resultater - Østdanmark'!$F$3:$F$504,$A124,IF(E124=År1,'Resultater - Østdanmark'!H$3:H$504,IF(E124=År2,'Resultater - Østdanmark'!I$3:I$504,'Resultater - Østdanmark'!J$3:J$504)),"&gt;0"))</f>
        <v>784839.05717902537</v>
      </c>
      <c r="H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forbrug'!H$3,'Forbrug af biomasse'!$B$2:$B$425,$F124)</f>
        <v>0</v>
      </c>
      <c r="I124">
        <f>IF(F124="Vestdanmark",-IF(A124="Halm",SUMIFS(IF(E124=År1,'Resultater - Vestdanmark'!H$3:H$504,IF(E124=År2,'Resultater - Vestdanmark'!I$3:I$504,'Resultater - Vestdanmark'!J$3:J$504)),'Resultater - Vestdanmark'!$F$3:$F$504,$A124,'Resultater - Vestdanmark'!H$3:H$504,"&lt;0"),0),-IF(A124="Halm",SUMIFS(IF(E124=År1,'Resultater - Østdanmark'!H$3:H$504,IF(E124=År2,'Resultater - Østdanmark'!I$3:I$504,'Resultater - Østdanmark'!J$3:J$504)),'Resultater - Østdanmark'!$F$3:$F$504,$A124,'Resultater - Østdanmark'!H$3:H$504,"&lt;0"),0))</f>
        <v>0</v>
      </c>
      <c r="J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forbrug'!J$3,'Forbrug af biomasse'!$B$2:$B$425,$F124)</f>
        <v>0</v>
      </c>
      <c r="K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forbrug'!K$3,'Forbrug af biomasse'!$B$2:$B$425,$F124)</f>
        <v>706355.15146112291</v>
      </c>
      <c r="L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forbrug'!L$3,'Forbrug af biomasse'!$B$2:$B$425,$F124)</f>
        <v>78483.905717902526</v>
      </c>
      <c r="M124" s="94">
        <f>IF(A124&lt;&gt;"Biogas",SUMIFS('Forbrug af biomasse'!$E$2:$E$425,'Forbrug af biomasse'!$C$2:$C$425,'Resultat-Produktion &amp; forbrug'!$A124,'Forbrug af biomasse'!$D$2:$D$425,'Resultat-Produktion &amp; forbrug'!$E124,'Forbrug af biomasse'!$A$2:$A$425,'Resultat-Produktion &amp; forbrug'!M$3,'Forbrug af biomasse'!$B$2:$B$425,$F124),G124)</f>
        <v>0</v>
      </c>
      <c r="N124" s="94">
        <f>SUMIFS('Forbrug af biomasse'!E:E,'Forbrug af biomasse'!C:C,'Resultat-Produktion &amp; forbrug'!$A124,'Forbrug af biomasse'!D:D,'Resultat-Produktion &amp; forbrug'!$E124,'Forbrug af biomasse'!G:G,1,'Forbrug af biomasse'!B:B,$F124)</f>
        <v>0</v>
      </c>
      <c r="O124" s="179">
        <f t="shared" si="26"/>
        <v>0</v>
      </c>
      <c r="P124" s="94">
        <f t="shared" si="22"/>
        <v>0</v>
      </c>
      <c r="Q124" s="180">
        <f t="shared" si="27"/>
        <v>706355.15146112291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IF(A124&lt;&gt;"Biogas",IFERROR(VLOOKUP(A124,[1]Biogasudbytte!$A$2:$B$18,2,FALSE)*[1]Energiindhold!$C$10,0)*K124*IFERROR(VLOOKUP(A124,Biogasanlæg!$F$3:$G$8,2,FALSE),1)+IFERROR(VLOOKUP(A124,[1]Energiindhold!$A$2:$C$11,3,FALSE),0)*M124+IF(E124&lt;&gt;År1,R124,0),0)</f>
        <v>0.35754991411810583</v>
      </c>
      <c r="T124">
        <f>IFERROR(VLOOKUP(A124,[1]Biogasudbytte!$A$2:$B$18,2,FALSE)*[1]Energiindhold!$C$10,0)*K124*IFERROR(VLOOKUP(A124,Biogasanlæg!$F$3:$G$8,2,FALSE),1)</f>
        <v>0.35754991411810583</v>
      </c>
      <c r="U124" s="170">
        <f t="shared" si="28"/>
        <v>0</v>
      </c>
      <c r="V124" s="169">
        <f>P124*IFERROR(VLOOKUP(A124,[1]Tørstofindhold!A$2:B$24,2,FALSE),0)</f>
        <v>0</v>
      </c>
      <c r="W124">
        <f>IF(E124=År1,Q124,SUM(P124,Q124))*IFERROR(VLOOKUP(A124,[1]Tørstofindhold!A$2:B$24,2,FALSE),0)</f>
        <v>53682.991511045337</v>
      </c>
      <c r="X124">
        <f>K124*IFERROR(VLOOKUP(A124,[1]Tørstofindhold!A$2:B$24,2,FALSE),0)</f>
        <v>53682.991511045337</v>
      </c>
      <c r="Y124" s="170">
        <f t="shared" si="29"/>
        <v>0</v>
      </c>
      <c r="Z124">
        <f t="shared" si="23"/>
        <v>0</v>
      </c>
      <c r="AA124">
        <f t="shared" si="24"/>
        <v>0</v>
      </c>
      <c r="AB124" s="94">
        <f t="shared" si="25"/>
        <v>0</v>
      </c>
      <c r="AC124">
        <f>AB124*D124*10000*VLOOKUP(A124,[1]kcal!$A$2:$C$49,3,FALSE)/1000000000000</f>
        <v>0</v>
      </c>
    </row>
    <row r="125" spans="1:29" x14ac:dyDescent="0.25">
      <c r="A125" s="171" t="str">
        <f t="shared" si="36"/>
        <v>Mælk til foder</v>
      </c>
      <c r="B125" s="171" t="str">
        <f t="shared" si="37"/>
        <v/>
      </c>
      <c r="C125" s="171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0</v>
      </c>
      <c r="D125" s="171">
        <f t="shared" si="39"/>
        <v>0</v>
      </c>
      <c r="E125" s="171">
        <f t="shared" si="38"/>
        <v>2050</v>
      </c>
      <c r="F125" t="s">
        <v>23</v>
      </c>
      <c r="G125" s="94">
        <f>IF(F125="Vestdanmark",SUMIFS(IF(E125=År1,'Resultater - Vestdanmark'!H$3:H$504,IF(E125=År2,'Resultater - Vestdanmark'!I$3:I$504,'Resultater - Vestdanmark'!J$3:J$504)),'Resultater - Vestdanmark'!$F$3:$F$504,$A125,IF(E125=År1,'Resultater - Vestdanmark'!H$3:H$504,IF(E125=År2,'Resultater - Vestdanmark'!I$3:I$504,'Resultater - Vestdanmark'!J$3:J$504)),"&gt;0"),SUMIFS(IF(E125=År1,'Resultater - Østdanmark'!H$3:H$504,IF(E125=År2,'Resultater - Østdanmark'!I$3:I$504,'Resultater - Østdanmark'!J$3:J$504)),'Resultater - Østdanmark'!$F$3:$F$504,$A125,IF(E125=År1,'Resultater - Østdanmark'!H$3:H$504,IF(E125=År2,'Resultater - Østdanmark'!I$3:I$504,'Resultater - Østdanmark'!J$3:J$504)),"&gt;0"))</f>
        <v>99775.251913510743</v>
      </c>
      <c r="H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forbrug'!H$3,'Forbrug af biomasse'!$B$2:$B$425,$F125)</f>
        <v>130389.80228255401</v>
      </c>
      <c r="I125">
        <f>IF(F125="Vestdanmark",-IF(A125="Halm",SUMIFS(IF(E125=År1,'Resultater - Vestdanmark'!H$3:H$504,IF(E125=År2,'Resultater - Vestdanmark'!I$3:I$504,'Resultater - Vestdanmark'!J$3:J$504)),'Resultater - Vestdanmark'!$F$3:$F$504,$A125,'Resultater - Vestdanmark'!H$3:H$504,"&lt;0"),0),-IF(A125="Halm",SUMIFS(IF(E125=År1,'Resultater - Østdanmark'!H$3:H$504,IF(E125=År2,'Resultater - Østdanmark'!I$3:I$504,'Resultater - Østdanmark'!J$3:J$504)),'Resultater - Østdanmark'!$F$3:$F$504,$A125,'Resultater - Østdanmark'!H$3:H$504,"&lt;0"),0))</f>
        <v>0</v>
      </c>
      <c r="J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forbrug'!J$3,'Forbrug af biomasse'!$B$2:$B$425,$F125)</f>
        <v>0</v>
      </c>
      <c r="K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forbrug'!K$3,'Forbrug af biomasse'!$B$2:$B$425,$F125)</f>
        <v>0</v>
      </c>
      <c r="L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forbrug'!L$3,'Forbrug af biomasse'!$B$2:$B$425,$F125)</f>
        <v>0</v>
      </c>
      <c r="M125" s="94">
        <f>IF(A125&lt;&gt;"Biogas",SUMIFS('Forbrug af biomasse'!$E$2:$E$425,'Forbrug af biomasse'!$C$2:$C$425,'Resultat-Produktion &amp; forbrug'!$A125,'Forbrug af biomasse'!$D$2:$D$425,'Resultat-Produktion &amp; forbrug'!$E125,'Forbrug af biomasse'!$A$2:$A$425,'Resultat-Produktion &amp; forbrug'!M$3,'Forbrug af biomasse'!$B$2:$B$425,$F125),G125)</f>
        <v>0</v>
      </c>
      <c r="N125" s="94">
        <f>SUMIFS('Forbrug af biomasse'!E:E,'Forbrug af biomasse'!C:C,'Resultat-Produktion &amp; forbrug'!$A125,'Forbrug af biomasse'!D:D,'Resultat-Produktion &amp; forbrug'!$E125,'Forbrug af biomasse'!G:G,1,'Forbrug af biomasse'!B:B,$F125)</f>
        <v>0</v>
      </c>
      <c r="O125" s="179">
        <f t="shared" si="26"/>
        <v>-30614.550369043267</v>
      </c>
      <c r="P125" s="94">
        <f t="shared" si="22"/>
        <v>0</v>
      </c>
      <c r="Q125" s="180">
        <f t="shared" si="27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IF(A125&lt;&gt;"Biogas",IFERROR(VLOOKUP(A125,[1]Biogasudbytte!$A$2:$B$18,2,FALSE)*[1]Energiindhold!$C$10,0)*K125*IFERROR(VLOOKUP(A125,Biogasanlæg!$F$3:$G$8,2,FALSE),1)+IFERROR(VLOOKUP(A125,[1]Energiindhold!$A$2:$C$11,3,FALSE),0)*M125+IF(E125&lt;&gt;År1,R125,0),0)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8"/>
        <v>0</v>
      </c>
      <c r="V125" s="169">
        <f>P125*IFERROR(VLOOKUP(A125,[1]Tørstofindhold!A$2:B$24,2,FALSE),0)</f>
        <v>0</v>
      </c>
      <c r="W125">
        <f>IF(E125=År1,Q125,SUM(P125,Q125))*IFERROR(VLOOKUP(A125,[1]Tørstofindhold!A$2:B$24,2,FALSE),0)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9"/>
        <v>0</v>
      </c>
      <c r="Z125">
        <f t="shared" si="23"/>
        <v>1</v>
      </c>
      <c r="AA125">
        <f t="shared" si="24"/>
        <v>0</v>
      </c>
      <c r="AB125" s="94">
        <f t="shared" si="25"/>
        <v>-30614.550369043267</v>
      </c>
      <c r="AC125">
        <f>AB125*D125*10000*VLOOKUP(A125,[1]kcal!$A$2:$C$49,3,FALSE)/1000000000000</f>
        <v>0</v>
      </c>
    </row>
    <row r="126" spans="1:29" x14ac:dyDescent="0.25">
      <c r="A126" s="171" t="str">
        <f t="shared" si="36"/>
        <v>Majs</v>
      </c>
      <c r="B126" s="171" t="str">
        <f t="shared" si="37"/>
        <v>Græs og urter</v>
      </c>
      <c r="C126" s="171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1</v>
      </c>
      <c r="D126" s="171">
        <f t="shared" si="39"/>
        <v>1</v>
      </c>
      <c r="E126" s="171">
        <f t="shared" si="38"/>
        <v>2050</v>
      </c>
      <c r="F126" t="s">
        <v>23</v>
      </c>
      <c r="G126" s="94">
        <f>IF(F126="Vestdanmark",SUMIFS(IF(E126=År1,'Resultater - Vestdanmark'!H$3:H$504,IF(E126=År2,'Resultater - Vestdanmark'!I$3:I$504,'Resultater - Vestdanmark'!J$3:J$504)),'Resultater - Vestdanmark'!$F$3:$F$504,$A126,IF(E126=År1,'Resultater - Vestdanmark'!H$3:H$504,IF(E126=År2,'Resultater - Vestdanmark'!I$3:I$504,'Resultater - Vestdanmark'!J$3:J$504)),"&gt;0"),SUMIFS(IF(E126=År1,'Resultater - Østdanmark'!H$3:H$504,IF(E126=År2,'Resultater - Østdanmark'!I$3:I$504,'Resultater - Østdanmark'!J$3:J$504)),'Resultater - Østdanmark'!$F$3:$F$504,$A126,IF(E126=År1,'Resultater - Østdanmark'!H$3:H$504,IF(E126=År2,'Resultater - Østdanmark'!I$3:I$504,'Resultater - Østdanmark'!J$3:J$504)),"&gt;0"))</f>
        <v>24354.977510479563</v>
      </c>
      <c r="H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forbrug'!H$3,'Forbrug af biomasse'!$B$2:$B$425,$F126)</f>
        <v>486649.88263258187</v>
      </c>
      <c r="I126">
        <f>IF(F126="Vestdanmark",-IF(A126="Halm",SUMIFS(IF(E126=År1,'Resultater - Vestdanmark'!H$3:H$504,IF(E126=År2,'Resultater - Vestdanmark'!I$3:I$504,'Resultater - Vestdanmark'!J$3:J$504)),'Resultater - Vestdanmark'!$F$3:$F$504,$A126,'Resultater - Vestdanmark'!H$3:H$504,"&lt;0"),0),-IF(A126="Halm",SUMIFS(IF(E126=År1,'Resultater - Østdanmark'!H$3:H$504,IF(E126=År2,'Resultater - Østdanmark'!I$3:I$504,'Resultater - Østdanmark'!J$3:J$504)),'Resultater - Østdanmark'!$F$3:$F$504,$A126,'Resultater - Østdanmark'!H$3:H$504,"&lt;0"),0))</f>
        <v>0</v>
      </c>
      <c r="J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forbrug'!J$3,'Forbrug af biomasse'!$B$2:$B$425,$F126)</f>
        <v>0</v>
      </c>
      <c r="K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forbrug'!K$3,'Forbrug af biomasse'!$B$2:$B$425,$F126)</f>
        <v>0</v>
      </c>
      <c r="L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forbrug'!L$3,'Forbrug af biomasse'!$B$2:$B$425,$F126)</f>
        <v>0</v>
      </c>
      <c r="M126" s="94">
        <f>IF(A126&lt;&gt;"Biogas",SUMIFS('Forbrug af biomasse'!$E$2:$E$425,'Forbrug af biomasse'!$C$2:$C$425,'Resultat-Produktion &amp; forbrug'!$A126,'Forbrug af biomasse'!$D$2:$D$425,'Resultat-Produktion &amp; forbrug'!$E126,'Forbrug af biomasse'!$A$2:$A$425,'Resultat-Produktion &amp; forbrug'!M$3,'Forbrug af biomasse'!$B$2:$B$425,$F126),G126)</f>
        <v>0</v>
      </c>
      <c r="N126" s="94">
        <f>SUMIFS('Forbrug af biomasse'!E:E,'Forbrug af biomasse'!C:C,'Resultat-Produktion &amp; forbrug'!$A126,'Forbrug af biomasse'!D:D,'Resultat-Produktion &amp; forbrug'!$E126,'Forbrug af biomasse'!G:G,1,'Forbrug af biomasse'!B:B,$F126)</f>
        <v>0</v>
      </c>
      <c r="O126" s="179">
        <f t="shared" si="26"/>
        <v>-462294.9051221023</v>
      </c>
      <c r="P126" s="94">
        <f t="shared" si="22"/>
        <v>0</v>
      </c>
      <c r="Q126" s="180">
        <f t="shared" si="27"/>
        <v>0</v>
      </c>
      <c r="R126">
        <f>IFERROR(VLOOKUP(A126,[1]Energiindhold!$A$2:$C$11,3,FALSE),IFERROR(VLOOKUP(A126,[1]Biogasudbytte!$A$2:$B$18,2,FALSE)*[1]Energiindhold!$C$10,0))*P126</f>
        <v>0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IF(A126&lt;&gt;"Biogas",IFERROR(VLOOKUP(A126,[1]Biogasudbytte!$A$2:$B$18,2,FALSE)*[1]Energiindhold!$C$10,0)*K126*IFERROR(VLOOKUP(A126,Biogasanlæg!$F$3:$G$8,2,FALSE),1)+IFERROR(VLOOKUP(A126,[1]Energiindhold!$A$2:$C$11,3,FALSE),0)*M126+IF(E126&lt;&gt;År1,R126,0),0)</f>
        <v>0</v>
      </c>
      <c r="T126">
        <f>IFERROR(VLOOKUP(A126,[1]Biogasudbytte!$A$2:$B$18,2,FALSE)*[1]Energiindhold!$C$10,0)*K126*IFERROR(VLOOKUP(A126,Biogasanlæg!$F$3:$G$8,2,FALSE),1)</f>
        <v>0</v>
      </c>
      <c r="U126" s="170">
        <f t="shared" si="28"/>
        <v>0</v>
      </c>
      <c r="V126" s="169">
        <f>P126*IFERROR(VLOOKUP(A126,[1]Tørstofindhold!A$2:B$24,2,FALSE),0)</f>
        <v>0</v>
      </c>
      <c r="W126">
        <f>IF(E126=År1,Q126,SUM(P126,Q126))*IFERROR(VLOOKUP(A126,[1]Tørstofindhold!A$2:B$24,2,FALSE),0)</f>
        <v>0</v>
      </c>
      <c r="X126">
        <f>K126*IFERROR(VLOOKUP(A126,[1]Tørstofindhold!A$2:B$24,2,FALSE),0)</f>
        <v>0</v>
      </c>
      <c r="Y126" s="170">
        <f t="shared" si="29"/>
        <v>0</v>
      </c>
      <c r="Z126">
        <f t="shared" si="23"/>
        <v>1</v>
      </c>
      <c r="AA126">
        <f t="shared" si="24"/>
        <v>0</v>
      </c>
      <c r="AB126" s="94">
        <f t="shared" si="25"/>
        <v>-462294.9051221023</v>
      </c>
      <c r="AC126">
        <f>AB126*D126*10000*VLOOKUP(A126,[1]kcal!$A$2:$C$49,3,FALSE)/1000000000000</f>
        <v>-0.42068836366111306</v>
      </c>
    </row>
    <row r="127" spans="1:29" x14ac:dyDescent="0.25">
      <c r="A127" s="171" t="str">
        <f t="shared" si="36"/>
        <v>Mejeriprodukter</v>
      </c>
      <c r="B127" s="171" t="str">
        <f t="shared" si="37"/>
        <v/>
      </c>
      <c r="C127" s="171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0</v>
      </c>
      <c r="D127" s="171">
        <f t="shared" si="39"/>
        <v>1</v>
      </c>
      <c r="E127" s="171">
        <f t="shared" si="38"/>
        <v>2050</v>
      </c>
      <c r="F127" t="s">
        <v>23</v>
      </c>
      <c r="G127" s="94">
        <f>IF(F127="Vestdanmark",SUMIFS(IF(E127=År1,'Resultater - Vestdanmark'!H$3:H$504,IF(E127=År2,'Resultater - Vestdanmark'!I$3:I$504,'Resultater - Vestdanmark'!J$3:J$504)),'Resultater - Vestdanmark'!$F$3:$F$504,$A127,IF(E127=År1,'Resultater - Vestdanmark'!H$3:H$504,IF(E127=År2,'Resultater - Vestdanmark'!I$3:I$504,'Resultater - Vestdanmark'!J$3:J$504)),"&gt;0"),SUMIFS(IF(E127=År1,'Resultater - Østdanmark'!H$3:H$504,IF(E127=År2,'Resultater - Østdanmark'!I$3:I$504,'Resultater - Østdanmark'!J$3:J$504)),'Resultater - Østdanmark'!$F$3:$F$504,$A127,IF(E127=År1,'Resultater - Østdanmark'!H$3:H$504,IF(E127=År2,'Resultater - Østdanmark'!I$3:I$504,'Resultater - Østdanmark'!J$3:J$504)),"&gt;0"))</f>
        <v>192514.45390067078</v>
      </c>
      <c r="H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forbrug'!H$3,'Forbrug af biomasse'!$B$2:$B$425,$F127)</f>
        <v>0</v>
      </c>
      <c r="I127">
        <f>IF(F127="Vestdanmark",-IF(A127="Halm",SUMIFS(IF(E127=År1,'Resultater - Vestdanmark'!H$3:H$504,IF(E127=År2,'Resultater - Vestdanmark'!I$3:I$504,'Resultater - Vestdanmark'!J$3:J$504)),'Resultater - Vestdanmark'!$F$3:$F$504,$A127,'Resultater - Vestdanmark'!H$3:H$504,"&lt;0"),0),-IF(A127="Halm",SUMIFS(IF(E127=År1,'Resultater - Østdanmark'!H$3:H$504,IF(E127=År2,'Resultater - Østdanmark'!I$3:I$504,'Resultater - Østdanmark'!J$3:J$504)),'Resultater - Østdanmark'!$F$3:$F$504,$A127,'Resultater - Østdanmark'!H$3:H$504,"&lt;0"),0))</f>
        <v>0</v>
      </c>
      <c r="J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forbrug'!J$3,'Forbrug af biomasse'!$B$2:$B$425,$F127)</f>
        <v>490824.54885344987</v>
      </c>
      <c r="K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forbrug'!K$3,'Forbrug af biomasse'!$B$2:$B$425,$F127)</f>
        <v>0</v>
      </c>
      <c r="L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forbrug'!L$3,'Forbrug af biomasse'!$B$2:$B$425,$F127)</f>
        <v>0</v>
      </c>
      <c r="M127" s="94">
        <f>IF(A127&lt;&gt;"Biogas",SUMIFS('Forbrug af biomasse'!$E$2:$E$425,'Forbrug af biomasse'!$C$2:$C$425,'Resultat-Produktion &amp; forbrug'!$A127,'Forbrug af biomasse'!$D$2:$D$425,'Resultat-Produktion &amp; forbrug'!$E127,'Forbrug af biomasse'!$A$2:$A$425,'Resultat-Produktion &amp; forbrug'!M$3,'Forbrug af biomasse'!$B$2:$B$425,$F127),G127)</f>
        <v>0</v>
      </c>
      <c r="N127" s="94">
        <f>SUMIFS('Forbrug af biomasse'!E:E,'Forbrug af biomasse'!C:C,'Resultat-Produktion &amp; forbrug'!$A127,'Forbrug af biomasse'!D:D,'Resultat-Produktion &amp; forbrug'!$E127,'Forbrug af biomasse'!G:G,1,'Forbrug af biomasse'!B:B,$F127)</f>
        <v>0</v>
      </c>
      <c r="O127" s="179">
        <f t="shared" si="26"/>
        <v>-298310.09495277912</v>
      </c>
      <c r="P127" s="94">
        <f t="shared" si="22"/>
        <v>0</v>
      </c>
      <c r="Q127" s="180">
        <f t="shared" si="27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IF(A127&lt;&gt;"Biogas",IFERROR(VLOOKUP(A127,[1]Biogasudbytte!$A$2:$B$18,2,FALSE)*[1]Energiindhold!$C$10,0)*K127*IFERROR(VLOOKUP(A127,Biogasanlæg!$F$3:$G$8,2,FALSE),1)+IFERROR(VLOOKUP(A127,[1]Energiindhold!$A$2:$C$11,3,FALSE),0)*M127+IF(E127&lt;&gt;År1,R127,0),0)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8"/>
        <v>0</v>
      </c>
      <c r="V127" s="169">
        <f>P127*IFERROR(VLOOKUP(A127,[1]Tørstofindhold!A$2:B$24,2,FALSE),0)</f>
        <v>0</v>
      </c>
      <c r="W127">
        <f>IF(E127=År1,Q127,SUM(P127,Q127))*IFERROR(VLOOKUP(A127,[1]Tørstofindhold!A$2:B$24,2,FALSE),0)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9"/>
        <v>0</v>
      </c>
      <c r="Z127">
        <f t="shared" si="23"/>
        <v>1</v>
      </c>
      <c r="AA127">
        <f t="shared" si="24"/>
        <v>0</v>
      </c>
      <c r="AB127" s="94">
        <f t="shared" si="25"/>
        <v>192514.45390067078</v>
      </c>
      <c r="AC127">
        <f>AB127*D127*10000*VLOOKUP(A127,[1]kcal!$A$2:$C$49,3,FALSE)/1000000000000</f>
        <v>0.12128410595742257</v>
      </c>
    </row>
    <row r="128" spans="1:29" x14ac:dyDescent="0.25">
      <c r="A128" s="171" t="str">
        <f t="shared" si="36"/>
        <v>Muslinger</v>
      </c>
      <c r="B128" s="171" t="str">
        <f t="shared" si="37"/>
        <v>Havbiomasse</v>
      </c>
      <c r="C128" s="171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1</v>
      </c>
      <c r="D128" s="171">
        <f t="shared" si="39"/>
        <v>1</v>
      </c>
      <c r="E128" s="171">
        <f t="shared" si="38"/>
        <v>2050</v>
      </c>
      <c r="F128" t="s">
        <v>23</v>
      </c>
      <c r="G128" s="94">
        <f>IF(F128="Vestdanmark",SUMIFS(IF(E128=År1,'Resultater - Vestdanmark'!H$3:H$504,IF(E128=År2,'Resultater - Vestdanmark'!I$3:I$504,'Resultater - Vestdanmark'!J$3:J$504)),'Resultater - Vestdanmark'!$F$3:$F$504,$A128,IF(E128=År1,'Resultater - Vestdanmark'!H$3:H$504,IF(E128=År2,'Resultater - Vestdanmark'!I$3:I$504,'Resultater - Vestdanmark'!J$3:J$504)),"&gt;0"),SUMIFS(IF(E128=År1,'Resultater - Østdanmark'!H$3:H$504,IF(E128=År2,'Resultater - Østdanmark'!I$3:I$504,'Resultater - Østdanmark'!J$3:J$504)),'Resultater - Østdanmark'!$F$3:$F$504,$A128,IF(E128=År1,'Resultater - Østdanmark'!H$3:H$504,IF(E128=År2,'Resultater - Østdanmark'!I$3:I$504,'Resultater - Østdanmark'!J$3:J$504)),"&gt;0"))</f>
        <v>878.90231344976178</v>
      </c>
      <c r="H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forbrug'!H$3,'Forbrug af biomasse'!$B$2:$B$425,$F128)</f>
        <v>0</v>
      </c>
      <c r="I128">
        <f>IF(F128="Vestdanmark",-IF(A128="Halm",SUMIFS(IF(E128=År1,'Resultater - Vestdanmark'!H$3:H$504,IF(E128=År2,'Resultater - Vestdanmark'!I$3:I$504,'Resultater - Vestdanmark'!J$3:J$504)),'Resultater - Vestdanmark'!$F$3:$F$504,$A128,'Resultater - Vestdanmark'!H$3:H$504,"&lt;0"),0),-IF(A128="Halm",SUMIFS(IF(E128=År1,'Resultater - Østdanmark'!H$3:H$504,IF(E128=År2,'Resultater - Østdanmark'!I$3:I$504,'Resultater - Østdanmark'!J$3:J$504)),'Resultater - Østdanmark'!$F$3:$F$504,$A128,'Resultater - Østdanmark'!H$3:H$504,"&lt;0"),0))</f>
        <v>0</v>
      </c>
      <c r="J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forbrug'!J$3,'Forbrug af biomasse'!$B$2:$B$425,$F128)</f>
        <v>0</v>
      </c>
      <c r="K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forbrug'!K$3,'Forbrug af biomasse'!$B$2:$B$425,$F128)</f>
        <v>0</v>
      </c>
      <c r="L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forbrug'!L$3,'Forbrug af biomasse'!$B$2:$B$425,$F128)</f>
        <v>0</v>
      </c>
      <c r="M128" s="94">
        <f>IF(A128&lt;&gt;"Biogas",SUMIFS('Forbrug af biomasse'!$E$2:$E$425,'Forbrug af biomasse'!$C$2:$C$425,'Resultat-Produktion &amp; forbrug'!$A128,'Forbrug af biomasse'!$D$2:$D$425,'Resultat-Produktion &amp; forbrug'!$E128,'Forbrug af biomasse'!$A$2:$A$425,'Resultat-Produktion &amp; forbrug'!M$3,'Forbrug af biomasse'!$B$2:$B$425,$F128),G128)</f>
        <v>0</v>
      </c>
      <c r="N128" s="94">
        <f>SUMIFS('Forbrug af biomasse'!E:E,'Forbrug af biomasse'!C:C,'Resultat-Produktion &amp; forbrug'!$A128,'Forbrug af biomasse'!D:D,'Resultat-Produktion &amp; forbrug'!$E128,'Forbrug af biomasse'!G:G,1,'Forbrug af biomasse'!B:B,$F128)</f>
        <v>0</v>
      </c>
      <c r="O128" s="179">
        <f t="shared" si="26"/>
        <v>878.90231344976178</v>
      </c>
      <c r="P128" s="94">
        <f t="shared" si="22"/>
        <v>878.90231344976178</v>
      </c>
      <c r="Q128" s="180">
        <f t="shared" si="27"/>
        <v>0</v>
      </c>
      <c r="R128">
        <f>IFERROR(VLOOKUP(A128,[1]Energiindhold!$A$2:$C$11,3,FALSE),IFERROR(VLOOKUP(A128,[1]Biogasudbytte!$A$2:$B$18,2,FALSE)*[1]Energiindhold!$C$10,0))*P128</f>
        <v>7.8881482632116122E-4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IF(A128&lt;&gt;"Biogas",IFERROR(VLOOKUP(A128,[1]Biogasudbytte!$A$2:$B$18,2,FALSE)*[1]Energiindhold!$C$10,0)*K128*IFERROR(VLOOKUP(A128,Biogasanlæg!$F$3:$G$8,2,FALSE),1)+IFERROR(VLOOKUP(A128,[1]Energiindhold!$A$2:$C$11,3,FALSE),0)*M128+IF(E128&lt;&gt;År1,R128,0),0)</f>
        <v>7.8881482632116122E-4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8"/>
        <v>7.8881482632116122E-4</v>
      </c>
      <c r="V128" s="169">
        <f>P128*IFERROR(VLOOKUP(A128,[1]Tørstofindhold!A$2:B$24,2,FALSE),0)</f>
        <v>131.83534701746427</v>
      </c>
      <c r="W128">
        <f>IF(E128=År1,Q128,SUM(P128,Q128))*IFERROR(VLOOKUP(A128,[1]Tørstofindhold!A$2:B$24,2,FALSE),0)</f>
        <v>131.83534701746427</v>
      </c>
      <c r="X128">
        <f>K128*IFERROR(VLOOKUP(A128,[1]Tørstofindhold!A$2:B$24,2,FALSE),0)</f>
        <v>0</v>
      </c>
      <c r="Y128" s="170">
        <f t="shared" si="29"/>
        <v>131.83534701746427</v>
      </c>
      <c r="Z128">
        <f t="shared" si="23"/>
        <v>0</v>
      </c>
      <c r="AA128">
        <f t="shared" si="24"/>
        <v>1</v>
      </c>
      <c r="AB128" s="94">
        <f t="shared" si="25"/>
        <v>878.90231344976178</v>
      </c>
      <c r="AC128">
        <f>AB128*D128*10000*VLOOKUP(A128,[1]kcal!$A$2:$C$49,3,FALSE)/1000000000000</f>
        <v>7.2948892016330225E-4</v>
      </c>
    </row>
    <row r="129" spans="1:29" x14ac:dyDescent="0.25">
      <c r="A129" s="171" t="str">
        <f t="shared" si="36"/>
        <v>Oksekød</v>
      </c>
      <c r="B129" s="171" t="str">
        <f t="shared" si="37"/>
        <v/>
      </c>
      <c r="C129" s="171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71">
        <f t="shared" si="39"/>
        <v>1</v>
      </c>
      <c r="E129" s="171">
        <f t="shared" si="38"/>
        <v>2050</v>
      </c>
      <c r="F129" t="s">
        <v>23</v>
      </c>
      <c r="G129" s="94">
        <f>IF(F129="Vestdanmark",SUMIFS(IF(E129=År1,'Resultater - Vestdanmark'!H$3:H$504,IF(E129=År2,'Resultater - Vestdanmark'!I$3:I$504,'Resultater - Vestdanmark'!J$3:J$504)),'Resultater - Vestdanmark'!$F$3:$F$504,$A129,IF(E129=År1,'Resultater - Vestdanmark'!H$3:H$504,IF(E129=År2,'Resultater - Vestdanmark'!I$3:I$504,'Resultater - Vestdanmark'!J$3:J$504)),"&gt;0"),SUMIFS(IF(E129=År1,'Resultater - Østdanmark'!H$3:H$504,IF(E129=År2,'Resultater - Østdanmark'!I$3:I$504,'Resultater - Østdanmark'!J$3:J$504)),'Resultater - Østdanmark'!$F$3:$F$504,$A129,IF(E129=År1,'Resultater - Østdanmark'!H$3:H$504,IF(E129=År2,'Resultater - Østdanmark'!I$3:I$504,'Resultater - Østdanmark'!J$3:J$504)),"&gt;0"))</f>
        <v>3620.6587311595463</v>
      </c>
      <c r="H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forbrug'!H$3,'Forbrug af biomasse'!$B$2:$B$425,$F129)</f>
        <v>0</v>
      </c>
      <c r="I129">
        <f>IF(F129="Vestdanmark",-IF(A129="Halm",SUMIFS(IF(E129=År1,'Resultater - Vestdanmark'!H$3:H$504,IF(E129=År2,'Resultater - Vestdanmark'!I$3:I$504,'Resultater - Vestdanmark'!J$3:J$504)),'Resultater - Vestdanmark'!$F$3:$F$504,$A129,'Resultater - Vestdanmark'!H$3:H$504,"&lt;0"),0),-IF(A129="Halm",SUMIFS(IF(E129=År1,'Resultater - Østdanmark'!H$3:H$504,IF(E129=År2,'Resultater - Østdanmark'!I$3:I$504,'Resultater - Østdanmark'!J$3:J$504)),'Resultater - Østdanmark'!$F$3:$F$504,$A129,'Resultater - Østdanmark'!H$3:H$504,"&lt;0"),0))</f>
        <v>0</v>
      </c>
      <c r="J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forbrug'!J$3,'Forbrug af biomasse'!$B$2:$B$425,$F129)</f>
        <v>62368.567673274578</v>
      </c>
      <c r="K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forbrug'!K$3,'Forbrug af biomasse'!$B$2:$B$425,$F129)</f>
        <v>0</v>
      </c>
      <c r="L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forbrug'!L$3,'Forbrug af biomasse'!$B$2:$B$425,$F129)</f>
        <v>0</v>
      </c>
      <c r="M129" s="94">
        <f>IF(A129&lt;&gt;"Biogas",SUMIFS('Forbrug af biomasse'!$E$2:$E$425,'Forbrug af biomasse'!$C$2:$C$425,'Resultat-Produktion &amp; forbrug'!$A129,'Forbrug af biomasse'!$D$2:$D$425,'Resultat-Produktion &amp; forbrug'!$E129,'Forbrug af biomasse'!$A$2:$A$425,'Resultat-Produktion &amp; forbrug'!M$3,'Forbrug af biomasse'!$B$2:$B$425,$F129),G129)</f>
        <v>0</v>
      </c>
      <c r="N129" s="94">
        <f>SUMIFS('Forbrug af biomasse'!E:E,'Forbrug af biomasse'!C:C,'Resultat-Produktion &amp; forbrug'!$A129,'Forbrug af biomasse'!D:D,'Resultat-Produktion &amp; forbrug'!$E129,'Forbrug af biomasse'!G:G,1,'Forbrug af biomasse'!B:B,$F129)</f>
        <v>0</v>
      </c>
      <c r="O129" s="179">
        <f t="shared" si="26"/>
        <v>-58747.908942115035</v>
      </c>
      <c r="P129" s="94">
        <f t="shared" si="22"/>
        <v>0</v>
      </c>
      <c r="Q129" s="180">
        <f t="shared" si="27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IF(A129&lt;&gt;"Biogas",IFERROR(VLOOKUP(A129,[1]Biogasudbytte!$A$2:$B$18,2,FALSE)*[1]Energiindhold!$C$10,0)*K129*IFERROR(VLOOKUP(A129,Biogasanlæg!$F$3:$G$8,2,FALSE),1)+IFERROR(VLOOKUP(A129,[1]Energiindhold!$A$2:$C$11,3,FALSE),0)*M129+IF(E129&lt;&gt;År1,R129,0),0)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8"/>
        <v>0</v>
      </c>
      <c r="V129" s="169">
        <f>P129*IFERROR(VLOOKUP(A129,[1]Tørstofindhold!A$2:B$24,2,FALSE),0)</f>
        <v>0</v>
      </c>
      <c r="W129">
        <f>IF(E129=År1,Q129,SUM(P129,Q129))*IFERROR(VLOOKUP(A129,[1]Tørstofindhold!A$2:B$24,2,FALSE),0)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9"/>
        <v>0</v>
      </c>
      <c r="Z129">
        <f t="shared" si="23"/>
        <v>1</v>
      </c>
      <c r="AA129">
        <f t="shared" si="24"/>
        <v>0</v>
      </c>
      <c r="AB129" s="94">
        <f t="shared" si="25"/>
        <v>3620.6587311595463</v>
      </c>
      <c r="AC129">
        <f>AB129*D129*10000*VLOOKUP(A129,[1]kcal!$A$2:$C$49,3,FALSE)/1000000000000</f>
        <v>7.0602845257611152E-3</v>
      </c>
    </row>
    <row r="130" spans="1:29" x14ac:dyDescent="0.25">
      <c r="A130" s="171" t="str">
        <f t="shared" si="36"/>
        <v>Øvrige</v>
      </c>
      <c r="B130" s="171" t="str">
        <f t="shared" si="37"/>
        <v/>
      </c>
      <c r="C130" s="171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0</v>
      </c>
      <c r="D130" s="171">
        <f t="shared" si="39"/>
        <v>1</v>
      </c>
      <c r="E130" s="171">
        <f t="shared" si="38"/>
        <v>2050</v>
      </c>
      <c r="F130" t="s">
        <v>23</v>
      </c>
      <c r="G130" s="94">
        <f>IF(F130="Vestdanmark",SUMIFS(IF(E130=År1,'Resultater - Vestdanmark'!H$3:H$504,IF(E130=År2,'Resultater - Vestdanmark'!I$3:I$504,'Resultater - Vestdanmark'!J$3:J$504)),'Resultater - Vestdanmark'!$F$3:$F$504,$A130,IF(E130=År1,'Resultater - Vestdanmark'!H$3:H$504,IF(E130=År2,'Resultater - Vestdanmark'!I$3:I$504,'Resultater - Vestdanmark'!J$3:J$504)),"&gt;0"),SUMIFS(IF(E130=År1,'Resultater - Østdanmark'!H$3:H$504,IF(E130=År2,'Resultater - Østdanmark'!I$3:I$504,'Resultater - Østdanmark'!J$3:J$504)),'Resultater - Østdanmark'!$F$3:$F$504,$A130,IF(E130=År1,'Resultater - Østdanmark'!H$3:H$504,IF(E130=År2,'Resultater - Østdanmark'!I$3:I$504,'Resultater - Østdanmark'!J$3:J$504)),"&gt;0"))</f>
        <v>4681.8686166152675</v>
      </c>
      <c r="H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forbrug'!H$3,'Forbrug af biomasse'!$B$2:$B$425,$F130)</f>
        <v>0</v>
      </c>
      <c r="I130">
        <f>IF(F130="Vestdanmark",-IF(A130="Halm",SUMIFS(IF(E130=År1,'Resultater - Vestdanmark'!H$3:H$504,IF(E130=År2,'Resultater - Vestdanmark'!I$3:I$504,'Resultater - Vestdanmark'!J$3:J$504)),'Resultater - Vestdanmark'!$F$3:$F$504,$A130,'Resultater - Vestdanmark'!H$3:H$504,"&lt;0"),0),-IF(A130="Halm",SUMIFS(IF(E130=År1,'Resultater - Østdanmark'!H$3:H$504,IF(E130=År2,'Resultater - Østdanmark'!I$3:I$504,'Resultater - Østdanmark'!J$3:J$504)),'Resultater - Østdanmark'!$F$3:$F$504,$A130,'Resultater - Østdanmark'!H$3:H$504,"&lt;0"),0))</f>
        <v>0</v>
      </c>
      <c r="J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forbrug'!J$3,'Forbrug af biomasse'!$B$2:$B$425,$F130)</f>
        <v>0</v>
      </c>
      <c r="K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forbrug'!K$3,'Forbrug af biomasse'!$B$2:$B$425,$F130)</f>
        <v>0</v>
      </c>
      <c r="L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forbrug'!L$3,'Forbrug af biomasse'!$B$2:$B$425,$F130)</f>
        <v>0</v>
      </c>
      <c r="M130" s="94">
        <f>IF(A130&lt;&gt;"Biogas",SUMIFS('Forbrug af biomasse'!$E$2:$E$425,'Forbrug af biomasse'!$C$2:$C$425,'Resultat-Produktion &amp; forbrug'!$A130,'Forbrug af biomasse'!$D$2:$D$425,'Resultat-Produktion &amp; forbrug'!$E130,'Forbrug af biomasse'!$A$2:$A$425,'Resultat-Produktion &amp; forbrug'!M$3,'Forbrug af biomasse'!$B$2:$B$425,$F130),G130)</f>
        <v>0</v>
      </c>
      <c r="N130" s="94">
        <f>SUMIFS('Forbrug af biomasse'!E:E,'Forbrug af biomasse'!C:C,'Resultat-Produktion &amp; forbrug'!$A130,'Forbrug af biomasse'!D:D,'Resultat-Produktion &amp; forbrug'!$E130,'Forbrug af biomasse'!G:G,1,'Forbrug af biomasse'!B:B,$F130)</f>
        <v>0</v>
      </c>
      <c r="O130" s="179">
        <f t="shared" si="26"/>
        <v>4681.8686166152675</v>
      </c>
      <c r="P130" s="94">
        <f t="shared" si="22"/>
        <v>0</v>
      </c>
      <c r="Q130" s="180">
        <f t="shared" si="27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IF(A130&lt;&gt;"Biogas",IFERROR(VLOOKUP(A130,[1]Biogasudbytte!$A$2:$B$18,2,FALSE)*[1]Energiindhold!$C$10,0)*K130*IFERROR(VLOOKUP(A130,Biogasanlæg!$F$3:$G$8,2,FALSE),1)+IFERROR(VLOOKUP(A130,[1]Energiindhold!$A$2:$C$11,3,FALSE),0)*M130+IF(E130&lt;&gt;År1,R130,0),0)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8"/>
        <v>0</v>
      </c>
      <c r="V130" s="169">
        <f>P130*IFERROR(VLOOKUP(A130,[1]Tørstofindhold!A$2:B$24,2,FALSE),0)</f>
        <v>0</v>
      </c>
      <c r="W130">
        <f>IF(E130=År1,Q130,SUM(P130,Q130))*IFERROR(VLOOKUP(A130,[1]Tørstofindhold!A$2:B$24,2,FALSE),0)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9"/>
        <v>0</v>
      </c>
      <c r="Z130">
        <f t="shared" si="23"/>
        <v>0</v>
      </c>
      <c r="AA130">
        <f t="shared" si="24"/>
        <v>1</v>
      </c>
      <c r="AB130" s="94">
        <f t="shared" si="25"/>
        <v>4681.8686166152675</v>
      </c>
      <c r="AC130">
        <f>AB130*D130*10000*VLOOKUP(A130,[1]kcal!$A$2:$C$49,3,FALSE)/1000000000000</f>
        <v>1.8259287604799543E-3</v>
      </c>
    </row>
    <row r="131" spans="1:29" x14ac:dyDescent="0.25">
      <c r="A131" s="171" t="str">
        <f t="shared" si="36"/>
        <v>Pil &amp; poppel</v>
      </c>
      <c r="B131" s="171" t="str">
        <f t="shared" si="37"/>
        <v>Vedmasse</v>
      </c>
      <c r="C131" s="171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71">
        <f t="shared" si="39"/>
        <v>0</v>
      </c>
      <c r="E131" s="171">
        <f t="shared" si="38"/>
        <v>2050</v>
      </c>
      <c r="F131" t="s">
        <v>23</v>
      </c>
      <c r="G131" s="94">
        <f>IF(F131="Vestdanmark",SUMIFS(IF(E131=År1,'Resultater - Vestdanmark'!H$3:H$504,IF(E131=År2,'Resultater - Vestdanmark'!I$3:I$504,'Resultater - Vestdanmark'!J$3:J$504)),'Resultater - Vestdanmark'!$F$3:$F$504,$A131,IF(E131=År1,'Resultater - Vestdanmark'!H$3:H$504,IF(E131=År2,'Resultater - Vestdanmark'!I$3:I$504,'Resultater - Vestdanmark'!J$3:J$504)),"&gt;0"),SUMIFS(IF(E131=År1,'Resultater - Østdanmark'!H$3:H$504,IF(E131=År2,'Resultater - Østdanmark'!I$3:I$504,'Resultater - Østdanmark'!J$3:J$504)),'Resultater - Østdanmark'!$F$3:$F$504,$A131,IF(E131=År1,'Resultater - Østdanmark'!H$3:H$504,IF(E131=År2,'Resultater - Østdanmark'!I$3:I$504,'Resultater - Østdanmark'!J$3:J$504)),"&gt;0"))</f>
        <v>109495.6819733945</v>
      </c>
      <c r="H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forbrug'!H$3,'Forbrug af biomasse'!$B$2:$B$425,$F131)</f>
        <v>0</v>
      </c>
      <c r="I131">
        <f>IF(F131="Vestdanmark",-IF(A131="Halm",SUMIFS(IF(E131=År1,'Resultater - Vestdanmark'!H$3:H$504,IF(E131=År2,'Resultater - Vestdanmark'!I$3:I$504,'Resultater - Vestdanmark'!J$3:J$504)),'Resultater - Vestdanmark'!$F$3:$F$504,$A131,'Resultater - Vestdanmark'!H$3:H$504,"&lt;0"),0),-IF(A131="Halm",SUMIFS(IF(E131=År1,'Resultater - Østdanmark'!H$3:H$504,IF(E131=År2,'Resultater - Østdanmark'!I$3:I$504,'Resultater - Østdanmark'!J$3:J$504)),'Resultater - Østdanmark'!$F$3:$F$504,$A131,'Resultater - Østdanmark'!H$3:H$504,"&lt;0"),0))</f>
        <v>0</v>
      </c>
      <c r="J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forbrug'!J$3,'Forbrug af biomasse'!$B$2:$B$425,$F131)</f>
        <v>0</v>
      </c>
      <c r="K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forbrug'!K$3,'Forbrug af biomasse'!$B$2:$B$425,$F131)</f>
        <v>0</v>
      </c>
      <c r="L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forbrug'!L$3,'Forbrug af biomasse'!$B$2:$B$425,$F131)</f>
        <v>0</v>
      </c>
      <c r="M131" s="94">
        <f>IF(A131&lt;&gt;"Biogas",SUMIFS('Forbrug af biomasse'!$E$2:$E$425,'Forbrug af biomasse'!$C$2:$C$425,'Resultat-Produktion &amp; forbrug'!$A131,'Forbrug af biomasse'!$D$2:$D$425,'Resultat-Produktion &amp; forbrug'!$E131,'Forbrug af biomasse'!$A$2:$A$425,'Resultat-Produktion &amp; forbrug'!M$3,'Forbrug af biomasse'!$B$2:$B$425,$F131),G131)</f>
        <v>109495.6819733945</v>
      </c>
      <c r="N131" s="94">
        <f>SUMIFS('Forbrug af biomasse'!E:E,'Forbrug af biomasse'!C:C,'Resultat-Produktion &amp; forbrug'!$A131,'Forbrug af biomasse'!D:D,'Resultat-Produktion &amp; forbrug'!$E131,'Forbrug af biomasse'!G:G,1,'Forbrug af biomasse'!B:B,$F131)</f>
        <v>0</v>
      </c>
      <c r="O131" s="179">
        <f t="shared" si="26"/>
        <v>0</v>
      </c>
      <c r="P131" s="94">
        <f t="shared" si="22"/>
        <v>0</v>
      </c>
      <c r="Q131" s="180">
        <f t="shared" si="27"/>
        <v>109495.6819733945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IF(A131&lt;&gt;"Biogas",IFERROR(VLOOKUP(A131,[1]Biogasudbytte!$A$2:$B$18,2,FALSE)*[1]Energiindhold!$C$10,0)*K131*IFERROR(VLOOKUP(A131,Biogasanlæg!$F$3:$G$8,2,FALSE),1)+IFERROR(VLOOKUP(A131,[1]Energiindhold!$A$2:$C$11,3,FALSE),0)*M131+IF(E131&lt;&gt;År1,R131,0),0)</f>
        <v>2.0147205483104584</v>
      </c>
      <c r="T131">
        <f>IFERROR(VLOOKUP(A131,[1]Biogasudbytte!$A$2:$B$18,2,FALSE)*[1]Energiindhold!$C$10,0)*K131*IFERROR(VLOOKUP(A131,Biogasanlæg!$F$3:$G$8,2,FALSE),1)</f>
        <v>0</v>
      </c>
      <c r="U131" s="170">
        <f t="shared" si="28"/>
        <v>2.0147205483104584</v>
      </c>
      <c r="V131" s="169">
        <f>P131*IFERROR(VLOOKUP(A131,[1]Tørstofindhold!A$2:B$24,2,FALSE),0)</f>
        <v>0</v>
      </c>
      <c r="W131">
        <f>IF(E131=År1,Q131,SUM(P131,Q131))*IFERROR(VLOOKUP(A131,[1]Tørstofindhold!A$2:B$24,2,FALSE),0)</f>
        <v>45440.708018958721</v>
      </c>
      <c r="X131">
        <f>K131*IFERROR(VLOOKUP(A131,[1]Tørstofindhold!A$2:B$24,2,FALSE),0)</f>
        <v>0</v>
      </c>
      <c r="Y131" s="170">
        <f t="shared" si="29"/>
        <v>45440.708018958721</v>
      </c>
      <c r="Z131">
        <f t="shared" si="23"/>
        <v>0</v>
      </c>
      <c r="AA131">
        <f t="shared" si="24"/>
        <v>0</v>
      </c>
      <c r="AB131" s="94">
        <f t="shared" si="25"/>
        <v>109495.6819733945</v>
      </c>
      <c r="AC131">
        <f>AB131*D131*10000*VLOOKUP(A131,[1]kcal!$A$2:$C$49,3,FALSE)/1000000000000</f>
        <v>0</v>
      </c>
    </row>
    <row r="132" spans="1:29" x14ac:dyDescent="0.25">
      <c r="A132" s="171" t="str">
        <f t="shared" ref="A132:A133" si="40">A84</f>
        <v>Pyrolysegas</v>
      </c>
      <c r="B132" s="171" t="str">
        <f t="shared" ref="B132:B133" si="41">IF(B84&lt;&gt;"",B84,"")</f>
        <v>Pyrolyseprodukter</v>
      </c>
      <c r="C132" s="171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71">
        <f t="shared" si="39"/>
        <v>0</v>
      </c>
      <c r="E132" s="171">
        <f t="shared" si="38"/>
        <v>2050</v>
      </c>
      <c r="F132" t="s">
        <v>23</v>
      </c>
      <c r="G132" s="94">
        <f>IF(F132="Vestdanmark",SUMIFS(IF(E132=År1,'Resultater - Vestdanmark'!H$3:H$504,IF(E132=År2,'Resultater - Vestdanmark'!I$3:I$504,'Resultater - Vestdanmark'!J$3:J$504)),'Resultater - Vestdanmark'!$F$3:$F$504,$A132,IF(E132=År1,'Resultater - Vestdanmark'!H$3:H$504,IF(E132=År2,'Resultater - Vestdanmark'!I$3:I$504,'Resultater - Vestdanmark'!J$3:J$504)),"&gt;0"),SUMIFS(IF(E132=År1,'Resultater - Østdanmark'!H$3:H$504,IF(E132=År2,'Resultater - Østdanmark'!I$3:I$504,'Resultater - Østdanmark'!J$3:J$504)),'Resultater - Østdanmark'!$F$3:$F$504,$A132,IF(E132=År1,'Resultater - Østdanmark'!H$3:H$504,IF(E132=År2,'Resultater - Østdanmark'!I$3:I$504,'Resultater - Østdanmark'!J$3:J$504)),"&gt;0"))</f>
        <v>0</v>
      </c>
      <c r="H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forbrug'!H$3,'Forbrug af biomasse'!$B$2:$B$425,$F132)</f>
        <v>0</v>
      </c>
      <c r="I132">
        <f>IF(F132="Vestdanmark",-IF(A132="Halm",SUMIFS(IF(E132=År1,'Resultater - Vestdanmark'!H$3:H$504,IF(E132=År2,'Resultater - Vestdanmark'!I$3:I$504,'Resultater - Vestdanmark'!J$3:J$504)),'Resultater - Vestdanmark'!$F$3:$F$504,$A132,'Resultater - Vestdanmark'!H$3:H$504,"&lt;0"),0),-IF(A132="Halm",SUMIFS(IF(E132=År1,'Resultater - Østdanmark'!H$3:H$504,IF(E132=År2,'Resultater - Østdanmark'!I$3:I$504,'Resultater - Østdanmark'!J$3:J$504)),'Resultater - Østdanmark'!$F$3:$F$504,$A132,'Resultater - Østdanmark'!H$3:H$504,"&lt;0"),0))</f>
        <v>0</v>
      </c>
      <c r="J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forbrug'!J$3,'Forbrug af biomasse'!$B$2:$B$425,$F132)</f>
        <v>0</v>
      </c>
      <c r="K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forbrug'!K$3,'Forbrug af biomasse'!$B$2:$B$425,$F132)</f>
        <v>0</v>
      </c>
      <c r="L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forbrug'!L$3,'Forbrug af biomasse'!$B$2:$B$425,$F132)</f>
        <v>0</v>
      </c>
      <c r="M132" s="94">
        <f>IF(A132&lt;&gt;"Biogas",SUMIFS('Forbrug af biomasse'!$E$2:$E$425,'Forbrug af biomasse'!$C$2:$C$425,'Resultat-Produktion &amp; forbrug'!$A132,'Forbrug af biomasse'!$D$2:$D$425,'Resultat-Produktion &amp; forbrug'!$E132,'Forbrug af biomasse'!$A$2:$A$425,'Resultat-Produktion &amp; forbrug'!M$3,'Forbrug af biomasse'!$B$2:$B$425,$F132),G132)</f>
        <v>0</v>
      </c>
      <c r="N132" s="94">
        <f>SUMIFS('Forbrug af biomasse'!E:E,'Forbrug af biomasse'!C:C,'Resultat-Produktion &amp; forbrug'!$A132,'Forbrug af biomasse'!D:D,'Resultat-Produktion &amp; forbrug'!$E132,'Forbrug af biomasse'!G:G,1,'Forbrug af biomasse'!B:B,$F132)</f>
        <v>0</v>
      </c>
      <c r="O132" s="179">
        <f t="shared" ref="O132:O133" si="42">G132-SUM(H132:N132)</f>
        <v>0</v>
      </c>
      <c r="P132" s="94">
        <f t="shared" ref="P132:P195" si="43">IF(C132=1,IF(O132+IF(SUMIFS($O$4:$O$291,$A$4:$A$291,A132,$E$4:$E$291,E132,$F$4:$F$291,"&lt;&gt;"&amp;F132)&lt;0,SUMIFS($O$4:$O$291,$A$4:$A$291,A132,$E$4:$E$291,E132,$F$4:$F$291,"&lt;&gt;"&amp;F132),0)&gt;0,O132+IF(SUMIFS($O$4:$O$291,$A$4:$A$291,A132,$E$4:$E$291,E132,$F$4:$F$291,"&lt;&gt;"&amp;F132)&lt;0,SUMIFS($O$4:$O$291,$A$4:$A$291,A132,$E$4:$E$291,E132,$F$4:$F$291,"&lt;&gt;"&amp;F132),0),0),0)</f>
        <v>0</v>
      </c>
      <c r="Q132" s="180">
        <f t="shared" ref="Q132:Q133" si="44">SUM(K132,M132)</f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IF(A132&lt;&gt;"Biogas",IFERROR(VLOOKUP(A132,[1]Biogasudbytte!$A$2:$B$18,2,FALSE)*[1]Energiindhold!$C$10,0)*K132*IFERROR(VLOOKUP(A132,Biogasanlæg!$F$3:$G$8,2,FALSE),1)+IFERROR(VLOOKUP(A132,[1]Energiindhold!$A$2:$C$11,3,FALSE),0)*M132+IF(E132&lt;&gt;År1,R132,0),0)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ref="U132:U133" si="45">S132-T132</f>
        <v>0</v>
      </c>
      <c r="V132" s="169">
        <f>P132*IFERROR(VLOOKUP(A132,[1]Tørstofindhold!A$2:B$24,2,FALSE),0)</f>
        <v>0</v>
      </c>
      <c r="W132">
        <f>IF(E132=År1,Q132,SUM(P132,Q132))*IFERROR(VLOOKUP(A132,[1]Tørstofindhold!A$2:B$24,2,FALSE),0)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ref="Y132:Y133" si="46">W132-X132</f>
        <v>0</v>
      </c>
      <c r="Z132">
        <f t="shared" ref="Z132:Z195" si="47">IF(SUMIFS($O$4:$O$291,$A$4:$A$291,A132,$E$4:$E$291,E132)&lt;0,1,0)</f>
        <v>0</v>
      </c>
      <c r="AA132">
        <f t="shared" ref="AA132:AA195" si="48">IF(SUMIFS($O$4:$O$291,$A$4:$A$291,A132,$E$4:$E$291,E132)&gt;0,1,0)</f>
        <v>0</v>
      </c>
      <c r="AB132" s="94">
        <f t="shared" si="25"/>
        <v>0</v>
      </c>
      <c r="AC132">
        <f>AB132*D132*10000*VLOOKUP(A132,[1]kcal!$A$2:$C$49,3,FALSE)/1000000000000</f>
        <v>0</v>
      </c>
    </row>
    <row r="133" spans="1:29" x14ac:dyDescent="0.25">
      <c r="A133" s="171" t="str">
        <f t="shared" si="40"/>
        <v>Pyrolyseolie</v>
      </c>
      <c r="B133" s="171" t="str">
        <f t="shared" si="41"/>
        <v>Pyrolyseprodukter</v>
      </c>
      <c r="C133" s="171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1</v>
      </c>
      <c r="D133" s="171">
        <f t="shared" si="39"/>
        <v>0</v>
      </c>
      <c r="E133" s="171">
        <f t="shared" si="38"/>
        <v>2050</v>
      </c>
      <c r="F133" t="s">
        <v>23</v>
      </c>
      <c r="G133" s="94">
        <f>IF(F133="Vestdanmark",SUMIFS(IF(E133=År1,'Resultater - Vestdanmark'!H$3:H$504,IF(E133=År2,'Resultater - Vestdanmark'!I$3:I$504,'Resultater - Vestdanmark'!J$3:J$504)),'Resultater - Vestdanmark'!$F$3:$F$504,$A133,IF(E133=År1,'Resultater - Vestdanmark'!H$3:H$504,IF(E133=År2,'Resultater - Vestdanmark'!I$3:I$504,'Resultater - Vestdanmark'!J$3:J$504)),"&gt;0"),SUMIFS(IF(E133=År1,'Resultater - Østdanmark'!H$3:H$504,IF(E133=År2,'Resultater - Østdanmark'!I$3:I$504,'Resultater - Østdanmark'!J$3:J$504)),'Resultater - Østdanmark'!$F$3:$F$504,$A133,IF(E133=År1,'Resultater - Østdanmark'!H$3:H$504,IF(E133=År2,'Resultater - Østdanmark'!I$3:I$504,'Resultater - Østdanmark'!J$3:J$504)),"&gt;0"))</f>
        <v>0</v>
      </c>
      <c r="H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forbrug'!H$3,'Forbrug af biomasse'!$B$2:$B$425,$F133)</f>
        <v>0</v>
      </c>
      <c r="I133">
        <f>IF(F133="Vestdanmark",-IF(A133="Halm",SUMIFS(IF(E133=År1,'Resultater - Vestdanmark'!H$3:H$504,IF(E133=År2,'Resultater - Vestdanmark'!I$3:I$504,'Resultater - Vestdanmark'!J$3:J$504)),'Resultater - Vestdanmark'!$F$3:$F$504,$A133,'Resultater - Vestdanmark'!H$3:H$504,"&lt;0"),0),-IF(A133="Halm",SUMIFS(IF(E133=År1,'Resultater - Østdanmark'!H$3:H$504,IF(E133=År2,'Resultater - Østdanmark'!I$3:I$504,'Resultater - Østdanmark'!J$3:J$504)),'Resultater - Østdanmark'!$F$3:$F$504,$A133,'Resultater - Østdanmark'!H$3:H$504,"&lt;0"),0))</f>
        <v>0</v>
      </c>
      <c r="J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forbrug'!J$3,'Forbrug af biomasse'!$B$2:$B$425,$F133)</f>
        <v>0</v>
      </c>
      <c r="K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forbrug'!K$3,'Forbrug af biomasse'!$B$2:$B$425,$F133)</f>
        <v>0</v>
      </c>
      <c r="L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forbrug'!L$3,'Forbrug af biomasse'!$B$2:$B$425,$F133)</f>
        <v>0</v>
      </c>
      <c r="M133" s="94">
        <f>IF(A133&lt;&gt;"Biogas",SUMIFS('Forbrug af biomasse'!$E$2:$E$425,'Forbrug af biomasse'!$C$2:$C$425,'Resultat-Produktion &amp; forbrug'!$A133,'Forbrug af biomasse'!$D$2:$D$425,'Resultat-Produktion &amp; forbrug'!$E133,'Forbrug af biomasse'!$A$2:$A$425,'Resultat-Produktion &amp; forbrug'!M$3,'Forbrug af biomasse'!$B$2:$B$425,$F133),G133)</f>
        <v>0</v>
      </c>
      <c r="N133" s="94">
        <f>SUMIFS('Forbrug af biomasse'!E:E,'Forbrug af biomasse'!C:C,'Resultat-Produktion &amp; forbrug'!$A133,'Forbrug af biomasse'!D:D,'Resultat-Produktion &amp; forbrug'!$E133,'Forbrug af biomasse'!G:G,1,'Forbrug af biomasse'!B:B,$F133)</f>
        <v>0</v>
      </c>
      <c r="O133" s="179">
        <f t="shared" si="42"/>
        <v>0</v>
      </c>
      <c r="P133" s="94">
        <f t="shared" si="43"/>
        <v>0</v>
      </c>
      <c r="Q133" s="180">
        <f t="shared" si="44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IF(A133&lt;&gt;"Biogas",IFERROR(VLOOKUP(A133,[1]Biogasudbytte!$A$2:$B$18,2,FALSE)*[1]Energiindhold!$C$10,0)*K133*IFERROR(VLOOKUP(A133,Biogasanlæg!$F$3:$G$8,2,FALSE),1)+IFERROR(VLOOKUP(A133,[1]Energiindhold!$A$2:$C$11,3,FALSE),0)*M133+IF(E133&lt;&gt;År1,R133,0),0)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45"/>
        <v>0</v>
      </c>
      <c r="V133" s="169">
        <f>P133*IFERROR(VLOOKUP(A133,[1]Tørstofindhold!A$2:B$24,2,FALSE),0)</f>
        <v>0</v>
      </c>
      <c r="W133">
        <f>IF(E133=År1,Q133,SUM(P133,Q133))*IFERROR(VLOOKUP(A133,[1]Tørstofindhold!A$2:B$24,2,FALSE),0)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si="46"/>
        <v>0</v>
      </c>
      <c r="Z133">
        <f t="shared" si="47"/>
        <v>0</v>
      </c>
      <c r="AA133">
        <f t="shared" si="48"/>
        <v>0</v>
      </c>
      <c r="AB133" s="94">
        <f t="shared" ref="AB133:AB196" si="49">G133-SUMPRODUCT($H$2:$N$2,H133:N133)</f>
        <v>0</v>
      </c>
      <c r="AC133">
        <f>AB133*D133*10000*VLOOKUP(A133,[1]kcal!$A$2:$C$49,3,FALSE)/1000000000000</f>
        <v>0</v>
      </c>
    </row>
    <row r="134" spans="1:29" x14ac:dyDescent="0.25">
      <c r="A134" s="171" t="str">
        <f t="shared" ref="A134:A147" si="50">A86</f>
        <v>Råmælk</v>
      </c>
      <c r="B134" s="171" t="str">
        <f t="shared" ref="B134:B147" si="51">IF(B86&lt;&gt;"",B86,"")</f>
        <v/>
      </c>
      <c r="C134" s="171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71">
        <f t="shared" si="39"/>
        <v>0</v>
      </c>
      <c r="E134" s="171">
        <f t="shared" si="38"/>
        <v>2050</v>
      </c>
      <c r="F134" t="s">
        <v>23</v>
      </c>
      <c r="G134" s="94">
        <f>IF(F134="Vestdanmark",SUMIFS(IF(E134=År1,'Resultater - Vestdanmark'!H$3:H$504,IF(E134=År2,'Resultater - Vestdanmark'!I$3:I$504,'Resultater - Vestdanmark'!J$3:J$504)),'Resultater - Vestdanmark'!$F$3:$F$504,$A134,IF(E134=År1,'Resultater - Vestdanmark'!H$3:H$504,IF(E134=År2,'Resultater - Vestdanmark'!I$3:I$504,'Resultater - Vestdanmark'!J$3:J$504)),"&gt;0"),SUMIFS(IF(E134=År1,'Resultater - Østdanmark'!H$3:H$504,IF(E134=År2,'Resultater - Østdanmark'!I$3:I$504,'Resultater - Østdanmark'!J$3:J$504)),'Resultater - Østdanmark'!$F$3:$F$504,$A134,IF(E134=År1,'Resultater - Østdanmark'!H$3:H$504,IF(E134=År2,'Resultater - Østdanmark'!I$3:I$504,'Resultater - Østdanmark'!J$3:J$504)),"&gt;0"))</f>
        <v>299784.31365557079</v>
      </c>
      <c r="H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forbrug'!H$3,'Forbrug af biomasse'!$B$2:$B$425,$F134)</f>
        <v>0</v>
      </c>
      <c r="I134">
        <f>IF(F134="Vestdanmark",-IF(A134="Halm",SUMIFS(IF(E134=År1,'Resultater - Vestdanmark'!H$3:H$504,IF(E134=År2,'Resultater - Vestdanmark'!I$3:I$504,'Resultater - Vestdanmark'!J$3:J$504)),'Resultater - Vestdanmark'!$F$3:$F$504,$A134,'Resultater - Vestdanmark'!H$3:H$504,"&lt;0"),0),-IF(A134="Halm",SUMIFS(IF(E134=År1,'Resultater - Østdanmark'!H$3:H$504,IF(E134=År2,'Resultater - Østdanmark'!I$3:I$504,'Resultater - Østdanmark'!J$3:J$504)),'Resultater - Østdanmark'!$F$3:$F$504,$A134,'Resultater - Østdanmark'!H$3:H$504,"&lt;0"),0))</f>
        <v>0</v>
      </c>
      <c r="J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forbrug'!J$3,'Forbrug af biomasse'!$B$2:$B$425,$F134)</f>
        <v>0</v>
      </c>
      <c r="K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forbrug'!K$3,'Forbrug af biomasse'!$B$2:$B$425,$F134)</f>
        <v>0</v>
      </c>
      <c r="L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forbrug'!L$3,'Forbrug af biomasse'!$B$2:$B$425,$F134)</f>
        <v>0</v>
      </c>
      <c r="M134" s="94">
        <f>IF(A134&lt;&gt;"Biogas",SUMIFS('Forbrug af biomasse'!$E$2:$E$425,'Forbrug af biomasse'!$C$2:$C$425,'Resultat-Produktion &amp; forbrug'!$A134,'Forbrug af biomasse'!$D$2:$D$425,'Resultat-Produktion &amp; forbrug'!$E134,'Forbrug af biomasse'!$A$2:$A$425,'Resultat-Produktion &amp; forbrug'!M$3,'Forbrug af biomasse'!$B$2:$B$425,$F134),G134)</f>
        <v>0</v>
      </c>
      <c r="N134" s="94">
        <f>SUMIFS('Forbrug af biomasse'!E:E,'Forbrug af biomasse'!C:C,'Resultat-Produktion &amp; forbrug'!$A134,'Forbrug af biomasse'!D:D,'Resultat-Produktion &amp; forbrug'!$E134,'Forbrug af biomasse'!G:G,1,'Forbrug af biomasse'!B:B,$F134)</f>
        <v>0</v>
      </c>
      <c r="O134" s="179">
        <f t="shared" si="26"/>
        <v>299784.31365557079</v>
      </c>
      <c r="P134" s="94">
        <f t="shared" si="43"/>
        <v>0</v>
      </c>
      <c r="Q134" s="180">
        <f t="shared" si="27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IF(A134&lt;&gt;"Biogas",IFERROR(VLOOKUP(A134,[1]Biogasudbytte!$A$2:$B$18,2,FALSE)*[1]Energiindhold!$C$10,0)*K134*IFERROR(VLOOKUP(A134,Biogasanlæg!$F$3:$G$8,2,FALSE),1)+IFERROR(VLOOKUP(A134,[1]Energiindhold!$A$2:$C$11,3,FALSE),0)*M134+IF(E134&lt;&gt;År1,R134,0),0)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8"/>
        <v>0</v>
      </c>
      <c r="V134" s="169">
        <f>P134*IFERROR(VLOOKUP(A134,[1]Tørstofindhold!A$2:B$24,2,FALSE),0)</f>
        <v>0</v>
      </c>
      <c r="W134">
        <f>IF(E134=År1,Q134,SUM(P134,Q134))*IFERROR(VLOOKUP(A134,[1]Tørstofindhold!A$2:B$24,2,FALSE),0)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9"/>
        <v>0</v>
      </c>
      <c r="Z134">
        <f t="shared" si="47"/>
        <v>0</v>
      </c>
      <c r="AA134">
        <f t="shared" si="48"/>
        <v>1</v>
      </c>
      <c r="AB134" s="94">
        <f t="shared" si="49"/>
        <v>299784.31365557079</v>
      </c>
      <c r="AC134">
        <f>AB134*D134*10000*VLOOKUP(A134,[1]kcal!$A$2:$C$49,3,FALSE)/1000000000000</f>
        <v>0</v>
      </c>
    </row>
    <row r="135" spans="1:29" x14ac:dyDescent="0.25">
      <c r="A135" s="171" t="str">
        <f t="shared" si="50"/>
        <v>Raps</v>
      </c>
      <c r="B135" s="171" t="str">
        <f t="shared" si="51"/>
        <v/>
      </c>
      <c r="C135" s="171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71">
        <f t="shared" si="39"/>
        <v>0</v>
      </c>
      <c r="E135" s="171">
        <f t="shared" si="38"/>
        <v>2050</v>
      </c>
      <c r="F135" t="s">
        <v>23</v>
      </c>
      <c r="G135" s="94">
        <f>IF(F135="Vestdanmark",SUMIFS(IF(E135=År1,'Resultater - Vestdanmark'!H$3:H$504,IF(E135=År2,'Resultater - Vestdanmark'!I$3:I$504,'Resultater - Vestdanmark'!J$3:J$504)),'Resultater - Vestdanmark'!$F$3:$F$504,$A135,IF(E135=År1,'Resultater - Vestdanmark'!H$3:H$504,IF(E135=År2,'Resultater - Vestdanmark'!I$3:I$504,'Resultater - Vestdanmark'!J$3:J$504)),"&gt;0"),SUMIFS(IF(E135=År1,'Resultater - Østdanmark'!H$3:H$504,IF(E135=År2,'Resultater - Østdanmark'!I$3:I$504,'Resultater - Østdanmark'!J$3:J$504)),'Resultater - Østdanmark'!$F$3:$F$504,$A135,IF(E135=År1,'Resultater - Østdanmark'!H$3:H$504,IF(E135=År2,'Resultater - Østdanmark'!I$3:I$504,'Resultater - Østdanmark'!J$3:J$504)),"&gt;0"))</f>
        <v>996229.71876806754</v>
      </c>
      <c r="H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forbrug'!H$3,'Forbrug af biomasse'!$B$2:$B$425,$F135)</f>
        <v>0</v>
      </c>
      <c r="I135">
        <f>IF(F135="Vestdanmark",-IF(A135="Halm",SUMIFS(IF(E135=År1,'Resultater - Vestdanmark'!H$3:H$504,IF(E135=År2,'Resultater - Vestdanmark'!I$3:I$504,'Resultater - Vestdanmark'!J$3:J$504)),'Resultater - Vestdanmark'!$F$3:$F$504,$A135,'Resultater - Vestdanmark'!H$3:H$504,"&lt;0"),0),-IF(A135="Halm",SUMIFS(IF(E135=År1,'Resultater - Østdanmark'!H$3:H$504,IF(E135=År2,'Resultater - Østdanmark'!I$3:I$504,'Resultater - Østdanmark'!J$3:J$504)),'Resultater - Østdanmark'!$F$3:$F$504,$A135,'Resultater - Østdanmark'!H$3:H$504,"&lt;0"),0))</f>
        <v>0</v>
      </c>
      <c r="J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forbrug'!J$3,'Forbrug af biomasse'!$B$2:$B$425,$F135)</f>
        <v>0</v>
      </c>
      <c r="K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forbrug'!K$3,'Forbrug af biomasse'!$B$2:$B$425,$F135)</f>
        <v>0</v>
      </c>
      <c r="L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forbrug'!L$3,'Forbrug af biomasse'!$B$2:$B$425,$F135)</f>
        <v>0</v>
      </c>
      <c r="M135" s="94">
        <f>IF(A135&lt;&gt;"Biogas",SUMIFS('Forbrug af biomasse'!$E$2:$E$425,'Forbrug af biomasse'!$C$2:$C$425,'Resultat-Produktion &amp; forbrug'!$A135,'Forbrug af biomasse'!$D$2:$D$425,'Resultat-Produktion &amp; forbrug'!$E135,'Forbrug af biomasse'!$A$2:$A$425,'Resultat-Produktion &amp; forbrug'!M$3,'Forbrug af biomasse'!$B$2:$B$425,$F135),G135)</f>
        <v>0</v>
      </c>
      <c r="N135" s="94">
        <f>SUMIFS('Forbrug af biomasse'!E:E,'Forbrug af biomasse'!C:C,'Resultat-Produktion &amp; forbrug'!$A135,'Forbrug af biomasse'!D:D,'Resultat-Produktion &amp; forbrug'!$E135,'Forbrug af biomasse'!G:G,1,'Forbrug af biomasse'!B:B,$F135)</f>
        <v>996229.71876806754</v>
      </c>
      <c r="O135" s="179">
        <f t="shared" si="26"/>
        <v>0</v>
      </c>
      <c r="P135" s="94">
        <f t="shared" si="43"/>
        <v>0</v>
      </c>
      <c r="Q135" s="180">
        <f t="shared" si="27"/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IF(A135&lt;&gt;"Biogas",IFERROR(VLOOKUP(A135,[1]Biogasudbytte!$A$2:$B$18,2,FALSE)*[1]Energiindhold!$C$10,0)*K135*IFERROR(VLOOKUP(A135,Biogasanlæg!$F$3:$G$8,2,FALSE),1)+IFERROR(VLOOKUP(A135,[1]Energiindhold!$A$2:$C$11,3,FALSE),0)*M135+IF(E135&lt;&gt;År1,R135,0),0)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si="28"/>
        <v>0</v>
      </c>
      <c r="V135" s="169">
        <f>P135*IFERROR(VLOOKUP(A135,[1]Tørstofindhold!A$2:B$24,2,FALSE),0)</f>
        <v>0</v>
      </c>
      <c r="W135">
        <f>IF(E135=År1,Q135,SUM(P135,Q135))*IFERROR(VLOOKUP(A135,[1]Tørstofindhold!A$2:B$24,2,FALSE),0)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si="29"/>
        <v>0</v>
      </c>
      <c r="Z135">
        <f t="shared" si="47"/>
        <v>0</v>
      </c>
      <c r="AA135">
        <f t="shared" si="48"/>
        <v>0</v>
      </c>
      <c r="AB135" s="94">
        <f t="shared" si="49"/>
        <v>996229.71876806754</v>
      </c>
      <c r="AC135">
        <f>AB135*D135*10000*VLOOKUP(A135,[1]kcal!$A$2:$C$49,3,FALSE)/1000000000000</f>
        <v>0</v>
      </c>
    </row>
    <row r="136" spans="1:29" x14ac:dyDescent="0.25">
      <c r="A136" s="171" t="str">
        <f t="shared" si="50"/>
        <v>Rapskage</v>
      </c>
      <c r="B136" s="171" t="str">
        <f t="shared" si="51"/>
        <v/>
      </c>
      <c r="C136" s="171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0</v>
      </c>
      <c r="D136" s="171">
        <f t="shared" si="39"/>
        <v>0</v>
      </c>
      <c r="E136" s="171">
        <f t="shared" si="38"/>
        <v>2050</v>
      </c>
      <c r="F136" t="s">
        <v>23</v>
      </c>
      <c r="G136" s="94">
        <f>IF(F136="Vestdanmark",SUMIFS(IF(E136=År1,'Resultater - Vestdanmark'!H$3:H$504,IF(E136=År2,'Resultater - Vestdanmark'!I$3:I$504,'Resultater - Vestdanmark'!J$3:J$504)),'Resultater - Vestdanmark'!$F$3:$F$504,$A136,IF(E136=År1,'Resultater - Vestdanmark'!H$3:H$504,IF(E136=År2,'Resultater - Vestdanmark'!I$3:I$504,'Resultater - Vestdanmark'!J$3:J$504)),"&gt;0"),SUMIFS(IF(E136=År1,'Resultater - Østdanmark'!H$3:H$504,IF(E136=År2,'Resultater - Østdanmark'!I$3:I$504,'Resultater - Østdanmark'!J$3:J$504)),'Resultater - Østdanmark'!$F$3:$F$504,$A136,IF(E136=År1,'Resultater - Østdanmark'!H$3:H$504,IF(E136=År2,'Resultater - Østdanmark'!I$3:I$504,'Resultater - Østdanmark'!J$3:J$504)),"&gt;0"))</f>
        <v>498114.85938403377</v>
      </c>
      <c r="H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forbrug'!H$3,'Forbrug af biomasse'!$B$2:$B$425,$F136)</f>
        <v>18417.944885065255</v>
      </c>
      <c r="I136">
        <f>IF(F136="Vestdanmark",-IF(A136="Halm",SUMIFS(IF(E136=År1,'Resultater - Vestdanmark'!H$3:H$504,IF(E136=År2,'Resultater - Vestdanmark'!I$3:I$504,'Resultater - Vestdanmark'!J$3:J$504)),'Resultater - Vestdanmark'!$F$3:$F$504,$A136,'Resultater - Vestdanmark'!H$3:H$504,"&lt;0"),0),-IF(A136="Halm",SUMIFS(IF(E136=År1,'Resultater - Østdanmark'!H$3:H$504,IF(E136=År2,'Resultater - Østdanmark'!I$3:I$504,'Resultater - Østdanmark'!J$3:J$504)),'Resultater - Østdanmark'!$F$3:$F$504,$A136,'Resultater - Østdanmark'!H$3:H$504,"&lt;0"),0))</f>
        <v>0</v>
      </c>
      <c r="J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forbrug'!J$3,'Forbrug af biomasse'!$B$2:$B$425,$F136)</f>
        <v>0</v>
      </c>
      <c r="K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forbrug'!K$3,'Forbrug af biomasse'!$B$2:$B$425,$F136)</f>
        <v>0</v>
      </c>
      <c r="L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forbrug'!L$3,'Forbrug af biomasse'!$B$2:$B$425,$F136)</f>
        <v>0</v>
      </c>
      <c r="M136" s="94">
        <f>IF(A136&lt;&gt;"Biogas",SUMIFS('Forbrug af biomasse'!$E$2:$E$425,'Forbrug af biomasse'!$C$2:$C$425,'Resultat-Produktion &amp; forbrug'!$A136,'Forbrug af biomasse'!$D$2:$D$425,'Resultat-Produktion &amp; forbrug'!$E136,'Forbrug af biomasse'!$A$2:$A$425,'Resultat-Produktion &amp; forbrug'!M$3,'Forbrug af biomasse'!$B$2:$B$425,$F136),G136)</f>
        <v>0</v>
      </c>
      <c r="N136" s="94">
        <f>SUMIFS('Forbrug af biomasse'!E:E,'Forbrug af biomasse'!C:C,'Resultat-Produktion &amp; forbrug'!$A136,'Forbrug af biomasse'!D:D,'Resultat-Produktion &amp; forbrug'!$E136,'Forbrug af biomasse'!G:G,1,'Forbrug af biomasse'!B:B,$F136)</f>
        <v>0</v>
      </c>
      <c r="O136" s="179">
        <f t="shared" si="26"/>
        <v>479696.91449896852</v>
      </c>
      <c r="P136" s="94">
        <f t="shared" si="43"/>
        <v>0</v>
      </c>
      <c r="Q136" s="180">
        <f t="shared" si="27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IF(A136&lt;&gt;"Biogas",IFERROR(VLOOKUP(A136,[1]Biogasudbytte!$A$2:$B$18,2,FALSE)*[1]Energiindhold!$C$10,0)*K136*IFERROR(VLOOKUP(A136,Biogasanlæg!$F$3:$G$8,2,FALSE),1)+IFERROR(VLOOKUP(A136,[1]Energiindhold!$A$2:$C$11,3,FALSE),0)*M136+IF(E136&lt;&gt;År1,R136,0),0)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28"/>
        <v>0</v>
      </c>
      <c r="V136" s="169">
        <f>P136*IFERROR(VLOOKUP(A136,[1]Tørstofindhold!A$2:B$24,2,FALSE),0)</f>
        <v>0</v>
      </c>
      <c r="W136">
        <f>IF(E136=År1,Q136,SUM(P136,Q136))*IFERROR(VLOOKUP(A136,[1]Tørstofindhold!A$2:B$24,2,FALSE),0)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29"/>
        <v>0</v>
      </c>
      <c r="Z136">
        <f t="shared" si="47"/>
        <v>0</v>
      </c>
      <c r="AA136">
        <f t="shared" si="48"/>
        <v>1</v>
      </c>
      <c r="AB136" s="94">
        <f t="shared" si="49"/>
        <v>479696.91449896852</v>
      </c>
      <c r="AC136">
        <f>AB136*D136*10000*VLOOKUP(A136,[1]kcal!$A$2:$C$49,3,FALSE)/1000000000000</f>
        <v>0</v>
      </c>
    </row>
    <row r="137" spans="1:29" x14ac:dyDescent="0.25">
      <c r="A137" s="171" t="str">
        <f t="shared" si="50"/>
        <v>Rapsolie</v>
      </c>
      <c r="B137" s="171" t="str">
        <f t="shared" si="51"/>
        <v>Rapsolie</v>
      </c>
      <c r="C137" s="171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71">
        <f t="shared" si="39"/>
        <v>1</v>
      </c>
      <c r="E137" s="171">
        <f t="shared" si="38"/>
        <v>2050</v>
      </c>
      <c r="F137" t="s">
        <v>23</v>
      </c>
      <c r="G137" s="94">
        <f>IF(F137="Vestdanmark",SUMIFS(IF(E137=År1,'Resultater - Vestdanmark'!H$3:H$504,IF(E137=År2,'Resultater - Vestdanmark'!I$3:I$504,'Resultater - Vestdanmark'!J$3:J$504)),'Resultater - Vestdanmark'!$F$3:$F$504,$A137,IF(E137=År1,'Resultater - Vestdanmark'!H$3:H$504,IF(E137=År2,'Resultater - Vestdanmark'!I$3:I$504,'Resultater - Vestdanmark'!J$3:J$504)),"&gt;0"),SUMIFS(IF(E137=År1,'Resultater - Østdanmark'!H$3:H$504,IF(E137=År2,'Resultater - Østdanmark'!I$3:I$504,'Resultater - Østdanmark'!J$3:J$504)),'Resultater - Østdanmark'!$F$3:$F$504,$A137,IF(E137=År1,'Resultater - Østdanmark'!H$3:H$504,IF(E137=År2,'Resultater - Østdanmark'!I$3:I$504,'Resultater - Østdanmark'!J$3:J$504)),"&gt;0"))</f>
        <v>318793.5100057816</v>
      </c>
      <c r="H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forbrug'!H$3,'Forbrug af biomasse'!$B$2:$B$425,$F137)</f>
        <v>0</v>
      </c>
      <c r="I137">
        <f>IF(F137="Vestdanmark",-IF(A137="Halm",SUMIFS(IF(E137=År1,'Resultater - Vestdanmark'!H$3:H$504,IF(E137=År2,'Resultater - Vestdanmark'!I$3:I$504,'Resultater - Vestdanmark'!J$3:J$504)),'Resultater - Vestdanmark'!$F$3:$F$504,$A137,'Resultater - Vestdanmark'!H$3:H$504,"&lt;0"),0),-IF(A137="Halm",SUMIFS(IF(E137=År1,'Resultater - Østdanmark'!H$3:H$504,IF(E137=År2,'Resultater - Østdanmark'!I$3:I$504,'Resultater - Østdanmark'!J$3:J$504)),'Resultater - Østdanmark'!$F$3:$F$504,$A137,'Resultater - Østdanmark'!H$3:H$504,"&lt;0"),0))</f>
        <v>0</v>
      </c>
      <c r="J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forbrug'!J$3,'Forbrug af biomasse'!$B$2:$B$425,$F137)</f>
        <v>0</v>
      </c>
      <c r="K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forbrug'!K$3,'Forbrug af biomasse'!$B$2:$B$425,$F137)</f>
        <v>0</v>
      </c>
      <c r="L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forbrug'!L$3,'Forbrug af biomasse'!$B$2:$B$425,$F137)</f>
        <v>0</v>
      </c>
      <c r="M137" s="94">
        <f>IF(A137&lt;&gt;"Biogas",SUMIFS('Forbrug af biomasse'!$E$2:$E$425,'Forbrug af biomasse'!$C$2:$C$425,'Resultat-Produktion &amp; forbrug'!$A137,'Forbrug af biomasse'!$D$2:$D$425,'Resultat-Produktion &amp; forbrug'!$E137,'Forbrug af biomasse'!$A$2:$A$425,'Resultat-Produktion &amp; forbrug'!M$3,'Forbrug af biomasse'!$B$2:$B$425,$F137),G137)</f>
        <v>318793.5100057816</v>
      </c>
      <c r="N137" s="94">
        <f>SUMIFS('Forbrug af biomasse'!E:E,'Forbrug af biomasse'!C:C,'Resultat-Produktion &amp; forbrug'!$A137,'Forbrug af biomasse'!D:D,'Resultat-Produktion &amp; forbrug'!$E137,'Forbrug af biomasse'!G:G,1,'Forbrug af biomasse'!B:B,$F137)</f>
        <v>0</v>
      </c>
      <c r="O137" s="179">
        <f t="shared" si="26"/>
        <v>0</v>
      </c>
      <c r="P137" s="94">
        <f t="shared" si="43"/>
        <v>0</v>
      </c>
      <c r="Q137" s="180">
        <f t="shared" si="27"/>
        <v>318793.5100057816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IF(A137&lt;&gt;"Biogas",IFERROR(VLOOKUP(A137,[1]Biogasudbytte!$A$2:$B$18,2,FALSE)*[1]Energiindhold!$C$10,0)*K137*IFERROR(VLOOKUP(A137,Biogasanlæg!$F$3:$G$8,2,FALSE),1)+IFERROR(VLOOKUP(A137,[1]Energiindhold!$A$2:$C$11,3,FALSE),0)*M137+IF(E137&lt;&gt;År1,R137,0),0)</f>
        <v>11.157772850202354</v>
      </c>
      <c r="T137">
        <f>IFERROR(VLOOKUP(A137,[1]Biogasudbytte!$A$2:$B$18,2,FALSE)*[1]Energiindhold!$C$10,0)*K137*IFERROR(VLOOKUP(A137,Biogasanlæg!$F$3:$G$8,2,FALSE),1)</f>
        <v>0</v>
      </c>
      <c r="U137" s="170">
        <f t="shared" si="28"/>
        <v>11.157772850202354</v>
      </c>
      <c r="V137" s="169">
        <f>P137*IFERROR(VLOOKUP(A137,[1]Tørstofindhold!A$2:B$24,2,FALSE),0)</f>
        <v>0</v>
      </c>
      <c r="W137">
        <f>IF(E137=År1,Q137,SUM(P137,Q137))*IFERROR(VLOOKUP(A137,[1]Tørstofindhold!A$2:B$24,2,FALSE),0)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29"/>
        <v>0</v>
      </c>
      <c r="Z137">
        <f t="shared" si="47"/>
        <v>0</v>
      </c>
      <c r="AA137">
        <f t="shared" si="48"/>
        <v>0</v>
      </c>
      <c r="AB137" s="94">
        <f t="shared" si="49"/>
        <v>318793.5100057816</v>
      </c>
      <c r="AC137">
        <f>AB137*D137*10000*VLOOKUP(A137,[1]kcal!$A$2:$C$49,3,FALSE)/1000000000000</f>
        <v>2.8691415900520347</v>
      </c>
    </row>
    <row r="138" spans="1:29" x14ac:dyDescent="0.25">
      <c r="A138" s="171" t="str">
        <f t="shared" si="50"/>
        <v>Roer</v>
      </c>
      <c r="B138" s="171" t="str">
        <f t="shared" si="51"/>
        <v>Græs og urter</v>
      </c>
      <c r="C138" s="171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1</v>
      </c>
      <c r="D138" s="171">
        <f t="shared" si="39"/>
        <v>1</v>
      </c>
      <c r="E138" s="171">
        <f t="shared" si="38"/>
        <v>2050</v>
      </c>
      <c r="F138" t="s">
        <v>23</v>
      </c>
      <c r="G138" s="94">
        <f>IF(F138="Vestdanmark",SUMIFS(IF(E138=År1,'Resultater - Vestdanmark'!H$3:H$504,IF(E138=År2,'Resultater - Vestdanmark'!I$3:I$504,'Resultater - Vestdanmark'!J$3:J$504)),'Resultater - Vestdanmark'!$F$3:$F$504,$A138,IF(E138=År1,'Resultater - Vestdanmark'!H$3:H$504,IF(E138=År2,'Resultater - Vestdanmark'!I$3:I$504,'Resultater - Vestdanmark'!J$3:J$504)),"&gt;0"),SUMIFS(IF(E138=År1,'Resultater - Østdanmark'!H$3:H$504,IF(E138=År2,'Resultater - Østdanmark'!I$3:I$504,'Resultater - Østdanmark'!J$3:J$504)),'Resultater - Østdanmark'!$F$3:$F$504,$A138,IF(E138=År1,'Resultater - Østdanmark'!H$3:H$504,IF(E138=År2,'Resultater - Østdanmark'!I$3:I$504,'Resultater - Østdanmark'!J$3:J$504)),"&gt;0"))</f>
        <v>328.27548713856038</v>
      </c>
      <c r="H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forbrug'!H$3,'Forbrug af biomasse'!$B$2:$B$425,$F138)</f>
        <v>72361.716514963497</v>
      </c>
      <c r="I138">
        <f>IF(F138="Vestdanmark",-IF(A138="Halm",SUMIFS(IF(E138=År1,'Resultater - Vestdanmark'!H$3:H$504,IF(E138=År2,'Resultater - Vestdanmark'!I$3:I$504,'Resultater - Vestdanmark'!J$3:J$504)),'Resultater - Vestdanmark'!$F$3:$F$504,$A138,'Resultater - Vestdanmark'!H$3:H$504,"&lt;0"),0),-IF(A138="Halm",SUMIFS(IF(E138=År1,'Resultater - Østdanmark'!H$3:H$504,IF(E138=År2,'Resultater - Østdanmark'!I$3:I$504,'Resultater - Østdanmark'!J$3:J$504)),'Resultater - Østdanmark'!$F$3:$F$504,$A138,'Resultater - Østdanmark'!H$3:H$504,"&lt;0"),0))</f>
        <v>0</v>
      </c>
      <c r="J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forbrug'!J$3,'Forbrug af biomasse'!$B$2:$B$425,$F138)</f>
        <v>0</v>
      </c>
      <c r="K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forbrug'!K$3,'Forbrug af biomasse'!$B$2:$B$425,$F138)</f>
        <v>0</v>
      </c>
      <c r="L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forbrug'!L$3,'Forbrug af biomasse'!$B$2:$B$425,$F138)</f>
        <v>0</v>
      </c>
      <c r="M138" s="94">
        <f>IF(A138&lt;&gt;"Biogas",SUMIFS('Forbrug af biomasse'!$E$2:$E$425,'Forbrug af biomasse'!$C$2:$C$425,'Resultat-Produktion &amp; forbrug'!$A138,'Forbrug af biomasse'!$D$2:$D$425,'Resultat-Produktion &amp; forbrug'!$E138,'Forbrug af biomasse'!$A$2:$A$425,'Resultat-Produktion &amp; forbrug'!M$3,'Forbrug af biomasse'!$B$2:$B$425,$F138),G138)</f>
        <v>0</v>
      </c>
      <c r="N138" s="94">
        <f>SUMIFS('Forbrug af biomasse'!E:E,'Forbrug af biomasse'!C:C,'Resultat-Produktion &amp; forbrug'!$A138,'Forbrug af biomasse'!D:D,'Resultat-Produktion &amp; forbrug'!$E138,'Forbrug af biomasse'!G:G,1,'Forbrug af biomasse'!B:B,$F138)</f>
        <v>0</v>
      </c>
      <c r="O138" s="179">
        <f t="shared" si="26"/>
        <v>-72033.441027824942</v>
      </c>
      <c r="P138" s="94">
        <f t="shared" si="43"/>
        <v>0</v>
      </c>
      <c r="Q138" s="180">
        <f t="shared" si="27"/>
        <v>0</v>
      </c>
      <c r="R138">
        <f>IFERROR(VLOOKUP(A138,[1]Energiindhold!$A$2:$C$11,3,FALSE),IFERROR(VLOOKUP(A138,[1]Biogasudbytte!$A$2:$B$18,2,FALSE)*[1]Energiindhold!$C$10,0))*P138</f>
        <v>0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IF(A138&lt;&gt;"Biogas",IFERROR(VLOOKUP(A138,[1]Biogasudbytte!$A$2:$B$18,2,FALSE)*[1]Energiindhold!$C$10,0)*K138*IFERROR(VLOOKUP(A138,Biogasanlæg!$F$3:$G$8,2,FALSE),1)+IFERROR(VLOOKUP(A138,[1]Energiindhold!$A$2:$C$11,3,FALSE),0)*M138+IF(E138&lt;&gt;År1,R138,0),0)</f>
        <v>0</v>
      </c>
      <c r="T138">
        <f>IFERROR(VLOOKUP(A138,[1]Biogasudbytte!$A$2:$B$18,2,FALSE)*[1]Energiindhold!$C$10,0)*K138*IFERROR(VLOOKUP(A138,Biogasanlæg!$F$3:$G$8,2,FALSE),1)</f>
        <v>0</v>
      </c>
      <c r="U138" s="170">
        <f t="shared" si="28"/>
        <v>0</v>
      </c>
      <c r="V138" s="169">
        <f>P138*IFERROR(VLOOKUP(A138,[1]Tørstofindhold!A$2:B$24,2,FALSE),0)</f>
        <v>0</v>
      </c>
      <c r="W138">
        <f>IF(E138=År1,Q138,SUM(P138,Q138))*IFERROR(VLOOKUP(A138,[1]Tørstofindhold!A$2:B$24,2,FALSE),0)</f>
        <v>0</v>
      </c>
      <c r="X138">
        <f>K138*IFERROR(VLOOKUP(A138,[1]Tørstofindhold!A$2:B$24,2,FALSE),0)</f>
        <v>0</v>
      </c>
      <c r="Y138" s="170">
        <f t="shared" si="29"/>
        <v>0</v>
      </c>
      <c r="Z138">
        <f t="shared" si="47"/>
        <v>1</v>
      </c>
      <c r="AA138">
        <f t="shared" si="48"/>
        <v>0</v>
      </c>
      <c r="AB138" s="94">
        <f t="shared" si="49"/>
        <v>-72033.441027824942</v>
      </c>
      <c r="AC138">
        <f>AB138*D138*10000*VLOOKUP(A138,[1]kcal!$A$2:$C$49,3,FALSE)/1000000000000</f>
        <v>-2.1610032308347481E-2</v>
      </c>
    </row>
    <row r="139" spans="1:29" x14ac:dyDescent="0.25">
      <c r="A139" s="171" t="str">
        <f t="shared" si="50"/>
        <v>Slagteriaffald til andet</v>
      </c>
      <c r="B139" s="171" t="str">
        <f t="shared" si="51"/>
        <v/>
      </c>
      <c r="C139" s="171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71">
        <f t="shared" si="39"/>
        <v>0</v>
      </c>
      <c r="E139" s="171">
        <f t="shared" si="38"/>
        <v>2050</v>
      </c>
      <c r="F139" t="s">
        <v>23</v>
      </c>
      <c r="G139" s="94">
        <f>IF(F139="Vestdanmark",SUMIFS(IF(E139=År1,'Resultater - Vestdanmark'!H$3:H$504,IF(E139=År2,'Resultater - Vestdanmark'!I$3:I$504,'Resultater - Vestdanmark'!J$3:J$504)),'Resultater - Vestdanmark'!$F$3:$F$504,$A139,IF(E139=År1,'Resultater - Vestdanmark'!H$3:H$504,IF(E139=År2,'Resultater - Vestdanmark'!I$3:I$504,'Resultater - Vestdanmark'!J$3:J$504)),"&gt;0"),SUMIFS(IF(E139=År1,'Resultater - Østdanmark'!H$3:H$504,IF(E139=År2,'Resultater - Østdanmark'!I$3:I$504,'Resultater - Østdanmark'!J$3:J$504)),'Resultater - Østdanmark'!$F$3:$F$504,$A139,IF(E139=År1,'Resultater - Østdanmark'!H$3:H$504,IF(E139=År2,'Resultater - Østdanmark'!I$3:I$504,'Resultater - Østdanmark'!J$3:J$504)),"&gt;0"))</f>
        <v>5271.9252933549069</v>
      </c>
      <c r="H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forbrug'!H$3,'Forbrug af biomasse'!$B$2:$B$425,$F139)</f>
        <v>0</v>
      </c>
      <c r="I139">
        <f>IF(F139="Vestdanmark",-IF(A139="Halm",SUMIFS(IF(E139=År1,'Resultater - Vestdanmark'!H$3:H$504,IF(E139=År2,'Resultater - Vestdanmark'!I$3:I$504,'Resultater - Vestdanmark'!J$3:J$504)),'Resultater - Vestdanmark'!$F$3:$F$504,$A139,'Resultater - Vestdanmark'!H$3:H$504,"&lt;0"),0),-IF(A139="Halm",SUMIFS(IF(E139=År1,'Resultater - Østdanmark'!H$3:H$504,IF(E139=År2,'Resultater - Østdanmark'!I$3:I$504,'Resultater - Østdanmark'!J$3:J$504)),'Resultater - Østdanmark'!$F$3:$F$504,$A139,'Resultater - Østdanmark'!H$3:H$504,"&lt;0"),0))</f>
        <v>0</v>
      </c>
      <c r="J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forbrug'!J$3,'Forbrug af biomasse'!$B$2:$B$425,$F139)</f>
        <v>0</v>
      </c>
      <c r="K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forbrug'!K$3,'Forbrug af biomasse'!$B$2:$B$425,$F139)</f>
        <v>0</v>
      </c>
      <c r="L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forbrug'!L$3,'Forbrug af biomasse'!$B$2:$B$425,$F139)</f>
        <v>0</v>
      </c>
      <c r="M139" s="94">
        <f>IF(A139&lt;&gt;"Biogas",SUMIFS('Forbrug af biomasse'!$E$2:$E$425,'Forbrug af biomasse'!$C$2:$C$425,'Resultat-Produktion &amp; forbrug'!$A139,'Forbrug af biomasse'!$D$2:$D$425,'Resultat-Produktion &amp; forbrug'!$E139,'Forbrug af biomasse'!$A$2:$A$425,'Resultat-Produktion &amp; forbrug'!M$3,'Forbrug af biomasse'!$B$2:$B$425,$F139),G139)</f>
        <v>0</v>
      </c>
      <c r="N139" s="94">
        <f>SUMIFS('Forbrug af biomasse'!E:E,'Forbrug af biomasse'!C:C,'Resultat-Produktion &amp; forbrug'!$A139,'Forbrug af biomasse'!D:D,'Resultat-Produktion &amp; forbrug'!$E139,'Forbrug af biomasse'!G:G,1,'Forbrug af biomasse'!B:B,$F139)</f>
        <v>0</v>
      </c>
      <c r="O139" s="179">
        <f t="shared" si="26"/>
        <v>5271.9252933549069</v>
      </c>
      <c r="P139" s="94">
        <f t="shared" si="43"/>
        <v>0</v>
      </c>
      <c r="Q139" s="180">
        <f t="shared" si="27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IF(A139&lt;&gt;"Biogas",IFERROR(VLOOKUP(A139,[1]Biogasudbytte!$A$2:$B$18,2,FALSE)*[1]Energiindhold!$C$10,0)*K139*IFERROR(VLOOKUP(A139,Biogasanlæg!$F$3:$G$8,2,FALSE),1)+IFERROR(VLOOKUP(A139,[1]Energiindhold!$A$2:$C$11,3,FALSE),0)*M139+IF(E139&lt;&gt;År1,R139,0),0)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28"/>
        <v>0</v>
      </c>
      <c r="V139" s="169">
        <f>P139*IFERROR(VLOOKUP(A139,[1]Tørstofindhold!A$2:B$24,2,FALSE),0)</f>
        <v>0</v>
      </c>
      <c r="W139">
        <f>IF(E139=År1,Q139,SUM(P139,Q139))*IFERROR(VLOOKUP(A139,[1]Tørstofindhold!A$2:B$24,2,FALSE),0)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29"/>
        <v>0</v>
      </c>
      <c r="Z139">
        <f t="shared" si="47"/>
        <v>0</v>
      </c>
      <c r="AA139">
        <f t="shared" si="48"/>
        <v>1</v>
      </c>
      <c r="AB139" s="94">
        <f t="shared" si="49"/>
        <v>5271.9252933549069</v>
      </c>
      <c r="AC139">
        <f>AB139*D139*10000*VLOOKUP(A139,[1]kcal!$A$2:$C$49,3,FALSE)/1000000000000</f>
        <v>0</v>
      </c>
    </row>
    <row r="140" spans="1:29" x14ac:dyDescent="0.25">
      <c r="A140" s="171" t="str">
        <f t="shared" si="50"/>
        <v>Slagteriaffald til foder</v>
      </c>
      <c r="B140" s="171" t="str">
        <f t="shared" si="51"/>
        <v/>
      </c>
      <c r="C140" s="171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0</v>
      </c>
      <c r="D140" s="171">
        <f t="shared" si="39"/>
        <v>0</v>
      </c>
      <c r="E140" s="171">
        <f t="shared" si="38"/>
        <v>2050</v>
      </c>
      <c r="F140" t="s">
        <v>23</v>
      </c>
      <c r="G140" s="94">
        <f>IF(F140="Vestdanmark",SUMIFS(IF(E140=År1,'Resultater - Vestdanmark'!H$3:H$504,IF(E140=År2,'Resultater - Vestdanmark'!I$3:I$504,'Resultater - Vestdanmark'!J$3:J$504)),'Resultater - Vestdanmark'!$F$3:$F$504,$A140,IF(E140=År1,'Resultater - Vestdanmark'!H$3:H$504,IF(E140=År2,'Resultater - Vestdanmark'!I$3:I$504,'Resultater - Vestdanmark'!J$3:J$504)),"&gt;0"),SUMIFS(IF(E140=År1,'Resultater - Østdanmark'!H$3:H$504,IF(E140=År2,'Resultater - Østdanmark'!I$3:I$504,'Resultater - Østdanmark'!J$3:J$504)),'Resultater - Østdanmark'!$F$3:$F$504,$A140,IF(E140=År1,'Resultater - Østdanmark'!H$3:H$504,IF(E140=År2,'Resultater - Østdanmark'!I$3:I$504,'Resultater - Østdanmark'!J$3:J$504)),"&gt;0"))</f>
        <v>3160.1886401433912</v>
      </c>
      <c r="H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forbrug'!H$3,'Forbrug af biomasse'!$B$2:$B$425,$F140)</f>
        <v>3390.7513595936034</v>
      </c>
      <c r="I140">
        <f>IF(F140="Vestdanmark",-IF(A140="Halm",SUMIFS(IF(E140=År1,'Resultater - Vestdanmark'!H$3:H$504,IF(E140=År2,'Resultater - Vestdanmark'!I$3:I$504,'Resultater - Vestdanmark'!J$3:J$504)),'Resultater - Vestdanmark'!$F$3:$F$504,$A140,'Resultater - Vestdanmark'!H$3:H$504,"&lt;0"),0),-IF(A140="Halm",SUMIFS(IF(E140=År1,'Resultater - Østdanmark'!H$3:H$504,IF(E140=År2,'Resultater - Østdanmark'!I$3:I$504,'Resultater - Østdanmark'!J$3:J$504)),'Resultater - Østdanmark'!$F$3:$F$504,$A140,'Resultater - Østdanmark'!H$3:H$504,"&lt;0"),0))</f>
        <v>0</v>
      </c>
      <c r="J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forbrug'!J$3,'Forbrug af biomasse'!$B$2:$B$425,$F140)</f>
        <v>0</v>
      </c>
      <c r="K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forbrug'!K$3,'Forbrug af biomasse'!$B$2:$B$425,$F140)</f>
        <v>0</v>
      </c>
      <c r="L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forbrug'!L$3,'Forbrug af biomasse'!$B$2:$B$425,$F140)</f>
        <v>0</v>
      </c>
      <c r="M140" s="94">
        <f>IF(A140&lt;&gt;"Biogas",SUMIFS('Forbrug af biomasse'!$E$2:$E$425,'Forbrug af biomasse'!$C$2:$C$425,'Resultat-Produktion &amp; forbrug'!$A140,'Forbrug af biomasse'!$D$2:$D$425,'Resultat-Produktion &amp; forbrug'!$E140,'Forbrug af biomasse'!$A$2:$A$425,'Resultat-Produktion &amp; forbrug'!M$3,'Forbrug af biomasse'!$B$2:$B$425,$F140),G140)</f>
        <v>0</v>
      </c>
      <c r="N140" s="94">
        <f>SUMIFS('Forbrug af biomasse'!E:E,'Forbrug af biomasse'!C:C,'Resultat-Produktion &amp; forbrug'!$A140,'Forbrug af biomasse'!D:D,'Resultat-Produktion &amp; forbrug'!$E140,'Forbrug af biomasse'!G:G,1,'Forbrug af biomasse'!B:B,$F140)</f>
        <v>0</v>
      </c>
      <c r="O140" s="179">
        <f t="shared" si="26"/>
        <v>-230.56271945021217</v>
      </c>
      <c r="P140" s="94">
        <f t="shared" si="43"/>
        <v>0</v>
      </c>
      <c r="Q140" s="180">
        <f t="shared" si="27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IF(A140&lt;&gt;"Biogas",IFERROR(VLOOKUP(A140,[1]Biogasudbytte!$A$2:$B$18,2,FALSE)*[1]Energiindhold!$C$10,0)*K140*IFERROR(VLOOKUP(A140,Biogasanlæg!$F$3:$G$8,2,FALSE),1)+IFERROR(VLOOKUP(A140,[1]Energiindhold!$A$2:$C$11,3,FALSE),0)*M140+IF(E140&lt;&gt;År1,R140,0),0)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28"/>
        <v>0</v>
      </c>
      <c r="V140" s="169">
        <f>P140*IFERROR(VLOOKUP(A140,[1]Tørstofindhold!A$2:B$24,2,FALSE),0)</f>
        <v>0</v>
      </c>
      <c r="W140">
        <f>IF(E140=År1,Q140,SUM(P140,Q140))*IFERROR(VLOOKUP(A140,[1]Tørstofindhold!A$2:B$24,2,FALSE),0)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29"/>
        <v>0</v>
      </c>
      <c r="Z140">
        <f t="shared" si="47"/>
        <v>1</v>
      </c>
      <c r="AA140">
        <f t="shared" si="48"/>
        <v>0</v>
      </c>
      <c r="AB140" s="94">
        <f t="shared" si="49"/>
        <v>-230.56271945021217</v>
      </c>
      <c r="AC140">
        <f>AB140*D140*10000*VLOOKUP(A140,[1]kcal!$A$2:$C$49,3,FALSE)/1000000000000</f>
        <v>0</v>
      </c>
    </row>
    <row r="141" spans="1:29" x14ac:dyDescent="0.25">
      <c r="A141" s="171" t="str">
        <f t="shared" si="50"/>
        <v>Spildevandsslam</v>
      </c>
      <c r="B141" s="171" t="str">
        <f t="shared" si="51"/>
        <v>Bionedbrydeligt affald</v>
      </c>
      <c r="C141" s="171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71">
        <f t="shared" si="39"/>
        <v>0</v>
      </c>
      <c r="E141" s="171">
        <f t="shared" si="38"/>
        <v>2050</v>
      </c>
      <c r="F141" t="s">
        <v>23</v>
      </c>
      <c r="G141" s="94">
        <f>IF(F141="Vestdanmark",SUMIFS(IF(E141=År1,'Resultater - Vestdanmark'!H$3:H$504,IF(E141=År2,'Resultater - Vestdanmark'!I$3:I$504,'Resultater - Vestdanmark'!J$3:J$504)),'Resultater - Vestdanmark'!$F$3:$F$504,$A141,IF(E141=År1,'Resultater - Vestdanmark'!H$3:H$504,IF(E141=År2,'Resultater - Vestdanmark'!I$3:I$504,'Resultater - Vestdanmark'!J$3:J$504)),"&gt;0"),SUMIFS(IF(E141=År1,'Resultater - Østdanmark'!H$3:H$504,IF(E141=År2,'Resultater - Østdanmark'!I$3:I$504,'Resultater - Østdanmark'!J$3:J$504)),'Resultater - Østdanmark'!$F$3:$F$504,$A141,IF(E141=År1,'Resultater - Østdanmark'!H$3:H$504,IF(E141=År2,'Resultater - Østdanmark'!I$3:I$504,'Resultater - Østdanmark'!J$3:J$504)),"&gt;0"))</f>
        <v>4009828.1565030687</v>
      </c>
      <c r="H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forbrug'!H$3,'Forbrug af biomasse'!$B$2:$B$425,$F141)</f>
        <v>0</v>
      </c>
      <c r="I141">
        <f>IF(F141="Vestdanmark",-IF(A141="Halm",SUMIFS(IF(E141=År1,'Resultater - Vestdanmark'!H$3:H$504,IF(E141=År2,'Resultater - Vestdanmark'!I$3:I$504,'Resultater - Vestdanmark'!J$3:J$504)),'Resultater - Vestdanmark'!$F$3:$F$504,$A141,'Resultater - Vestdanmark'!H$3:H$504,"&lt;0"),0),-IF(A141="Halm",SUMIFS(IF(E141=År1,'Resultater - Østdanmark'!H$3:H$504,IF(E141=År2,'Resultater - Østdanmark'!I$3:I$504,'Resultater - Østdanmark'!J$3:J$504)),'Resultater - Østdanmark'!$F$3:$F$504,$A141,'Resultater - Østdanmark'!H$3:H$504,"&lt;0"),0))</f>
        <v>0</v>
      </c>
      <c r="J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forbrug'!J$3,'Forbrug af biomasse'!$B$2:$B$425,$F141)</f>
        <v>0</v>
      </c>
      <c r="K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forbrug'!K$3,'Forbrug af biomasse'!$B$2:$B$425,$F141)</f>
        <v>3608845.3408527621</v>
      </c>
      <c r="L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forbrug'!L$3,'Forbrug af biomasse'!$B$2:$B$425,$F141)</f>
        <v>0</v>
      </c>
      <c r="M141" s="94">
        <f>IF(A141&lt;&gt;"Biogas",SUMIFS('Forbrug af biomasse'!$E$2:$E$425,'Forbrug af biomasse'!$C$2:$C$425,'Resultat-Produktion &amp; forbrug'!$A141,'Forbrug af biomasse'!$D$2:$D$425,'Resultat-Produktion &amp; forbrug'!$E141,'Forbrug af biomasse'!$A$2:$A$425,'Resultat-Produktion &amp; forbrug'!M$3,'Forbrug af biomasse'!$B$2:$B$425,$F141),G141)</f>
        <v>0</v>
      </c>
      <c r="N141" s="94">
        <f>SUMIFS('Forbrug af biomasse'!E:E,'Forbrug af biomasse'!C:C,'Resultat-Produktion &amp; forbrug'!$A141,'Forbrug af biomasse'!D:D,'Resultat-Produktion &amp; forbrug'!$E141,'Forbrug af biomasse'!G:G,1,'Forbrug af biomasse'!B:B,$F141)</f>
        <v>0</v>
      </c>
      <c r="O141" s="179">
        <f t="shared" si="26"/>
        <v>400982.81565030664</v>
      </c>
      <c r="P141" s="94">
        <f t="shared" si="43"/>
        <v>400982.81565030664</v>
      </c>
      <c r="Q141" s="180">
        <f t="shared" si="27"/>
        <v>3608845.3408527621</v>
      </c>
      <c r="R141">
        <f>IFERROR(VLOOKUP(A141,[1]Energiindhold!$A$2:$C$11,3,FALSE),IFERROR(VLOOKUP(A141,[1]Biogasudbytte!$A$2:$B$18,2,FALSE)*[1]Energiindhold!$C$10,0))*P141</f>
        <v>0.20009443483765954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IF(A141&lt;&gt;"Biogas",IFERROR(VLOOKUP(A141,[1]Biogasudbytte!$A$2:$B$18,2,FALSE)*[1]Energiindhold!$C$10,0)*K141*IFERROR(VLOOKUP(A141,Biogasanlæg!$F$3:$G$8,2,FALSE),1)+IFERROR(VLOOKUP(A141,[1]Energiindhold!$A$2:$C$11,3,FALSE),0)*M141+IF(E141&lt;&gt;År1,R141,0),0)</f>
        <v>2.0009443483765965</v>
      </c>
      <c r="T141">
        <f>IFERROR(VLOOKUP(A141,[1]Biogasudbytte!$A$2:$B$18,2,FALSE)*[1]Energiindhold!$C$10,0)*K141*IFERROR(VLOOKUP(A141,Biogasanlæg!$F$3:$G$8,2,FALSE),1)</f>
        <v>1.8008499135389371</v>
      </c>
      <c r="U141" s="170">
        <f t="shared" si="28"/>
        <v>0.20009443483765943</v>
      </c>
      <c r="V141" s="169">
        <f>P141*IFERROR(VLOOKUP(A141,[1]Tørstofindhold!A$2:B$24,2,FALSE),0)</f>
        <v>24058.968939018399</v>
      </c>
      <c r="W141">
        <f>IF(E141=År1,Q141,SUM(P141,Q141))*IFERROR(VLOOKUP(A141,[1]Tørstofindhold!A$2:B$24,2,FALSE),0)</f>
        <v>240589.68939018412</v>
      </c>
      <c r="X141">
        <f>K141*IFERROR(VLOOKUP(A141,[1]Tørstofindhold!A$2:B$24,2,FALSE),0)</f>
        <v>216530.72045116572</v>
      </c>
      <c r="Y141" s="170">
        <f t="shared" si="29"/>
        <v>24058.968939018407</v>
      </c>
      <c r="Z141">
        <f t="shared" si="47"/>
        <v>0</v>
      </c>
      <c r="AA141">
        <f t="shared" si="48"/>
        <v>1</v>
      </c>
      <c r="AB141" s="94">
        <f t="shared" si="49"/>
        <v>400982.81565030664</v>
      </c>
      <c r="AC141">
        <f>AB141*D141*10000*VLOOKUP(A141,[1]kcal!$A$2:$C$49,3,FALSE)/1000000000000</f>
        <v>0</v>
      </c>
    </row>
    <row r="142" spans="1:29" x14ac:dyDescent="0.25">
      <c r="A142" s="171" t="str">
        <f t="shared" si="50"/>
        <v>Svinegylle</v>
      </c>
      <c r="B142" s="171" t="str">
        <f t="shared" si="51"/>
        <v>Husdyrgødning</v>
      </c>
      <c r="C142" s="171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1</v>
      </c>
      <c r="D142" s="171">
        <f t="shared" si="39"/>
        <v>0</v>
      </c>
      <c r="E142" s="171">
        <f t="shared" si="38"/>
        <v>2050</v>
      </c>
      <c r="F142" t="s">
        <v>23</v>
      </c>
      <c r="G142" s="94">
        <f>IF(F142="Vestdanmark",SUMIFS(IF(E142=År1,'Resultater - Vestdanmark'!H$3:H$504,IF(E142=År2,'Resultater - Vestdanmark'!I$3:I$504,'Resultater - Vestdanmark'!J$3:J$504)),'Resultater - Vestdanmark'!$F$3:$F$504,$A142,IF(E142=År1,'Resultater - Vestdanmark'!H$3:H$504,IF(E142=År2,'Resultater - Vestdanmark'!I$3:I$504,'Resultater - Vestdanmark'!J$3:J$504)),"&gt;0"),SUMIFS(IF(E142=År1,'Resultater - Østdanmark'!H$3:H$504,IF(E142=År2,'Resultater - Østdanmark'!I$3:I$504,'Resultater - Østdanmark'!J$3:J$504)),'Resultater - Østdanmark'!$F$3:$F$504,$A142,IF(E142=År1,'Resultater - Østdanmark'!H$3:H$504,IF(E142=År2,'Resultater - Østdanmark'!I$3:I$504,'Resultater - Østdanmark'!J$3:J$504)),"&gt;0"))</f>
        <v>0</v>
      </c>
      <c r="H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forbrug'!H$3,'Forbrug af biomasse'!$B$2:$B$425,$F142)</f>
        <v>0</v>
      </c>
      <c r="I142">
        <f>IF(F142="Vestdanmark",-IF(A142="Halm",SUMIFS(IF(E142=År1,'Resultater - Vestdanmark'!H$3:H$504,IF(E142=År2,'Resultater - Vestdanmark'!I$3:I$504,'Resultater - Vestdanmark'!J$3:J$504)),'Resultater - Vestdanmark'!$F$3:$F$504,$A142,'Resultater - Vestdanmark'!H$3:H$504,"&lt;0"),0),-IF(A142="Halm",SUMIFS(IF(E142=År1,'Resultater - Østdanmark'!H$3:H$504,IF(E142=År2,'Resultater - Østdanmark'!I$3:I$504,'Resultater - Østdanmark'!J$3:J$504)),'Resultater - Østdanmark'!$F$3:$F$504,$A142,'Resultater - Østdanmark'!H$3:H$504,"&lt;0"),0))</f>
        <v>0</v>
      </c>
      <c r="J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forbrug'!J$3,'Forbrug af biomasse'!$B$2:$B$425,$F142)</f>
        <v>0</v>
      </c>
      <c r="K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forbrug'!K$3,'Forbrug af biomasse'!$B$2:$B$425,$F142)</f>
        <v>0</v>
      </c>
      <c r="L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forbrug'!L$3,'Forbrug af biomasse'!$B$2:$B$425,$F142)</f>
        <v>0</v>
      </c>
      <c r="M142" s="94">
        <f>IF(A142&lt;&gt;"Biogas",SUMIFS('Forbrug af biomasse'!$E$2:$E$425,'Forbrug af biomasse'!$C$2:$C$425,'Resultat-Produktion &amp; forbrug'!$A142,'Forbrug af biomasse'!$D$2:$D$425,'Resultat-Produktion &amp; forbrug'!$E142,'Forbrug af biomasse'!$A$2:$A$425,'Resultat-Produktion &amp; forbrug'!M$3,'Forbrug af biomasse'!$B$2:$B$425,$F142),G142)</f>
        <v>0</v>
      </c>
      <c r="N142" s="94">
        <f>SUMIFS('Forbrug af biomasse'!E:E,'Forbrug af biomasse'!C:C,'Resultat-Produktion &amp; forbrug'!$A142,'Forbrug af biomasse'!D:D,'Resultat-Produktion &amp; forbrug'!$E142,'Forbrug af biomasse'!G:G,1,'Forbrug af biomasse'!B:B,$F142)</f>
        <v>0</v>
      </c>
      <c r="O142" s="179">
        <f t="shared" si="26"/>
        <v>0</v>
      </c>
      <c r="P142" s="94">
        <f t="shared" si="43"/>
        <v>0</v>
      </c>
      <c r="Q142" s="180">
        <f t="shared" si="27"/>
        <v>0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IF(A142&lt;&gt;"Biogas",IFERROR(VLOOKUP(A142,[1]Biogasudbytte!$A$2:$B$18,2,FALSE)*[1]Energiindhold!$C$10,0)*K142*IFERROR(VLOOKUP(A142,Biogasanlæg!$F$3:$G$8,2,FALSE),1)+IFERROR(VLOOKUP(A142,[1]Energiindhold!$A$2:$C$11,3,FALSE),0)*M142+IF(E142&lt;&gt;År1,R142,0),0)</f>
        <v>0</v>
      </c>
      <c r="T142">
        <f>IFERROR(VLOOKUP(A142,[1]Biogasudbytte!$A$2:$B$18,2,FALSE)*[1]Energiindhold!$C$10,0)*K142*IFERROR(VLOOKUP(A142,Biogasanlæg!$F$3:$G$8,2,FALSE),1)</f>
        <v>0</v>
      </c>
      <c r="U142" s="170">
        <f t="shared" si="28"/>
        <v>0</v>
      </c>
      <c r="V142" s="169">
        <f>P142*IFERROR(VLOOKUP(A142,[1]Tørstofindhold!A$2:B$24,2,FALSE),0)</f>
        <v>0</v>
      </c>
      <c r="W142">
        <f>IF(E142=År1,Q142,SUM(P142,Q142))*IFERROR(VLOOKUP(A142,[1]Tørstofindhold!A$2:B$24,2,FALSE),0)</f>
        <v>0</v>
      </c>
      <c r="X142">
        <f>K142*IFERROR(VLOOKUP(A142,[1]Tørstofindhold!A$2:B$24,2,FALSE),0)</f>
        <v>0</v>
      </c>
      <c r="Y142" s="170">
        <f t="shared" si="29"/>
        <v>0</v>
      </c>
      <c r="Z142">
        <f t="shared" si="47"/>
        <v>0</v>
      </c>
      <c r="AA142">
        <f t="shared" si="48"/>
        <v>0</v>
      </c>
      <c r="AB142" s="94">
        <f t="shared" si="49"/>
        <v>0</v>
      </c>
      <c r="AC142">
        <f>AB142*D142*10000*VLOOKUP(A142,[1]kcal!$A$2:$C$49,3,FALSE)/1000000000000</f>
        <v>0</v>
      </c>
    </row>
    <row r="143" spans="1:29" x14ac:dyDescent="0.25">
      <c r="A143" s="171" t="str">
        <f t="shared" si="50"/>
        <v>Svinekød</v>
      </c>
      <c r="B143" s="171" t="str">
        <f t="shared" si="51"/>
        <v/>
      </c>
      <c r="C143" s="171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0</v>
      </c>
      <c r="D143" s="171">
        <f t="shared" si="39"/>
        <v>1</v>
      </c>
      <c r="E143" s="171">
        <f t="shared" si="38"/>
        <v>2050</v>
      </c>
      <c r="F143" t="s">
        <v>23</v>
      </c>
      <c r="G143" s="94">
        <f>IF(F143="Vestdanmark",SUMIFS(IF(E143=År1,'Resultater - Vestdanmark'!H$3:H$504,IF(E143=År2,'Resultater - Vestdanmark'!I$3:I$504,'Resultater - Vestdanmark'!J$3:J$504)),'Resultater - Vestdanmark'!$F$3:$F$504,$A143,IF(E143=År1,'Resultater - Vestdanmark'!H$3:H$504,IF(E143=År2,'Resultater - Vestdanmark'!I$3:I$504,'Resultater - Vestdanmark'!J$3:J$504)),"&gt;0"),SUMIFS(IF(E143=År1,'Resultater - Østdanmark'!H$3:H$504,IF(E143=År2,'Resultater - Østdanmark'!I$3:I$504,'Resultater - Østdanmark'!J$3:J$504)),'Resultater - Østdanmark'!$F$3:$F$504,$A143,IF(E143=År1,'Resultater - Østdanmark'!H$3:H$504,IF(E143=År2,'Resultater - Østdanmark'!I$3:I$504,'Resultater - Østdanmark'!J$3:J$504)),"&gt;0"))</f>
        <v>32835.498607746944</v>
      </c>
      <c r="H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forbrug'!H$3,'Forbrug af biomasse'!$B$2:$B$425,$F143)</f>
        <v>0</v>
      </c>
      <c r="I143">
        <f>IF(F143="Vestdanmark",-IF(A143="Halm",SUMIFS(IF(E143=År1,'Resultater - Vestdanmark'!H$3:H$504,IF(E143=År2,'Resultater - Vestdanmark'!I$3:I$504,'Resultater - Vestdanmark'!J$3:J$504)),'Resultater - Vestdanmark'!$F$3:$F$504,$A143,'Resultater - Vestdanmark'!H$3:H$504,"&lt;0"),0),-IF(A143="Halm",SUMIFS(IF(E143=År1,'Resultater - Østdanmark'!H$3:H$504,IF(E143=År2,'Resultater - Østdanmark'!I$3:I$504,'Resultater - Østdanmark'!J$3:J$504)),'Resultater - Østdanmark'!$F$3:$F$504,$A143,'Resultater - Østdanmark'!H$3:H$504,"&lt;0"),0))</f>
        <v>0</v>
      </c>
      <c r="J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forbrug'!J$3,'Forbrug af biomasse'!$B$2:$B$425,$F143)</f>
        <v>126627.09194270898</v>
      </c>
      <c r="K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forbrug'!K$3,'Forbrug af biomasse'!$B$2:$B$425,$F143)</f>
        <v>0</v>
      </c>
      <c r="L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forbrug'!L$3,'Forbrug af biomasse'!$B$2:$B$425,$F143)</f>
        <v>0</v>
      </c>
      <c r="M143" s="94">
        <f>IF(A143&lt;&gt;"Biogas",SUMIFS('Forbrug af biomasse'!$E$2:$E$425,'Forbrug af biomasse'!$C$2:$C$425,'Resultat-Produktion &amp; forbrug'!$A143,'Forbrug af biomasse'!$D$2:$D$425,'Resultat-Produktion &amp; forbrug'!$E143,'Forbrug af biomasse'!$A$2:$A$425,'Resultat-Produktion &amp; forbrug'!M$3,'Forbrug af biomasse'!$B$2:$B$425,$F143),G143)</f>
        <v>0</v>
      </c>
      <c r="N143" s="94">
        <f>SUMIFS('Forbrug af biomasse'!E:E,'Forbrug af biomasse'!C:C,'Resultat-Produktion &amp; forbrug'!$A143,'Forbrug af biomasse'!D:D,'Resultat-Produktion &amp; forbrug'!$E143,'Forbrug af biomasse'!G:G,1,'Forbrug af biomasse'!B:B,$F143)</f>
        <v>0</v>
      </c>
      <c r="O143" s="179">
        <f t="shared" si="26"/>
        <v>-93791.593334962032</v>
      </c>
      <c r="P143" s="94">
        <f t="shared" si="43"/>
        <v>0</v>
      </c>
      <c r="Q143" s="180">
        <f t="shared" si="27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IF(A143&lt;&gt;"Biogas",IFERROR(VLOOKUP(A143,[1]Biogasudbytte!$A$2:$B$18,2,FALSE)*[1]Energiindhold!$C$10,0)*K143*IFERROR(VLOOKUP(A143,Biogasanlæg!$F$3:$G$8,2,FALSE),1)+IFERROR(VLOOKUP(A143,[1]Energiindhold!$A$2:$C$11,3,FALSE),0)*M143+IF(E143&lt;&gt;År1,R143,0),0)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28"/>
        <v>0</v>
      </c>
      <c r="V143" s="169">
        <f>P143*IFERROR(VLOOKUP(A143,[1]Tørstofindhold!A$2:B$24,2,FALSE),0)</f>
        <v>0</v>
      </c>
      <c r="W143">
        <f>IF(E143=År1,Q143,SUM(P143,Q143))*IFERROR(VLOOKUP(A143,[1]Tørstofindhold!A$2:B$24,2,FALSE),0)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29"/>
        <v>0</v>
      </c>
      <c r="Z143">
        <f t="shared" si="47"/>
        <v>1</v>
      </c>
      <c r="AA143">
        <f t="shared" si="48"/>
        <v>0</v>
      </c>
      <c r="AB143" s="94">
        <f t="shared" si="49"/>
        <v>32835.498607746944</v>
      </c>
      <c r="AC143">
        <f>AB143*D143*10000*VLOOKUP(A143,[1]kcal!$A$2:$C$49,3,FALSE)/1000000000000</f>
        <v>6.4029222285106546E-2</v>
      </c>
    </row>
    <row r="144" spans="1:29" x14ac:dyDescent="0.25">
      <c r="A144" s="171" t="str">
        <f t="shared" si="50"/>
        <v>Tang</v>
      </c>
      <c r="B144" s="171" t="str">
        <f t="shared" si="51"/>
        <v>Havbiomasse</v>
      </c>
      <c r="C144" s="171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71">
        <f t="shared" si="39"/>
        <v>1</v>
      </c>
      <c r="E144" s="171">
        <f t="shared" si="38"/>
        <v>2050</v>
      </c>
      <c r="F144" t="s">
        <v>23</v>
      </c>
      <c r="G144" s="94">
        <f>IF(F144="Vestdanmark",SUMIFS(IF(E144=År1,'Resultater - Vestdanmark'!H$3:H$504,IF(E144=År2,'Resultater - Vestdanmark'!I$3:I$504,'Resultater - Vestdanmark'!J$3:J$504)),'Resultater - Vestdanmark'!$F$3:$F$504,$A144,IF(E144=År1,'Resultater - Vestdanmark'!H$3:H$504,IF(E144=År2,'Resultater - Vestdanmark'!I$3:I$504,'Resultater - Vestdanmark'!J$3:J$504)),"&gt;0"),SUMIFS(IF(E144=År1,'Resultater - Østdanmark'!H$3:H$504,IF(E144=År2,'Resultater - Østdanmark'!I$3:I$504,'Resultater - Østdanmark'!J$3:J$504)),'Resultater - Østdanmark'!$F$3:$F$504,$A144,IF(E144=År1,'Resultater - Østdanmark'!H$3:H$504,IF(E144=År2,'Resultater - Østdanmark'!I$3:I$504,'Resultater - Østdanmark'!J$3:J$504)),"&gt;0"))</f>
        <v>382.5</v>
      </c>
      <c r="H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forbrug'!H$3,'Forbrug af biomasse'!$B$2:$B$425,$F144)</f>
        <v>0</v>
      </c>
      <c r="I144">
        <f>IF(F144="Vestdanmark",-IF(A144="Halm",SUMIFS(IF(E144=År1,'Resultater - Vestdanmark'!H$3:H$504,IF(E144=År2,'Resultater - Vestdanmark'!I$3:I$504,'Resultater - Vestdanmark'!J$3:J$504)),'Resultater - Vestdanmark'!$F$3:$F$504,$A144,'Resultater - Vestdanmark'!H$3:H$504,"&lt;0"),0),-IF(A144="Halm",SUMIFS(IF(E144=År1,'Resultater - Østdanmark'!H$3:H$504,IF(E144=År2,'Resultater - Østdanmark'!I$3:I$504,'Resultater - Østdanmark'!J$3:J$504)),'Resultater - Østdanmark'!$F$3:$F$504,$A144,'Resultater - Østdanmark'!H$3:H$504,"&lt;0"),0))</f>
        <v>0</v>
      </c>
      <c r="J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forbrug'!J$3,'Forbrug af biomasse'!$B$2:$B$425,$F144)</f>
        <v>0</v>
      </c>
      <c r="K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forbrug'!K$3,'Forbrug af biomasse'!$B$2:$B$425,$F144)</f>
        <v>0</v>
      </c>
      <c r="L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forbrug'!L$3,'Forbrug af biomasse'!$B$2:$B$425,$F144)</f>
        <v>0</v>
      </c>
      <c r="M144" s="94">
        <f>IF(A144&lt;&gt;"Biogas",SUMIFS('Forbrug af biomasse'!$E$2:$E$425,'Forbrug af biomasse'!$C$2:$C$425,'Resultat-Produktion &amp; forbrug'!$A144,'Forbrug af biomasse'!$D$2:$D$425,'Resultat-Produktion &amp; forbrug'!$E144,'Forbrug af biomasse'!$A$2:$A$425,'Resultat-Produktion &amp; forbrug'!M$3,'Forbrug af biomasse'!$B$2:$B$425,$F144),G144)</f>
        <v>0</v>
      </c>
      <c r="N144" s="94">
        <f>SUMIFS('Forbrug af biomasse'!E:E,'Forbrug af biomasse'!C:C,'Resultat-Produktion &amp; forbrug'!$A144,'Forbrug af biomasse'!D:D,'Resultat-Produktion &amp; forbrug'!$E144,'Forbrug af biomasse'!G:G,1,'Forbrug af biomasse'!B:B,$F144)</f>
        <v>0</v>
      </c>
      <c r="O144" s="179">
        <f t="shared" si="26"/>
        <v>382.5</v>
      </c>
      <c r="P144" s="94">
        <f t="shared" si="43"/>
        <v>382.5</v>
      </c>
      <c r="Q144" s="180">
        <f t="shared" si="27"/>
        <v>0</v>
      </c>
      <c r="R144">
        <f>IFERROR(VLOOKUP(A144,[1]Energiindhold!$A$2:$C$11,3,FALSE),IFERROR(VLOOKUP(A144,[1]Biogasudbytte!$A$2:$B$18,2,FALSE)*[1]Energiindhold!$C$10,0))*P144</f>
        <v>3.4329375000000003E-4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IF(A144&lt;&gt;"Biogas",IFERROR(VLOOKUP(A144,[1]Biogasudbytte!$A$2:$B$18,2,FALSE)*[1]Energiindhold!$C$10,0)*K144*IFERROR(VLOOKUP(A144,Biogasanlæg!$F$3:$G$8,2,FALSE),1)+IFERROR(VLOOKUP(A144,[1]Energiindhold!$A$2:$C$11,3,FALSE),0)*M144+IF(E144&lt;&gt;År1,R144,0),0)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si="28"/>
        <v>3.4329375000000003E-4</v>
      </c>
      <c r="V144" s="169">
        <f>P144*IFERROR(VLOOKUP(A144,[1]Tørstofindhold!A$2:B$24,2,FALSE),0)</f>
        <v>57.375</v>
      </c>
      <c r="W144">
        <f>IF(E144=År1,Q144,SUM(P144,Q144))*IFERROR(VLOOKUP(A144,[1]Tørstofindhold!A$2:B$24,2,FALSE),0)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si="29"/>
        <v>57.375</v>
      </c>
      <c r="Z144">
        <f t="shared" si="47"/>
        <v>0</v>
      </c>
      <c r="AA144">
        <f t="shared" si="48"/>
        <v>1</v>
      </c>
      <c r="AB144" s="94">
        <f t="shared" si="49"/>
        <v>382.5</v>
      </c>
      <c r="AC144">
        <f>AB144*D144*10000*VLOOKUP(A144,[1]kcal!$A$2:$C$49,3,FALSE)/1000000000000</f>
        <v>1.5605999999999999E-4</v>
      </c>
    </row>
    <row r="145" spans="1:29" x14ac:dyDescent="0.25">
      <c r="A145" s="171" t="str">
        <f t="shared" si="50"/>
        <v>Total til biogas</v>
      </c>
      <c r="B145" s="171" t="str">
        <f t="shared" si="51"/>
        <v/>
      </c>
      <c r="C145" s="171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71">
        <f t="shared" si="39"/>
        <v>0</v>
      </c>
      <c r="E145" s="171">
        <f t="shared" si="38"/>
        <v>2050</v>
      </c>
      <c r="F145" t="s">
        <v>23</v>
      </c>
      <c r="G145" s="94">
        <f>IF(F145="Vestdanmark",SUMIFS(IF(E145=År1,'Resultater - Vestdanmark'!H$3:H$504,IF(E145=År2,'Resultater - Vestdanmark'!I$3:I$504,'Resultater - Vestdanmark'!J$3:J$504)),'Resultater - Vestdanmark'!$F$3:$F$504,$A145,IF(E145=År1,'Resultater - Vestdanmark'!H$3:H$504,IF(E145=År2,'Resultater - Vestdanmark'!I$3:I$504,'Resultater - Vestdanmark'!J$3:J$504)),"&gt;0"),SUMIFS(IF(E145=År1,'Resultater - Østdanmark'!H$3:H$504,IF(E145=År2,'Resultater - Østdanmark'!I$3:I$504,'Resultater - Østdanmark'!J$3:J$504)),'Resultater - Østdanmark'!$F$3:$F$504,$A145,IF(E145=År1,'Resultater - Østdanmark'!H$3:H$504,IF(E145=År2,'Resultater - Østdanmark'!I$3:I$504,'Resultater - Østdanmark'!J$3:J$504)),"&gt;0"))</f>
        <v>0</v>
      </c>
      <c r="H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forbrug'!H$3,'Forbrug af biomasse'!$B$2:$B$425,$F145)</f>
        <v>0</v>
      </c>
      <c r="I145">
        <f>IF(F145="Vestdanmark",-IF(A145="Halm",SUMIFS(IF(E145=År1,'Resultater - Vestdanmark'!H$3:H$504,IF(E145=År2,'Resultater - Vestdanmark'!I$3:I$504,'Resultater - Vestdanmark'!J$3:J$504)),'Resultater - Vestdanmark'!$F$3:$F$504,$A145,'Resultater - Vestdanmark'!H$3:H$504,"&lt;0"),0),-IF(A145="Halm",SUMIFS(IF(E145=År1,'Resultater - Østdanmark'!H$3:H$504,IF(E145=År2,'Resultater - Østdanmark'!I$3:I$504,'Resultater - Østdanmark'!J$3:J$504)),'Resultater - Østdanmark'!$F$3:$F$504,$A145,'Resultater - Østdanmark'!H$3:H$504,"&lt;0"),0))</f>
        <v>0</v>
      </c>
      <c r="J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forbrug'!J$3,'Forbrug af biomasse'!$B$2:$B$425,$F145)</f>
        <v>0</v>
      </c>
      <c r="K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forbrug'!K$3,'Forbrug af biomasse'!$B$2:$B$425,$F145)</f>
        <v>0</v>
      </c>
      <c r="L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forbrug'!L$3,'Forbrug af biomasse'!$B$2:$B$425,$F145)</f>
        <v>0</v>
      </c>
      <c r="M145" s="94">
        <f>IF(A145&lt;&gt;"Biogas",SUMIFS('Forbrug af biomasse'!$E$2:$E$425,'Forbrug af biomasse'!$C$2:$C$425,'Resultat-Produktion &amp; forbrug'!$A145,'Forbrug af biomasse'!$D$2:$D$425,'Resultat-Produktion &amp; forbrug'!$E145,'Forbrug af biomasse'!$A$2:$A$425,'Resultat-Produktion &amp; forbrug'!M$3,'Forbrug af biomasse'!$B$2:$B$425,$F145),G145)</f>
        <v>0</v>
      </c>
      <c r="N145" s="94">
        <f>SUMIFS('Forbrug af biomasse'!E:E,'Forbrug af biomasse'!C:C,'Resultat-Produktion &amp; forbrug'!$A145,'Forbrug af biomasse'!D:D,'Resultat-Produktion &amp; forbrug'!$E145,'Forbrug af biomasse'!G:G,1,'Forbrug af biomasse'!B:B,$F145)</f>
        <v>0</v>
      </c>
      <c r="O145" s="179">
        <f t="shared" si="26"/>
        <v>0</v>
      </c>
      <c r="P145" s="94">
        <f t="shared" si="43"/>
        <v>0</v>
      </c>
      <c r="Q145" s="180">
        <f t="shared" si="27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IF(A145&lt;&gt;"Biogas",IFERROR(VLOOKUP(A145,[1]Biogasudbytte!$A$2:$B$18,2,FALSE)*[1]Energiindhold!$C$10,0)*K145*IFERROR(VLOOKUP(A145,Biogasanlæg!$F$3:$G$8,2,FALSE),1)+IFERROR(VLOOKUP(A145,[1]Energiindhold!$A$2:$C$11,3,FALSE),0)*M145+IF(E145&lt;&gt;År1,R145,0),0)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28"/>
        <v>0</v>
      </c>
      <c r="V145" s="169">
        <f>P145*IFERROR(VLOOKUP(A145,[1]Tørstofindhold!A$2:B$24,2,FALSE),0)</f>
        <v>0</v>
      </c>
      <c r="W145">
        <f>IF(E145=År1,Q145,SUM(P145,Q145))*IFERROR(VLOOKUP(A145,[1]Tørstofindhold!A$2:B$24,2,FALSE),0)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29"/>
        <v>0</v>
      </c>
      <c r="Z145">
        <f t="shared" si="47"/>
        <v>0</v>
      </c>
      <c r="AA145">
        <f t="shared" si="48"/>
        <v>0</v>
      </c>
      <c r="AB145" s="94">
        <f t="shared" si="49"/>
        <v>0</v>
      </c>
      <c r="AC145">
        <f>AB145*D145*10000*VLOOKUP(A145,[1]kcal!$A$2:$C$49,3,FALSE)/1000000000000</f>
        <v>0</v>
      </c>
    </row>
    <row r="146" spans="1:29" x14ac:dyDescent="0.25">
      <c r="A146" s="171" t="str">
        <f t="shared" si="50"/>
        <v>Træ til energi</v>
      </c>
      <c r="B146" s="171" t="str">
        <f t="shared" si="51"/>
        <v>Vedmasse</v>
      </c>
      <c r="C146" s="171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1</v>
      </c>
      <c r="D146" s="171">
        <f t="shared" si="39"/>
        <v>0</v>
      </c>
      <c r="E146" s="171">
        <f t="shared" si="38"/>
        <v>2050</v>
      </c>
      <c r="F146" t="s">
        <v>23</v>
      </c>
      <c r="G146" s="94">
        <f ca="1">IF(F146="Vestdanmark",SUMIFS(IF(E146=År1,'Resultater - Vestdanmark'!H$3:H$504,IF(E146=År2,'Resultater - Vestdanmark'!I$3:I$504,'Resultater - Vestdanmark'!J$3:J$504)),'Resultater - Vestdanmark'!$F$3:$F$504,$A146,IF(E146=År1,'Resultater - Vestdanmark'!H$3:H$504,IF(E146=År2,'Resultater - Vestdanmark'!I$3:I$504,'Resultater - Vestdanmark'!J$3:J$504)),"&gt;0"),SUMIFS(IF(E146=År1,'Resultater - Østdanmark'!H$3:H$504,IF(E146=År2,'Resultater - Østdanmark'!I$3:I$504,'Resultater - Østdanmark'!J$3:J$504)),'Resultater - Østdanmark'!$F$3:$F$504,$A146,IF(E146=År1,'Resultater - Østdanmark'!H$3:H$504,IF(E146=År2,'Resultater - Østdanmark'!I$3:I$504,'Resultater - Østdanmark'!J$3:J$504)),"&gt;0"))</f>
        <v>2287577.6202536402</v>
      </c>
      <c r="H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forbrug'!H$3,'Forbrug af biomasse'!$B$2:$B$425,$F146)</f>
        <v>0</v>
      </c>
      <c r="I146">
        <f>IF(F146="Vestdanmark",-IF(A146="Halm",SUMIFS(IF(E146=År1,'Resultater - Vestdanmark'!H$3:H$504,IF(E146=År2,'Resultater - Vestdanmark'!I$3:I$504,'Resultater - Vestdanmark'!J$3:J$504)),'Resultater - Vestdanmark'!$F$3:$F$504,$A146,'Resultater - Vestdanmark'!H$3:H$504,"&lt;0"),0),-IF(A146="Halm",SUMIFS(IF(E146=År1,'Resultater - Østdanmark'!H$3:H$504,IF(E146=År2,'Resultater - Østdanmark'!I$3:I$504,'Resultater - Østdanmark'!J$3:J$504)),'Resultater - Østdanmark'!$F$3:$F$504,$A146,'Resultater - Østdanmark'!H$3:H$504,"&lt;0"),0))</f>
        <v>0</v>
      </c>
      <c r="J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forbrug'!J$3,'Forbrug af biomasse'!$B$2:$B$425,$F146)</f>
        <v>0</v>
      </c>
      <c r="K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forbrug'!K$3,'Forbrug af biomasse'!$B$2:$B$425,$F146)</f>
        <v>0</v>
      </c>
      <c r="L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forbrug'!L$3,'Forbrug af biomasse'!$B$2:$B$425,$F146)</f>
        <v>0</v>
      </c>
      <c r="M146" s="94">
        <f ca="1">IF(A146&lt;&gt;"Biogas",SUMIFS('Forbrug af biomasse'!$E$2:$E$425,'Forbrug af biomasse'!$C$2:$C$425,'Resultat-Produktion &amp; forbrug'!$A146,'Forbrug af biomasse'!$D$2:$D$425,'Resultat-Produktion &amp; forbrug'!$E146,'Forbrug af biomasse'!$A$2:$A$425,'Resultat-Produktion &amp; forbrug'!M$3,'Forbrug af biomasse'!$B$2:$B$425,$F146),G146)</f>
        <v>2287577.6202536402</v>
      </c>
      <c r="N146" s="94">
        <f>SUMIFS('Forbrug af biomasse'!E:E,'Forbrug af biomasse'!C:C,'Resultat-Produktion &amp; forbrug'!$A146,'Forbrug af biomasse'!D:D,'Resultat-Produktion &amp; forbrug'!$E146,'Forbrug af biomasse'!G:G,1,'Forbrug af biomasse'!B:B,$F146)</f>
        <v>0</v>
      </c>
      <c r="O146" s="179">
        <f t="shared" ca="1" si="26"/>
        <v>0</v>
      </c>
      <c r="P146" s="94">
        <f t="shared" ca="1" si="43"/>
        <v>0</v>
      </c>
      <c r="Q146" s="180">
        <f t="shared" ca="1" si="27"/>
        <v>2287577.6202536402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IF(A146&lt;&gt;"Biogas",IFERROR(VLOOKUP(A146,[1]Biogasudbytte!$A$2:$B$18,2,FALSE)*[1]Energiindhold!$C$10,0)*K146*IFERROR(VLOOKUP(A146,Biogasanlæg!$F$3:$G$8,2,FALSE),1)+IFERROR(VLOOKUP(A146,[1]Energiindhold!$A$2:$C$11,3,FALSE),0)*M146+IF(E146&lt;&gt;År1,R146,0),0)</f>
        <v>33.155163855017776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28"/>
        <v>33.155163855017776</v>
      </c>
      <c r="V146" s="169">
        <f ca="1">P146*IFERROR(VLOOKUP(A146,[1]Tørstofindhold!A$2:B$24,2,FALSE),0)</f>
        <v>0</v>
      </c>
      <c r="W146">
        <f ca="1">IF(E146=År1,Q146,SUM(P146,Q146))*IFERROR(VLOOKUP(A146,[1]Tørstofindhold!A$2:B$24,2,FALSE),0)</f>
        <v>1131397.7646837796</v>
      </c>
      <c r="X146">
        <f>K146*IFERROR(VLOOKUP(A146,[1]Tørstofindhold!A$2:B$24,2,FALSE),0)</f>
        <v>0</v>
      </c>
      <c r="Y146" s="170">
        <f t="shared" ca="1" si="29"/>
        <v>1131397.7646837796</v>
      </c>
      <c r="Z146">
        <f t="shared" ca="1" si="47"/>
        <v>0</v>
      </c>
      <c r="AA146">
        <f t="shared" ca="1" si="48"/>
        <v>0</v>
      </c>
      <c r="AB146" s="94">
        <f t="shared" ca="1" si="49"/>
        <v>2287577.6202536402</v>
      </c>
      <c r="AC146">
        <f ca="1">AB146*D146*10000*VLOOKUP(A146,[1]kcal!$A$2:$C$49,3,FALSE)/1000000000000</f>
        <v>0</v>
      </c>
    </row>
    <row r="147" spans="1:29" x14ac:dyDescent="0.25">
      <c r="A147" s="171" t="str">
        <f t="shared" si="50"/>
        <v>Træmaterialer</v>
      </c>
      <c r="B147" s="171" t="str">
        <f t="shared" si="51"/>
        <v/>
      </c>
      <c r="C147" s="171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71">
        <f t="shared" si="39"/>
        <v>0</v>
      </c>
      <c r="E147" s="171">
        <f t="shared" si="38"/>
        <v>2050</v>
      </c>
      <c r="F147" t="s">
        <v>23</v>
      </c>
      <c r="G147" s="94">
        <f ca="1">IF(F147="Vestdanmark",SUMIFS(IF(E147=År1,'Resultater - Vestdanmark'!H$3:H$504,IF(E147=År2,'Resultater - Vestdanmark'!I$3:I$504,'Resultater - Vestdanmark'!J$3:J$504)),'Resultater - Vestdanmark'!$F$3:$F$504,$A147,IF(E147=År1,'Resultater - Vestdanmark'!H$3:H$504,IF(E147=År2,'Resultater - Vestdanmark'!I$3:I$504,'Resultater - Vestdanmark'!J$3:J$504)),"&gt;0"),SUMIFS(IF(E147=År1,'Resultater - Østdanmark'!H$3:H$504,IF(E147=År2,'Resultater - Østdanmark'!I$3:I$504,'Resultater - Østdanmark'!J$3:J$504)),'Resultater - Østdanmark'!$F$3:$F$504,$A147,IF(E147=År1,'Resultater - Østdanmark'!H$3:H$504,IF(E147=År2,'Resultater - Østdanmark'!I$3:I$504,'Resultater - Østdanmark'!J$3:J$504)),"&gt;0"))</f>
        <v>659548.66396073136</v>
      </c>
      <c r="H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forbrug'!H$3,'Forbrug af biomasse'!$B$2:$B$425,$F147)</f>
        <v>0</v>
      </c>
      <c r="I147">
        <f>IF(F147="Vestdanmark",-IF(A147="Halm",SUMIFS(IF(E147=År1,'Resultater - Vestdanmark'!H$3:H$504,IF(E147=År2,'Resultater - Vestdanmark'!I$3:I$504,'Resultater - Vestdanmark'!J$3:J$504)),'Resultater - Vestdanmark'!$F$3:$F$504,$A147,'Resultater - Vestdanmark'!H$3:H$504,"&lt;0"),0),-IF(A147="Halm",SUMIFS(IF(E147=År1,'Resultater - Østdanmark'!H$3:H$504,IF(E147=År2,'Resultater - Østdanmark'!I$3:I$504,'Resultater - Østdanmark'!J$3:J$504)),'Resultater - Østdanmark'!$F$3:$F$504,$A147,'Resultater - Østdanmark'!H$3:H$504,"&lt;0"),0))</f>
        <v>0</v>
      </c>
      <c r="J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forbrug'!J$3,'Forbrug af biomasse'!$B$2:$B$425,$F147)</f>
        <v>0</v>
      </c>
      <c r="K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forbrug'!K$3,'Forbrug af biomasse'!$B$2:$B$425,$F147)</f>
        <v>0</v>
      </c>
      <c r="L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forbrug'!L$3,'Forbrug af biomasse'!$B$2:$B$425,$F147)</f>
        <v>0</v>
      </c>
      <c r="M147" s="94">
        <f>IF(A147&lt;&gt;"Biogas",SUMIFS('Forbrug af biomasse'!$E$2:$E$425,'Forbrug af biomasse'!$C$2:$C$425,'Resultat-Produktion &amp; forbrug'!$A147,'Forbrug af biomasse'!$D$2:$D$425,'Resultat-Produktion &amp; forbrug'!$E147,'Forbrug af biomasse'!$A$2:$A$425,'Resultat-Produktion &amp; forbrug'!M$3,'Forbrug af biomasse'!$B$2:$B$425,$F147),G147)</f>
        <v>0</v>
      </c>
      <c r="N147" s="94">
        <f ca="1">SUMIFS('Forbrug af biomasse'!E:E,'Forbrug af biomasse'!C:C,'Resultat-Produktion &amp; forbrug'!$A147,'Forbrug af biomasse'!D:D,'Resultat-Produktion &amp; forbrug'!$E147,'Forbrug af biomasse'!G:G,1,'Forbrug af biomasse'!B:B,$F147)</f>
        <v>659548.66396073136</v>
      </c>
      <c r="O147" s="179">
        <f t="shared" ca="1" si="26"/>
        <v>0</v>
      </c>
      <c r="P147" s="94">
        <f t="shared" si="43"/>
        <v>0</v>
      </c>
      <c r="Q147" s="180">
        <f t="shared" si="27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IF(A147&lt;&gt;"Biogas",IFERROR(VLOOKUP(A147,[1]Biogasudbytte!$A$2:$B$18,2,FALSE)*[1]Energiindhold!$C$10,0)*K147*IFERROR(VLOOKUP(A147,Biogasanlæg!$F$3:$G$8,2,FALSE),1)+IFERROR(VLOOKUP(A147,[1]Energiindhold!$A$2:$C$11,3,FALSE),0)*M147+IF(E147&lt;&gt;År1,R147,0),0)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28"/>
        <v>0</v>
      </c>
      <c r="V147" s="169">
        <f>P147*IFERROR(VLOOKUP(A147,[1]Tørstofindhold!A$2:B$24,2,FALSE),0)</f>
        <v>0</v>
      </c>
      <c r="W147">
        <f>IF(E147=År1,Q147,SUM(P147,Q147))*IFERROR(VLOOKUP(A147,[1]Tørstofindhold!A$2:B$24,2,FALSE),0)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29"/>
        <v>0</v>
      </c>
      <c r="Z147">
        <f t="shared" ca="1" si="47"/>
        <v>0</v>
      </c>
      <c r="AA147">
        <f t="shared" ca="1" si="48"/>
        <v>0</v>
      </c>
      <c r="AB147" s="94">
        <f t="shared" ca="1" si="49"/>
        <v>659548.66396073136</v>
      </c>
      <c r="AC147">
        <f ca="1">AB147*D147*10000*VLOOKUP(A147,[1]kcal!$A$2:$C$49,3,FALSE)/1000000000000</f>
        <v>0</v>
      </c>
    </row>
    <row r="148" spans="1:29" x14ac:dyDescent="0.25">
      <c r="A148" s="171" t="s">
        <v>15</v>
      </c>
      <c r="B148" s="171"/>
      <c r="C148" s="171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71">
        <f t="shared" si="39"/>
        <v>1</v>
      </c>
      <c r="E148" s="171">
        <f t="shared" ref="E148:E195" si="52">År1</f>
        <v>2019</v>
      </c>
      <c r="F148" t="s">
        <v>24</v>
      </c>
      <c r="G148" s="94">
        <f>IF(F148="Vestdanmark",SUMIFS(IF(E148=År1,'Resultater - Vestdanmark'!H$3:H$504,IF(E148=År2,'Resultater - Vestdanmark'!I$3:I$504,'Resultater - Vestdanmark'!J$3:J$504)),'Resultater - Vestdanmark'!$F$3:$F$504,$A148,IF(E148=År1,'Resultater - Vestdanmark'!H$3:H$504,IF(E148=År2,'Resultater - Vestdanmark'!I$3:I$504,'Resultater - Vestdanmark'!J$3:J$504)),"&gt;0"),SUMIFS(IF(E148=År1,'Resultater - Østdanmark'!H$3:H$504,IF(E148=År2,'Resultater - Østdanmark'!I$3:I$504,'Resultater - Østdanmark'!J$3:J$504)),'Resultater - Østdanmark'!$F$3:$F$504,$A148,IF(E148=År1,'Resultater - Østdanmark'!H$3:H$504,IF(E148=År2,'Resultater - Østdanmark'!I$3:I$504,'Resultater - Østdanmark'!J$3:J$504)),"&gt;0"))</f>
        <v>18450.007031483605</v>
      </c>
      <c r="H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forbrug'!H$3,'Forbrug af biomasse'!$B$2:$B$425,$F148)</f>
        <v>0</v>
      </c>
      <c r="I148">
        <f>IF(F148="Vestdanmark",-IF(A148="Halm",SUMIFS(IF(E148=År1,'Resultater - Vestdanmark'!H$3:H$504,IF(E148=År2,'Resultater - Vestdanmark'!I$3:I$504,'Resultater - Vestdanmark'!J$3:J$504)),'Resultater - Vestdanmark'!$F$3:$F$504,$A148,'Resultater - Vestdanmark'!H$3:H$504,"&lt;0"),0),-IF(A148="Halm",SUMIFS(IF(E148=År1,'Resultater - Østdanmark'!H$3:H$504,IF(E148=År2,'Resultater - Østdanmark'!I$3:I$504,'Resultater - Østdanmark'!J$3:J$504)),'Resultater - Østdanmark'!$F$3:$F$504,$A148,'Resultater - Østdanmark'!H$3:H$504,"&lt;0"),0))</f>
        <v>0</v>
      </c>
      <c r="J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forbrug'!J$3,'Forbrug af biomasse'!$B$2:$B$425,$F148)</f>
        <v>26880.542267330831</v>
      </c>
      <c r="K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forbrug'!K$3,'Forbrug af biomasse'!$B$2:$B$425,$F148)</f>
        <v>0</v>
      </c>
      <c r="L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forbrug'!L$3,'Forbrug af biomasse'!$B$2:$B$425,$F148)</f>
        <v>0</v>
      </c>
      <c r="M148" s="94">
        <f>IF(A148&lt;&gt;"Biogas",SUMIFS('Forbrug af biomasse'!$E$2:$E$425,'Forbrug af biomasse'!$C$2:$C$425,'Resultat-Produktion &amp; forbrug'!$A148,'Forbrug af biomasse'!$D$2:$D$425,'Resultat-Produktion &amp; forbrug'!$E148,'Forbrug af biomasse'!$A$2:$A$425,'Resultat-Produktion &amp; forbrug'!M$3,'Forbrug af biomasse'!$B$2:$B$425,$F148),G148)</f>
        <v>0</v>
      </c>
      <c r="N148" s="94">
        <f>SUMIFS('Forbrug af biomasse'!E:E,'Forbrug af biomasse'!C:C,'Resultat-Produktion &amp; forbrug'!$A148,'Forbrug af biomasse'!D:D,'Resultat-Produktion &amp; forbrug'!$E148,'Forbrug af biomasse'!G:G,1,'Forbrug af biomasse'!B:B,$F148)</f>
        <v>0</v>
      </c>
      <c r="O148" s="179">
        <f t="shared" si="26"/>
        <v>-8430.5352358472264</v>
      </c>
      <c r="P148" s="94">
        <f t="shared" si="43"/>
        <v>0</v>
      </c>
      <c r="Q148" s="180">
        <f t="shared" si="27"/>
        <v>0</v>
      </c>
      <c r="R148">
        <f>IFERROR(VLOOKUP(A148,[1]Energiindhold!$A$2:$C$11,3,FALSE),IFERROR(VLOOKUP(A148,[1]Biogasudbytte!$A$2:$B$18,2,FALSE)*[1]Energiindhold!$C$10,0))*P148</f>
        <v>0</v>
      </c>
      <c r="S148">
        <f>IF(A148&lt;&gt;"Biogas",IFERROR(VLOOKUP(A148,[1]Biogasudbytte!$A$2:$B$18,2,FALSE)*[1]Energiindhold!$C$10,0)*K148*IFERROR(VLOOKUP(A148,Biogasanlæg!$F$3:$G$8,2,FALSE),1)+IFERROR(VLOOKUP(A148,[1]Energiindhold!$A$2:$C$11,3,FALSE),0)*M148+IF(E148&lt;&gt;År1,R148,0),0)</f>
        <v>0</v>
      </c>
      <c r="T148">
        <f>IFERROR(VLOOKUP(A148,[1]Biogasudbytte!$A$2:$B$18,2,FALSE)*[1]Energiindhold!$C$10,0)*K148*IFERROR(VLOOKUP(A148,Biogasanlæg!$F$3:$G$8,2,FALSE),1)</f>
        <v>0</v>
      </c>
      <c r="U148" s="170">
        <f t="shared" si="28"/>
        <v>0</v>
      </c>
      <c r="V148" s="169">
        <f>P148*IFERROR(VLOOKUP(A148,[1]Tørstofindhold!A$2:B$24,2,FALSE),0)</f>
        <v>0</v>
      </c>
      <c r="W148">
        <f>IF(E148=År1,Q148,SUM(P148,Q148))*IFERROR(VLOOKUP(A148,[1]Tørstofindhold!A$2:B$24,2,FALSE),0)</f>
        <v>0</v>
      </c>
      <c r="X148">
        <f>K148*IFERROR(VLOOKUP(A148,[1]Tørstofindhold!A$2:B$24,2,FALSE),0)</f>
        <v>0</v>
      </c>
      <c r="Y148" s="170">
        <f t="shared" si="29"/>
        <v>0</v>
      </c>
      <c r="Z148">
        <f t="shared" si="47"/>
        <v>0</v>
      </c>
      <c r="AA148">
        <f t="shared" si="48"/>
        <v>1</v>
      </c>
      <c r="AB148" s="94">
        <f t="shared" si="49"/>
        <v>18450.007031483605</v>
      </c>
      <c r="AC148">
        <f>AB148*D148*10000*VLOOKUP(A148,[1]kcal!$A$2:$C$49,3,FALSE)/1000000000000</f>
        <v>2.5461009703447376E-2</v>
      </c>
    </row>
    <row r="149" spans="1:29" x14ac:dyDescent="0.25">
      <c r="A149" s="171" t="s">
        <v>49</v>
      </c>
      <c r="B149" s="171"/>
      <c r="C149" s="171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0</v>
      </c>
      <c r="D149" s="171">
        <f t="shared" si="39"/>
        <v>1</v>
      </c>
      <c r="E149" s="171">
        <f t="shared" si="52"/>
        <v>2019</v>
      </c>
      <c r="F149" t="s">
        <v>24</v>
      </c>
      <c r="G149" s="94">
        <f>IF(F149="Vestdanmark",SUMIFS(IF(E149=År1,'Resultater - Vestdanmark'!H$3:H$504,IF(E149=År2,'Resultater - Vestdanmark'!I$3:I$504,'Resultater - Vestdanmark'!J$3:J$504)),'Resultater - Vestdanmark'!$F$3:$F$504,$A149,IF(E149=År1,'Resultater - Vestdanmark'!H$3:H$504,IF(E149=År2,'Resultater - Vestdanmark'!I$3:I$504,'Resultater - Vestdanmark'!J$3:J$504)),"&gt;0"),SUMIFS(IF(E149=År1,'Resultater - Østdanmark'!H$3:H$504,IF(E149=År2,'Resultater - Østdanmark'!I$3:I$504,'Resultater - Østdanmark'!J$3:J$504)),'Resultater - Østdanmark'!$F$3:$F$504,$A149,IF(E149=År1,'Resultater - Østdanmark'!H$3:H$504,IF(E149=År2,'Resultater - Østdanmark'!I$3:I$504,'Resultater - Østdanmark'!J$3:J$504)),"&gt;0"))</f>
        <v>26972.495538657848</v>
      </c>
      <c r="H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forbrug'!H$3,'Forbrug af biomasse'!$B$2:$B$425,$F149)</f>
        <v>7916.616753740097</v>
      </c>
      <c r="I149">
        <f>IF(F149="Vestdanmark",-IF(A149="Halm",SUMIFS(IF(E149=År1,'Resultater - Vestdanmark'!H$3:H$504,IF(E149=År2,'Resultater - Vestdanmark'!I$3:I$504,'Resultater - Vestdanmark'!J$3:J$504)),'Resultater - Vestdanmark'!$F$3:$F$504,$A149,'Resultater - Vestdanmark'!H$3:H$504,"&lt;0"),0),-IF(A149="Halm",SUMIFS(IF(E149=År1,'Resultater - Østdanmark'!H$3:H$504,IF(E149=År2,'Resultater - Østdanmark'!I$3:I$504,'Resultater - Østdanmark'!J$3:J$504)),'Resultater - Østdanmark'!$F$3:$F$504,$A149,'Resultater - Østdanmark'!H$3:H$504,"&lt;0"),0))</f>
        <v>0</v>
      </c>
      <c r="J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forbrug'!J$3,'Forbrug af biomasse'!$B$2:$B$425,$F149)</f>
        <v>0</v>
      </c>
      <c r="K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forbrug'!K$3,'Forbrug af biomasse'!$B$2:$B$425,$F149)</f>
        <v>0</v>
      </c>
      <c r="L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forbrug'!L$3,'Forbrug af biomasse'!$B$2:$B$425,$F149)</f>
        <v>0</v>
      </c>
      <c r="M149" s="94">
        <f>IF(A149&lt;&gt;"Biogas",SUMIFS('Forbrug af biomasse'!$E$2:$E$425,'Forbrug af biomasse'!$C$2:$C$425,'Resultat-Produktion &amp; forbrug'!$A149,'Forbrug af biomasse'!$D$2:$D$425,'Resultat-Produktion &amp; forbrug'!$E149,'Forbrug af biomasse'!$A$2:$A$425,'Resultat-Produktion &amp; forbrug'!M$3,'Forbrug af biomasse'!$B$2:$B$425,$F149),G149)</f>
        <v>0</v>
      </c>
      <c r="N149" s="94">
        <f>SUMIFS('Forbrug af biomasse'!E:E,'Forbrug af biomasse'!C:C,'Resultat-Produktion &amp; forbrug'!$A149,'Forbrug af biomasse'!D:D,'Resultat-Produktion &amp; forbrug'!$E149,'Forbrug af biomasse'!G:G,1,'Forbrug af biomasse'!B:B,$F149)</f>
        <v>0</v>
      </c>
      <c r="O149" s="179">
        <f t="shared" si="26"/>
        <v>19055.87878491775</v>
      </c>
      <c r="P149" s="94">
        <f t="shared" si="43"/>
        <v>0</v>
      </c>
      <c r="Q149" s="180">
        <f t="shared" si="27"/>
        <v>0</v>
      </c>
      <c r="R149">
        <f>IFERROR(VLOOKUP(A149,[1]Energiindhold!$A$2:$C$11,3,FALSE),IFERROR(VLOOKUP(A149,[1]Biogasudbytte!$A$2:$B$18,2,FALSE)*[1]Energiindhold!$C$10,0))*P149</f>
        <v>0</v>
      </c>
      <c r="S149">
        <f>IF(A149&lt;&gt;"Biogas",IFERROR(VLOOKUP(A149,[1]Biogasudbytte!$A$2:$B$18,2,FALSE)*[1]Energiindhold!$C$10,0)*K149*IFERROR(VLOOKUP(A149,Biogasanlæg!$F$3:$G$8,2,FALSE),1)+IFERROR(VLOOKUP(A149,[1]Energiindhold!$A$2:$C$11,3,FALSE),0)*M149+IF(E149&lt;&gt;År1,R149,0),0)</f>
        <v>0</v>
      </c>
      <c r="T149">
        <f>IFERROR(VLOOKUP(A149,[1]Biogasudbytte!$A$2:$B$18,2,FALSE)*[1]Energiindhold!$C$10,0)*K149*IFERROR(VLOOKUP(A149,Biogasanlæg!$F$3:$G$8,2,FALSE),1)</f>
        <v>0</v>
      </c>
      <c r="U149" s="170">
        <f t="shared" si="28"/>
        <v>0</v>
      </c>
      <c r="V149" s="169">
        <f>P149*IFERROR(VLOOKUP(A149,[1]Tørstofindhold!A$2:B$24,2,FALSE),0)</f>
        <v>0</v>
      </c>
      <c r="W149">
        <f>IF(E149=År1,Q149,SUM(P149,Q149))*IFERROR(VLOOKUP(A149,[1]Tørstofindhold!A$2:B$24,2,FALSE),0)</f>
        <v>0</v>
      </c>
      <c r="X149">
        <f>K149*IFERROR(VLOOKUP(A149,[1]Tørstofindhold!A$2:B$24,2,FALSE),0)</f>
        <v>0</v>
      </c>
      <c r="Y149" s="170">
        <f t="shared" si="29"/>
        <v>0</v>
      </c>
      <c r="Z149">
        <f t="shared" si="47"/>
        <v>0</v>
      </c>
      <c r="AA149">
        <f t="shared" si="48"/>
        <v>1</v>
      </c>
      <c r="AB149" s="94">
        <f t="shared" si="49"/>
        <v>19055.87878491775</v>
      </c>
      <c r="AC149">
        <f>AB149*D149*10000*VLOOKUP(A149,[1]kcal!$A$2:$C$49,3,FALSE)/1000000000000</f>
        <v>0.13234307816125379</v>
      </c>
    </row>
    <row r="150" spans="1:29" x14ac:dyDescent="0.25">
      <c r="A150" s="171" t="s">
        <v>102</v>
      </c>
      <c r="B150" s="171" t="s">
        <v>230</v>
      </c>
      <c r="C150" s="171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71">
        <f t="shared" si="39"/>
        <v>0</v>
      </c>
      <c r="E150" s="171">
        <f t="shared" si="52"/>
        <v>2019</v>
      </c>
      <c r="F150" t="s">
        <v>24</v>
      </c>
      <c r="G150" s="94">
        <f ca="1">IF(F150="Vestdanmark",SUMIFS(IF(E150=År1,'Resultater - Vestdanmark'!H$3:H$504,IF(E150=År2,'Resultater - Vestdanmark'!I$3:I$504,'Resultater - Vestdanmark'!J$3:J$504)),'Resultater - Vestdanmark'!$F$3:$F$504,$A150,IF(E150=År1,'Resultater - Vestdanmark'!H$3:H$504,IF(E150=År2,'Resultater - Vestdanmark'!I$3:I$504,'Resultater - Vestdanmark'!J$3:J$504)),"&gt;0"),SUMIFS(IF(E150=År1,'Resultater - Østdanmark'!H$3:H$504,IF(E150=År2,'Resultater - Østdanmark'!I$3:I$504,'Resultater - Østdanmark'!J$3:J$504)),'Resultater - Østdanmark'!$F$3:$F$504,$A150,IF(E150=År1,'Resultater - Østdanmark'!H$3:H$504,IF(E150=År2,'Resultater - Østdanmark'!I$3:I$504,'Resultater - Østdanmark'!J$3:J$504)),"&gt;0"))</f>
        <v>165083.0224523381</v>
      </c>
      <c r="H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forbrug'!H$3,'Forbrug af biomasse'!$B$2:$B$425,$F150)</f>
        <v>0</v>
      </c>
      <c r="I150">
        <f>IF(F150="Vestdanmark",-IF(A150="Halm",SUMIFS(IF(E150=År1,'Resultater - Vestdanmark'!H$3:H$504,IF(E150=År2,'Resultater - Vestdanmark'!I$3:I$504,'Resultater - Vestdanmark'!J$3:J$504)),'Resultater - Vestdanmark'!$F$3:$F$504,$A150,'Resultater - Vestdanmark'!H$3:H$504,"&lt;0"),0),-IF(A150="Halm",SUMIFS(IF(E150=År1,'Resultater - Østdanmark'!H$3:H$504,IF(E150=År2,'Resultater - Østdanmark'!I$3:I$504,'Resultater - Østdanmark'!J$3:J$504)),'Resultater - Østdanmark'!$F$3:$F$504,$A150,'Resultater - Østdanmark'!H$3:H$504,"&lt;0"),0))</f>
        <v>0</v>
      </c>
      <c r="J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forbrug'!J$3,'Forbrug af biomasse'!$B$2:$B$425,$F150)</f>
        <v>0</v>
      </c>
      <c r="K150" s="94">
        <f ca="1">SUMIFS('Forbrug af biomasse'!$E$2:$E$425,'Forbrug af biomasse'!$C$2:$C$425,'Resultat-Produktion &amp; forbrug'!$A150,'Forbrug af biomasse'!$D$2:$D$425,'Resultat-Produktion &amp; forbrug'!$E150,'Forbrug af biomasse'!$A$2:$A$425,'Resultat-Produktion &amp; forbrug'!K$3,'Forbrug af biomasse'!$B$2:$B$425,$F150)</f>
        <v>335590.35573220561</v>
      </c>
      <c r="L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forbrug'!L$3,'Forbrug af biomasse'!$B$2:$B$425,$F150)</f>
        <v>0</v>
      </c>
      <c r="M150" s="94">
        <f ca="1">IF(A150&lt;&gt;"Biogas",SUMIFS('Forbrug af biomasse'!$E$2:$E$425,'Forbrug af biomasse'!$C$2:$C$425,'Resultat-Produktion &amp; forbrug'!$A150,'Forbrug af biomasse'!$D$2:$D$425,'Resultat-Produktion &amp; forbrug'!$E150,'Forbrug af biomasse'!$A$2:$A$425,'Resultat-Produktion &amp; forbrug'!M$3,'Forbrug af biomasse'!$B$2:$B$425,$F150),G150)</f>
        <v>0</v>
      </c>
      <c r="N150" s="94">
        <f ca="1">SUMIFS('Forbrug af biomasse'!E:E,'Forbrug af biomasse'!C:C,'Resultat-Produktion &amp; forbrug'!$A150,'Forbrug af biomasse'!D:D,'Resultat-Produktion &amp; forbrug'!$E150,'Forbrug af biomasse'!G:G,1,'Forbrug af biomasse'!B:B,$F150)</f>
        <v>0</v>
      </c>
      <c r="O150" s="179">
        <f t="shared" ca="1" si="26"/>
        <v>-170507.33327986751</v>
      </c>
      <c r="P150" s="94">
        <f t="shared" ca="1" si="43"/>
        <v>0</v>
      </c>
      <c r="Q150" s="180">
        <f t="shared" ca="1" si="27"/>
        <v>335590.35573220561</v>
      </c>
      <c r="R150">
        <f ca="1">IFERROR(VLOOKUP(A150,[1]Energiindhold!$A$2:$C$11,3,FALSE),IFERROR(VLOOKUP(A150,[1]Biogasudbytte!$A$2:$B$18,2,FALSE)*[1]Energiindhold!$C$10,0))*P150</f>
        <v>0</v>
      </c>
      <c r="S150">
        <f ca="1">IF(A150&lt;&gt;"Biogas",IFERROR(VLOOKUP(A150,[1]Biogasudbytte!$A$2:$B$18,2,FALSE)*[1]Energiindhold!$C$10,0)*K150*IFERROR(VLOOKUP(A150,Biogasanlæg!$F$3:$G$8,2,FALSE),1)+IFERROR(VLOOKUP(A150,[1]Energiindhold!$A$2:$C$11,3,FALSE),0)*M150+IF(E150&lt;&gt;År1,R150,0),0)</f>
        <v>1.1433261388476088</v>
      </c>
      <c r="T150">
        <f ca="1">IFERROR(VLOOKUP(A150,[1]Biogasudbytte!$A$2:$B$18,2,FALSE)*[1]Energiindhold!$C$10,0)*K150*IFERROR(VLOOKUP(A150,Biogasanlæg!$F$3:$G$8,2,FALSE),1)</f>
        <v>1.1433261388476088</v>
      </c>
      <c r="U150" s="170">
        <f t="shared" ca="1" si="28"/>
        <v>0</v>
      </c>
      <c r="V150" s="169">
        <f ca="1">P150*IFERROR(VLOOKUP(A150,[1]Tørstofindhold!A$2:B$24,2,FALSE),0)</f>
        <v>0</v>
      </c>
      <c r="W150">
        <f ca="1">IF(E150=År1,Q150,SUM(P150,Q150))*IFERROR(VLOOKUP(A150,[1]Tørstofindhold!A$2:B$24,2,FALSE),0)</f>
        <v>93965.299605017586</v>
      </c>
      <c r="X150">
        <f ca="1">K150*IFERROR(VLOOKUP(A150,[1]Tørstofindhold!A$2:B$24,2,FALSE),0)</f>
        <v>93965.299605017586</v>
      </c>
      <c r="Y150" s="170">
        <f t="shared" ca="1" si="29"/>
        <v>0</v>
      </c>
      <c r="Z150">
        <f t="shared" ca="1" si="47"/>
        <v>1</v>
      </c>
      <c r="AA150">
        <f t="shared" ca="1" si="48"/>
        <v>0</v>
      </c>
      <c r="AB150" s="94">
        <f t="shared" ca="1" si="49"/>
        <v>-170507.33327986751</v>
      </c>
      <c r="AC150">
        <f ca="1">AB150*D150*10000*VLOOKUP(A150,[1]kcal!$A$2:$C$49,3,FALSE)/1000000000000</f>
        <v>0</v>
      </c>
    </row>
    <row r="151" spans="1:29" x14ac:dyDescent="0.25">
      <c r="A151" s="171" t="s">
        <v>109</v>
      </c>
      <c r="B151" s="171"/>
      <c r="C151" s="171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1</v>
      </c>
      <c r="D151" s="171">
        <f t="shared" si="39"/>
        <v>0</v>
      </c>
      <c r="E151" s="171">
        <f t="shared" si="52"/>
        <v>2019</v>
      </c>
      <c r="F151" t="s">
        <v>24</v>
      </c>
      <c r="G151" s="94">
        <f ca="1">IF(F151="Vestdanmark",SUMIFS(IF(E151=År1,'Resultater - Vestdanmark'!H$3:H$504,IF(E151=År2,'Resultater - Vestdanmark'!I$3:I$504,'Resultater - Vestdanmark'!J$3:J$504)),'Resultater - Vestdanmark'!$F$3:$F$504,$A151,IF(E151=År1,'Resultater - Vestdanmark'!H$3:H$504,IF(E151=År2,'Resultater - Vestdanmark'!I$3:I$504,'Resultater - Vestdanmark'!J$3:J$504)),"&gt;0"),SUMIFS(IF(E151=År1,'Resultater - Østdanmark'!H$3:H$504,IF(E151=År2,'Resultater - Østdanmark'!I$3:I$504,'Resultater - Østdanmark'!J$3:J$504)),'Resultater - Østdanmark'!$F$3:$F$504,$A151,IF(E151=År1,'Resultater - Østdanmark'!H$3:H$504,IF(E151=År2,'Resultater - Østdanmark'!I$3:I$504,'Resultater - Østdanmark'!J$3:J$504)),"&gt;0"))</f>
        <v>110817068.59908372</v>
      </c>
      <c r="H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forbrug'!H$3,'Forbrug af biomasse'!$B$2:$B$425,$F151)</f>
        <v>0</v>
      </c>
      <c r="I151">
        <f>IF(F151="Vestdanmark",-IF(A151="Halm",SUMIFS(IF(E151=År1,'Resultater - Vestdanmark'!H$3:H$504,IF(E151=År2,'Resultater - Vestdanmark'!I$3:I$504,'Resultater - Vestdanmark'!J$3:J$504)),'Resultater - Vestdanmark'!$F$3:$F$504,$A151,'Resultater - Vestdanmark'!H$3:H$504,"&lt;0"),0),-IF(A151="Halm",SUMIFS(IF(E151=År1,'Resultater - Østdanmark'!H$3:H$504,IF(E151=År2,'Resultater - Østdanmark'!I$3:I$504,'Resultater - Østdanmark'!J$3:J$504)),'Resultater - Østdanmark'!$F$3:$F$504,$A151,'Resultater - Østdanmark'!H$3:H$504,"&lt;0"),0))</f>
        <v>0</v>
      </c>
      <c r="J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forbrug'!J$3,'Forbrug af biomasse'!$B$2:$B$425,$F151)</f>
        <v>0</v>
      </c>
      <c r="K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forbrug'!K$3,'Forbrug af biomasse'!$B$2:$B$425,$F151)</f>
        <v>0</v>
      </c>
      <c r="L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forbrug'!L$3,'Forbrug af biomasse'!$B$2:$B$425,$F151)</f>
        <v>0</v>
      </c>
      <c r="M151" s="94">
        <f ca="1">IF(A151&lt;&gt;"Biogas",SUMIFS('Forbrug af biomasse'!$E$2:$E$425,'Forbrug af biomasse'!$C$2:$C$425,'Resultat-Produktion &amp; forbrug'!$A151,'Forbrug af biomasse'!$D$2:$D$425,'Resultat-Produktion &amp; forbrug'!$E151,'Forbrug af biomasse'!$A$2:$A$425,'Resultat-Produktion &amp; forbrug'!M$3,'Forbrug af biomasse'!$B$2:$B$425,$F151),G151)</f>
        <v>110817068.59908372</v>
      </c>
      <c r="N151" s="94">
        <f>SUMIFS('Forbrug af biomasse'!E:E,'Forbrug af biomasse'!C:C,'Resultat-Produktion &amp; forbrug'!$A151,'Forbrug af biomasse'!D:D,'Resultat-Produktion &amp; forbrug'!$E151,'Forbrug af biomasse'!G:G,1,'Forbrug af biomasse'!B:B,$F151)</f>
        <v>0</v>
      </c>
      <c r="O151" s="179">
        <f t="shared" ref="O151:O216" ca="1" si="53">G151-SUM(H151:N151)</f>
        <v>0</v>
      </c>
      <c r="P151" s="94">
        <f t="shared" ca="1" si="43"/>
        <v>0</v>
      </c>
      <c r="Q151" s="180">
        <f t="shared" ref="Q151:Q216" ca="1" si="54">SUM(K151,M151)</f>
        <v>110817068.59908372</v>
      </c>
      <c r="R151">
        <f ca="1">IFERROR(VLOOKUP(A151,[1]Energiindhold!$A$2:$C$11,3,FALSE),IFERROR(VLOOKUP(A151,[1]Biogasudbytte!$A$2:$B$18,2,FALSE)*[1]Energiindhold!$C$10,0))*P151</f>
        <v>0</v>
      </c>
      <c r="S151">
        <f>IF(A151&lt;&gt;"Biogas",IFERROR(VLOOKUP(A151,[1]Biogasudbytte!$A$2:$B$18,2,FALSE)*[1]Energiindhold!$C$10,0)*K151*IFERROR(VLOOKUP(A151,Biogasanlæg!$F$3:$G$8,2,FALSE),1)+IFERROR(VLOOKUP(A151,[1]Energiindhold!$A$2:$C$11,3,FALSE),0)*M151+IF(E151&lt;&gt;År1,R151,0),0)</f>
        <v>0</v>
      </c>
      <c r="T151">
        <f>IFERROR(VLOOKUP(A151,[1]Biogasudbytte!$A$2:$B$18,2,FALSE)*[1]Energiindhold!$C$10,0)*K151*IFERROR(VLOOKUP(A151,Biogasanlæg!$F$3:$G$8,2,FALSE),1)</f>
        <v>0</v>
      </c>
      <c r="U151" s="170">
        <f t="shared" ref="U151:U216" si="55">S151-T151</f>
        <v>0</v>
      </c>
      <c r="V151" s="169">
        <f ca="1">P151*IFERROR(VLOOKUP(A151,[1]Tørstofindhold!A$2:B$24,2,FALSE),0)</f>
        <v>0</v>
      </c>
      <c r="W151">
        <f ca="1">IF(E151=År1,Q151,SUM(P151,Q151))*IFERROR(VLOOKUP(A151,[1]Tørstofindhold!A$2:B$24,2,FALSE),0)</f>
        <v>0</v>
      </c>
      <c r="X151">
        <f>K151*IFERROR(VLOOKUP(A151,[1]Tørstofindhold!A$2:B$24,2,FALSE),0)</f>
        <v>0</v>
      </c>
      <c r="Y151" s="170">
        <f t="shared" ref="Y151:Y216" ca="1" si="56">W151-X151</f>
        <v>0</v>
      </c>
      <c r="Z151">
        <f t="shared" ca="1" si="47"/>
        <v>0</v>
      </c>
      <c r="AA151">
        <f t="shared" ca="1" si="48"/>
        <v>0</v>
      </c>
      <c r="AB151" s="94">
        <f t="shared" ca="1" si="49"/>
        <v>110817068.59908372</v>
      </c>
      <c r="AC151">
        <f ca="1">AB151*D151*10000*VLOOKUP(A151,[1]kcal!$A$2:$C$49,3,FALSE)/1000000000000</f>
        <v>0</v>
      </c>
    </row>
    <row r="152" spans="1:29" x14ac:dyDescent="0.25">
      <c r="A152" s="171" t="s">
        <v>110</v>
      </c>
      <c r="B152" s="171"/>
      <c r="C152" s="171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0</v>
      </c>
      <c r="D152" s="171">
        <f t="shared" si="39"/>
        <v>0</v>
      </c>
      <c r="E152" s="171">
        <f t="shared" si="52"/>
        <v>2019</v>
      </c>
      <c r="F152" t="s">
        <v>24</v>
      </c>
      <c r="G152" s="94">
        <f ca="1">IF(F152="Vestdanmark",SUMIFS(IF(E152=År1,'Resultater - Vestdanmark'!H$3:H$504,IF(E152=År2,'Resultater - Vestdanmark'!I$3:I$504,'Resultater - Vestdanmark'!J$3:J$504)),'Resultater - Vestdanmark'!$F$3:$F$504,$A152,IF(E152=År1,'Resultater - Vestdanmark'!H$3:H$504,IF(E152=År2,'Resultater - Vestdanmark'!I$3:I$504,'Resultater - Vestdanmark'!J$3:J$504)),"&gt;0"),SUMIFS(IF(E152=År1,'Resultater - Østdanmark'!H$3:H$504,IF(E152=År2,'Resultater - Østdanmark'!I$3:I$504,'Resultater - Østdanmark'!J$3:J$504)),'Resultater - Østdanmark'!$F$3:$F$504,$A152,IF(E152=År1,'Resultater - Østdanmark'!H$3:H$504,IF(E152=År2,'Resultater - Østdanmark'!I$3:I$504,'Resultater - Østdanmark'!J$3:J$504)),"&gt;0"))</f>
        <v>2463073.3914116896</v>
      </c>
      <c r="H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forbrug'!H$3,'Forbrug af biomasse'!$B$2:$B$425,$F152)</f>
        <v>0</v>
      </c>
      <c r="I152">
        <f>IF(F152="Vestdanmark",-IF(A152="Halm",SUMIFS(IF(E152=År1,'Resultater - Vestdanmark'!H$3:H$504,IF(E152=År2,'Resultater - Vestdanmark'!I$3:I$504,'Resultater - Vestdanmark'!J$3:J$504)),'Resultater - Vestdanmark'!$F$3:$F$504,$A152,'Resultater - Vestdanmark'!H$3:H$504,"&lt;0"),0),-IF(A152="Halm",SUMIFS(IF(E152=År1,'Resultater - Østdanmark'!H$3:H$504,IF(E152=År2,'Resultater - Østdanmark'!I$3:I$504,'Resultater - Østdanmark'!J$3:J$504)),'Resultater - Østdanmark'!$F$3:$F$504,$A152,'Resultater - Østdanmark'!H$3:H$504,"&lt;0"),0))</f>
        <v>0</v>
      </c>
      <c r="J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forbrug'!J$3,'Forbrug af biomasse'!$B$2:$B$425,$F152)</f>
        <v>0</v>
      </c>
      <c r="K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forbrug'!K$3,'Forbrug af biomasse'!$B$2:$B$425,$F152)</f>
        <v>0</v>
      </c>
      <c r="L152" s="94">
        <f ca="1">SUMIFS('Forbrug af biomasse'!$E$2:$E$425,'Forbrug af biomasse'!$C$2:$C$425,'Resultat-Produktion &amp; forbrug'!$A152,'Forbrug af biomasse'!$D$2:$D$425,'Resultat-Produktion &amp; forbrug'!$E152,'Forbrug af biomasse'!$A$2:$A$425,'Resultat-Produktion &amp; forbrug'!L$3,'Forbrug af biomasse'!$B$2:$B$425,$F152)</f>
        <v>1801862.1200388186</v>
      </c>
      <c r="M152" s="94">
        <f>IF(A152&lt;&gt;"Biogas",SUMIFS('Forbrug af biomasse'!$E$2:$E$425,'Forbrug af biomasse'!$C$2:$C$425,'Resultat-Produktion &amp; forbrug'!$A152,'Forbrug af biomasse'!$D$2:$D$425,'Resultat-Produktion &amp; forbrug'!$E152,'Forbrug af biomasse'!$A$2:$A$425,'Resultat-Produktion &amp; forbrug'!M$3,'Forbrug af biomasse'!$B$2:$B$425,$F152),G152)</f>
        <v>0</v>
      </c>
      <c r="N152" s="94">
        <f>SUMIFS('Forbrug af biomasse'!E:E,'Forbrug af biomasse'!C:C,'Resultat-Produktion &amp; forbrug'!$A152,'Forbrug af biomasse'!D:D,'Resultat-Produktion &amp; forbrug'!$E152,'Forbrug af biomasse'!G:G,1,'Forbrug af biomasse'!B:B,$F152)</f>
        <v>0</v>
      </c>
      <c r="O152" s="179">
        <f t="shared" ca="1" si="53"/>
        <v>661211.27137287101</v>
      </c>
      <c r="P152" s="94">
        <f t="shared" si="43"/>
        <v>0</v>
      </c>
      <c r="Q152" s="180">
        <f t="shared" si="54"/>
        <v>0</v>
      </c>
      <c r="R152">
        <f>IFERROR(VLOOKUP(A152,[1]Energiindhold!$A$2:$C$11,3,FALSE),IFERROR(VLOOKUP(A152,[1]Biogasudbytte!$A$2:$B$18,2,FALSE)*[1]Energiindhold!$C$10,0))*P152</f>
        <v>0</v>
      </c>
      <c r="S152">
        <f>IF(A152&lt;&gt;"Biogas",IFERROR(VLOOKUP(A152,[1]Biogasudbytte!$A$2:$B$18,2,FALSE)*[1]Energiindhold!$C$10,0)*K152*IFERROR(VLOOKUP(A152,Biogasanlæg!$F$3:$G$8,2,FALSE),1)+IFERROR(VLOOKUP(A152,[1]Energiindhold!$A$2:$C$11,3,FALSE),0)*M152+IF(E152&lt;&gt;År1,R152,0),0)</f>
        <v>0</v>
      </c>
      <c r="T152">
        <f>IFERROR(VLOOKUP(A152,[1]Biogasudbytte!$A$2:$B$18,2,FALSE)*[1]Energiindhold!$C$10,0)*K152*IFERROR(VLOOKUP(A152,Biogasanlæg!$F$3:$G$8,2,FALSE),1)</f>
        <v>0</v>
      </c>
      <c r="U152" s="170">
        <f t="shared" si="55"/>
        <v>0</v>
      </c>
      <c r="V152" s="169">
        <f>P152*IFERROR(VLOOKUP(A152,[1]Tørstofindhold!A$2:B$24,2,FALSE),0)</f>
        <v>0</v>
      </c>
      <c r="W152">
        <f>IF(E152=År1,Q152,SUM(P152,Q152))*IFERROR(VLOOKUP(A152,[1]Tørstofindhold!A$2:B$24,2,FALSE),0)</f>
        <v>0</v>
      </c>
      <c r="X152">
        <f>K152*IFERROR(VLOOKUP(A152,[1]Tørstofindhold!A$2:B$24,2,FALSE),0)</f>
        <v>0</v>
      </c>
      <c r="Y152" s="170">
        <f t="shared" si="56"/>
        <v>0</v>
      </c>
      <c r="Z152">
        <f t="shared" ca="1" si="47"/>
        <v>0</v>
      </c>
      <c r="AA152">
        <f t="shared" ca="1" si="48"/>
        <v>1</v>
      </c>
      <c r="AB152" s="94">
        <f t="shared" ca="1" si="49"/>
        <v>661211.27137287101</v>
      </c>
      <c r="AC152">
        <f ca="1">AB152*D152*10000*VLOOKUP(A152,[1]kcal!$A$2:$C$49,3,FALSE)/1000000000000</f>
        <v>0</v>
      </c>
    </row>
    <row r="153" spans="1:29" x14ac:dyDescent="0.25">
      <c r="A153" s="171" t="s">
        <v>208</v>
      </c>
      <c r="B153" s="171" t="s">
        <v>230</v>
      </c>
      <c r="C153" s="171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71">
        <f t="shared" si="39"/>
        <v>0</v>
      </c>
      <c r="E153" s="171">
        <f t="shared" si="52"/>
        <v>2019</v>
      </c>
      <c r="F153" t="s">
        <v>24</v>
      </c>
      <c r="G153" s="94">
        <f>IF(F153="Vestdanmark",SUMIFS(IF(E153=År1,'Resultater - Vestdanmark'!H$3:H$504,IF(E153=År2,'Resultater - Vestdanmark'!I$3:I$504,'Resultater - Vestdanmark'!J$3:J$504)),'Resultater - Vestdanmark'!$F$3:$F$504,$A153,IF(E153=År1,'Resultater - Vestdanmark'!H$3:H$504,IF(E153=År2,'Resultater - Vestdanmark'!I$3:I$504,'Resultater - Vestdanmark'!J$3:J$504)),"&gt;0"),SUMIFS(IF(E153=År1,'Resultater - Østdanmark'!H$3:H$504,IF(E153=År2,'Resultater - Østdanmark'!I$3:I$504,'Resultater - Østdanmark'!J$3:J$504)),'Resultater - Østdanmark'!$F$3:$F$504,$A153,IF(E153=År1,'Resultater - Østdanmark'!H$3:H$504,IF(E153=År2,'Resultater - Østdanmark'!I$3:I$504,'Resultater - Østdanmark'!J$3:J$504)),"&gt;0"))</f>
        <v>0</v>
      </c>
      <c r="H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forbrug'!H$3,'Forbrug af biomasse'!$B$2:$B$425,$F153)</f>
        <v>0</v>
      </c>
      <c r="I153">
        <f>IF(F153="Vestdanmark",-IF(A153="Halm",SUMIFS(IF(E153=År1,'Resultater - Vestdanmark'!H$3:H$504,IF(E153=År2,'Resultater - Vestdanmark'!I$3:I$504,'Resultater - Vestdanmark'!J$3:J$504)),'Resultater - Vestdanmark'!$F$3:$F$504,$A153,'Resultater - Vestdanmark'!H$3:H$504,"&lt;0"),0),-IF(A153="Halm",SUMIFS(IF(E153=År1,'Resultater - Østdanmark'!H$3:H$504,IF(E153=År2,'Resultater - Østdanmark'!I$3:I$504,'Resultater - Østdanmark'!J$3:J$504)),'Resultater - Østdanmark'!$F$3:$F$504,$A153,'Resultater - Østdanmark'!H$3:H$504,"&lt;0"),0))</f>
        <v>0</v>
      </c>
      <c r="J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forbrug'!J$3,'Forbrug af biomasse'!$B$2:$B$425,$F153)</f>
        <v>0</v>
      </c>
      <c r="K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forbrug'!K$3,'Forbrug af biomasse'!$B$2:$B$425,$F153)</f>
        <v>0</v>
      </c>
      <c r="L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forbrug'!L$3,'Forbrug af biomasse'!$B$2:$B$425,$F153)</f>
        <v>0</v>
      </c>
      <c r="M153" s="94">
        <f>IF(A153&lt;&gt;"Biogas",SUMIFS('Forbrug af biomasse'!$E$2:$E$425,'Forbrug af biomasse'!$C$2:$C$425,'Resultat-Produktion &amp; forbrug'!$A153,'Forbrug af biomasse'!$D$2:$D$425,'Resultat-Produktion &amp; forbrug'!$E153,'Forbrug af biomasse'!$A$2:$A$425,'Resultat-Produktion &amp; forbrug'!M$3,'Forbrug af biomasse'!$B$2:$B$425,$F153),G153)</f>
        <v>0</v>
      </c>
      <c r="N153" s="94">
        <f>SUMIFS('Forbrug af biomasse'!E:E,'Forbrug af biomasse'!C:C,'Resultat-Produktion &amp; forbrug'!$A153,'Forbrug af biomasse'!D:D,'Resultat-Produktion &amp; forbrug'!$E153,'Forbrug af biomasse'!G:G,1,'Forbrug af biomasse'!B:B,$F153)</f>
        <v>0</v>
      </c>
      <c r="O153" s="179">
        <f t="shared" si="53"/>
        <v>0</v>
      </c>
      <c r="P153" s="94">
        <f t="shared" si="43"/>
        <v>0</v>
      </c>
      <c r="Q153" s="180">
        <f t="shared" si="54"/>
        <v>0</v>
      </c>
      <c r="R153">
        <f>IFERROR(VLOOKUP(A153,[1]Energiindhold!$A$2:$C$11,3,FALSE),IFERROR(VLOOKUP(A153,[1]Biogasudbytte!$A$2:$B$18,2,FALSE)*[1]Energiindhold!$C$10,0))*P153</f>
        <v>0</v>
      </c>
      <c r="S153">
        <f>IF(A153&lt;&gt;"Biogas",IFERROR(VLOOKUP(A153,[1]Biogasudbytte!$A$2:$B$18,2,FALSE)*[1]Energiindhold!$C$10,0)*K153*IFERROR(VLOOKUP(A153,Biogasanlæg!$F$3:$G$8,2,FALSE),1)+IFERROR(VLOOKUP(A153,[1]Energiindhold!$A$2:$C$11,3,FALSE),0)*M153+IF(E153&lt;&gt;År1,R153,0),0)</f>
        <v>0</v>
      </c>
      <c r="T153">
        <f>IFERROR(VLOOKUP(A153,[1]Biogasudbytte!$A$2:$B$18,2,FALSE)*[1]Energiindhold!$C$10,0)*K153*IFERROR(VLOOKUP(A153,Biogasanlæg!$F$3:$G$8,2,FALSE),1)</f>
        <v>0</v>
      </c>
      <c r="U153" s="170">
        <f t="shared" si="55"/>
        <v>0</v>
      </c>
      <c r="V153" s="169">
        <f>P153*IFERROR(VLOOKUP(A153,[1]Tørstofindhold!A$2:B$24,2,FALSE),0)</f>
        <v>0</v>
      </c>
      <c r="W153">
        <f>IF(E153=År1,Q153,SUM(P153,Q153))*IFERROR(VLOOKUP(A153,[1]Tørstofindhold!A$2:B$24,2,FALSE),0)</f>
        <v>0</v>
      </c>
      <c r="X153">
        <f>K153*IFERROR(VLOOKUP(A153,[1]Tørstofindhold!A$2:B$24,2,FALSE),0)</f>
        <v>0</v>
      </c>
      <c r="Y153" s="170">
        <f t="shared" si="56"/>
        <v>0</v>
      </c>
      <c r="Z153">
        <f t="shared" si="47"/>
        <v>0</v>
      </c>
      <c r="AA153">
        <f t="shared" si="48"/>
        <v>0</v>
      </c>
      <c r="AB153" s="94">
        <f t="shared" si="49"/>
        <v>0</v>
      </c>
      <c r="AC153">
        <f>AB153*D153*10000*VLOOKUP(A153,[1]kcal!$A$2:$C$49,3,FALSE)/1000000000000</f>
        <v>0</v>
      </c>
    </row>
    <row r="154" spans="1:29" x14ac:dyDescent="0.25">
      <c r="A154" t="s">
        <v>101</v>
      </c>
      <c r="B154" s="171" t="s">
        <v>222</v>
      </c>
      <c r="C154" s="171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1</v>
      </c>
      <c r="D154" s="171">
        <f t="shared" si="39"/>
        <v>0</v>
      </c>
      <c r="E154" s="171">
        <f t="shared" si="52"/>
        <v>2019</v>
      </c>
      <c r="F154" t="s">
        <v>24</v>
      </c>
      <c r="G154" s="94">
        <f>IF(F154="Vestdanmark",SUMIFS(IF(E154=År1,'Resultater - Vestdanmark'!H$3:H$504,IF(E154=År2,'Resultater - Vestdanmark'!I$3:I$504,'Resultater - Vestdanmark'!J$3:J$504)),'Resultater - Vestdanmark'!$F$3:$F$504,$A154,IF(E154=År1,'Resultater - Vestdanmark'!H$3:H$504,IF(E154=År2,'Resultater - Vestdanmark'!I$3:I$504,'Resultater - Vestdanmark'!J$3:J$504)),"&gt;0"),SUMIFS(IF(E154=År1,'Resultater - Østdanmark'!H$3:H$504,IF(E154=År2,'Resultater - Østdanmark'!I$3:I$504,'Resultater - Østdanmark'!J$3:J$504)),'Resultater - Østdanmark'!$F$3:$F$504,$A154,IF(E154=År1,'Resultater - Østdanmark'!H$3:H$504,IF(E154=År2,'Resultater - Østdanmark'!I$3:I$504,'Resultater - Østdanmark'!J$3:J$504)),"&gt;0"))</f>
        <v>332759.92297580565</v>
      </c>
      <c r="H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forbrug'!H$3,'Forbrug af biomasse'!$B$2:$B$425,$F154)</f>
        <v>0</v>
      </c>
      <c r="I154">
        <f>IF(F154="Vestdanmark",-IF(A154="Halm",SUMIFS(IF(E154=År1,'Resultater - Vestdanmark'!H$3:H$504,IF(E154=År2,'Resultater - Vestdanmark'!I$3:I$504,'Resultater - Vestdanmark'!J$3:J$504)),'Resultater - Vestdanmark'!$F$3:$F$504,$A154,'Resultater - Vestdanmark'!H$3:H$504,"&lt;0"),0),-IF(A154="Halm",SUMIFS(IF(E154=År1,'Resultater - Østdanmark'!H$3:H$504,IF(E154=År2,'Resultater - Østdanmark'!I$3:I$504,'Resultater - Østdanmark'!J$3:J$504)),'Resultater - Østdanmark'!$F$3:$F$504,$A154,'Resultater - Østdanmark'!H$3:H$504,"&lt;0"),0))</f>
        <v>0</v>
      </c>
      <c r="J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forbrug'!J$3,'Forbrug af biomasse'!$B$2:$B$425,$F154)</f>
        <v>0</v>
      </c>
      <c r="K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forbrug'!K$3,'Forbrug af biomasse'!$B$2:$B$425,$F154)</f>
        <v>85892.328449707566</v>
      </c>
      <c r="L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forbrug'!L$3,'Forbrug af biomasse'!$B$2:$B$425,$F154)</f>
        <v>93457.017927737121</v>
      </c>
      <c r="M154" s="94">
        <f>IF(A154&lt;&gt;"Biogas",SUMIFS('Forbrug af biomasse'!$E$2:$E$425,'Forbrug af biomasse'!$C$2:$C$425,'Resultat-Produktion &amp; forbrug'!$A154,'Forbrug af biomasse'!$D$2:$D$425,'Resultat-Produktion &amp; forbrug'!$E154,'Forbrug af biomasse'!$A$2:$A$425,'Resultat-Produktion &amp; forbrug'!M$3,'Forbrug af biomasse'!$B$2:$B$425,$F154),G154)</f>
        <v>0</v>
      </c>
      <c r="N154" s="94">
        <f>SUMIFS('Forbrug af biomasse'!E:E,'Forbrug af biomasse'!C:C,'Resultat-Produktion &amp; forbrug'!$A154,'Forbrug af biomasse'!D:D,'Resultat-Produktion &amp; forbrug'!$E154,'Forbrug af biomasse'!G:G,1,'Forbrug af biomasse'!B:B,$F154)</f>
        <v>0</v>
      </c>
      <c r="O154" s="179">
        <f t="shared" si="53"/>
        <v>153410.57659836096</v>
      </c>
      <c r="P154" s="94">
        <f t="shared" si="43"/>
        <v>153410.57659836096</v>
      </c>
      <c r="Q154" s="180">
        <f t="shared" si="54"/>
        <v>85892.328449707566</v>
      </c>
      <c r="R154">
        <f>IFERROR(VLOOKUP(A154,[1]Energiindhold!$A$2:$C$11,3,FALSE),IFERROR(VLOOKUP(A154,[1]Biogasudbytte!$A$2:$B$18,2,FALSE)*[1]Energiindhold!$C$10,0))*P154</f>
        <v>0.33044638199286952</v>
      </c>
      <c r="S154">
        <f>IF(A154&lt;&gt;"Biogas",IFERROR(VLOOKUP(A154,[1]Biogasudbytte!$A$2:$B$18,2,FALSE)*[1]Energiindhold!$C$10,0)*K154*IFERROR(VLOOKUP(A154,Biogasanlæg!$F$3:$G$8,2,FALSE),1)+IFERROR(VLOOKUP(A154,[1]Energiindhold!$A$2:$C$11,3,FALSE),0)*M154+IF(E154&lt;&gt;År1,R154,0),0)</f>
        <v>0.18501207548067011</v>
      </c>
      <c r="T154">
        <f>IFERROR(VLOOKUP(A154,[1]Biogasudbytte!$A$2:$B$18,2,FALSE)*[1]Energiindhold!$C$10,0)*K154*IFERROR(VLOOKUP(A154,Biogasanlæg!$F$3:$G$8,2,FALSE),1)</f>
        <v>0.18501207548067011</v>
      </c>
      <c r="U154" s="170">
        <f t="shared" si="55"/>
        <v>0</v>
      </c>
      <c r="V154" s="169">
        <f>P154*IFERROR(VLOOKUP(A154,[1]Tørstofindhold!A$2:B$24,2,FALSE),0)</f>
        <v>46023.172979508287</v>
      </c>
      <c r="W154">
        <f>IF(E154=År1,Q154,SUM(P154,Q154))*IFERROR(VLOOKUP(A154,[1]Tørstofindhold!A$2:B$24,2,FALSE),0)</f>
        <v>25767.69853491227</v>
      </c>
      <c r="X154">
        <f>K154*IFERROR(VLOOKUP(A154,[1]Tørstofindhold!A$2:B$24,2,FALSE),0)</f>
        <v>25767.69853491227</v>
      </c>
      <c r="Y154" s="170">
        <f t="shared" si="56"/>
        <v>0</v>
      </c>
      <c r="Z154">
        <f t="shared" si="47"/>
        <v>0</v>
      </c>
      <c r="AA154">
        <f t="shared" si="48"/>
        <v>1</v>
      </c>
      <c r="AB154" s="94">
        <f t="shared" si="49"/>
        <v>153410.57659836096</v>
      </c>
      <c r="AC154">
        <f>AB154*D154*10000*VLOOKUP(A154,[1]kcal!$A$2:$C$49,3,FALSE)/1000000000000</f>
        <v>0</v>
      </c>
    </row>
    <row r="155" spans="1:29" x14ac:dyDescent="0.25">
      <c r="A155" t="s">
        <v>204</v>
      </c>
      <c r="B155" s="171"/>
      <c r="C155" s="171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0</v>
      </c>
      <c r="D155" s="171">
        <f t="shared" si="39"/>
        <v>0</v>
      </c>
      <c r="E155" s="171">
        <f t="shared" si="52"/>
        <v>2019</v>
      </c>
      <c r="F155" t="s">
        <v>24</v>
      </c>
      <c r="G155" s="94">
        <f>IF(F155="Vestdanmark",SUMIFS(IF(E155=År1,'Resultater - Vestdanmark'!H$3:H$504,IF(E155=År2,'Resultater - Vestdanmark'!I$3:I$504,'Resultater - Vestdanmark'!J$3:J$504)),'Resultater - Vestdanmark'!$F$3:$F$504,$A155,IF(E155=År1,'Resultater - Vestdanmark'!H$3:H$504,IF(E155=År2,'Resultater - Vestdanmark'!I$3:I$504,'Resultater - Vestdanmark'!J$3:J$504)),"&gt;0"),SUMIFS(IF(E155=År1,'Resultater - Østdanmark'!H$3:H$504,IF(E155=År2,'Resultater - Østdanmark'!I$3:I$504,'Resultater - Østdanmark'!J$3:J$504)),'Resultater - Østdanmark'!$F$3:$F$504,$A155,IF(E155=År1,'Resultater - Østdanmark'!H$3:H$504,IF(E155=År2,'Resultater - Østdanmark'!I$3:I$504,'Resultater - Østdanmark'!J$3:J$504)),"&gt;0"))</f>
        <v>0</v>
      </c>
      <c r="H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forbrug'!H$3,'Forbrug af biomasse'!$B$2:$B$425,$F155)</f>
        <v>0</v>
      </c>
      <c r="I155">
        <f>IF(F155="Vestdanmark",-IF(A155="Halm",SUMIFS(IF(E155=År1,'Resultater - Vestdanmark'!H$3:H$504,IF(E155=År2,'Resultater - Vestdanmark'!I$3:I$504,'Resultater - Vestdanmark'!J$3:J$504)),'Resultater - Vestdanmark'!$F$3:$F$504,$A155,'Resultater - Vestdanmark'!H$3:H$504,"&lt;0"),0),-IF(A155="Halm",SUMIFS(IF(E155=År1,'Resultater - Østdanmark'!H$3:H$504,IF(E155=År2,'Resultater - Østdanmark'!I$3:I$504,'Resultater - Østdanmark'!J$3:J$504)),'Resultater - Østdanmark'!$F$3:$F$504,$A155,'Resultater - Østdanmark'!H$3:H$504,"&lt;0"),0))</f>
        <v>0</v>
      </c>
      <c r="J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forbrug'!J$3,'Forbrug af biomasse'!$B$2:$B$425,$F155)</f>
        <v>0</v>
      </c>
      <c r="K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forbrug'!K$3,'Forbrug af biomasse'!$B$2:$B$425,$F155)</f>
        <v>0</v>
      </c>
      <c r="L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forbrug'!L$3,'Forbrug af biomasse'!$B$2:$B$425,$F155)</f>
        <v>0</v>
      </c>
      <c r="M155" s="94">
        <f>IF(A155&lt;&gt;"Biogas",SUMIFS('Forbrug af biomasse'!$E$2:$E$425,'Forbrug af biomasse'!$C$2:$C$425,'Resultat-Produktion &amp; forbrug'!$A155,'Forbrug af biomasse'!$D$2:$D$425,'Resultat-Produktion &amp; forbrug'!$E155,'Forbrug af biomasse'!$A$2:$A$425,'Resultat-Produktion &amp; forbrug'!M$3,'Forbrug af biomasse'!$B$2:$B$425,$F155),G155)</f>
        <v>0</v>
      </c>
      <c r="N155" s="94">
        <f>SUMIFS('Forbrug af biomasse'!E:E,'Forbrug af biomasse'!C:C,'Resultat-Produktion &amp; forbrug'!$A155,'Forbrug af biomasse'!D:D,'Resultat-Produktion &amp; forbrug'!$E155,'Forbrug af biomasse'!G:G,1,'Forbrug af biomasse'!B:B,$F155)</f>
        <v>0</v>
      </c>
      <c r="O155" s="179">
        <f t="shared" si="53"/>
        <v>0</v>
      </c>
      <c r="P155" s="94">
        <f t="shared" si="43"/>
        <v>0</v>
      </c>
      <c r="Q155" s="180">
        <f t="shared" si="54"/>
        <v>0</v>
      </c>
      <c r="R155">
        <f>IFERROR(VLOOKUP(A155,[1]Energiindhold!$A$2:$C$11,3,FALSE),IFERROR(VLOOKUP(A155,[1]Biogasudbytte!$A$2:$B$18,2,FALSE)*[1]Energiindhold!$C$10,0))*P155</f>
        <v>0</v>
      </c>
      <c r="S155">
        <f>IF(A155&lt;&gt;"Biogas",IFERROR(VLOOKUP(A155,[1]Biogasudbytte!$A$2:$B$18,2,FALSE)*[1]Energiindhold!$C$10,0)*K155*IFERROR(VLOOKUP(A155,Biogasanlæg!$F$3:$G$8,2,FALSE),1)+IFERROR(VLOOKUP(A155,[1]Energiindhold!$A$2:$C$11,3,FALSE),0)*M155+IF(E155&lt;&gt;År1,R155,0),0)</f>
        <v>0</v>
      </c>
      <c r="T155">
        <f>IFERROR(VLOOKUP(A155,[1]Biogasudbytte!$A$2:$B$18,2,FALSE)*[1]Energiindhold!$C$10,0)*K155*IFERROR(VLOOKUP(A155,Biogasanlæg!$F$3:$G$8,2,FALSE),1)</f>
        <v>0</v>
      </c>
      <c r="U155" s="170">
        <f t="shared" si="55"/>
        <v>0</v>
      </c>
      <c r="V155" s="169">
        <f>P155*IFERROR(VLOOKUP(A155,[1]Tørstofindhold!A$2:B$24,2,FALSE),0)</f>
        <v>0</v>
      </c>
      <c r="W155">
        <f>IF(E155=År1,Q155,SUM(P155,Q155))*IFERROR(VLOOKUP(A155,[1]Tørstofindhold!A$2:B$24,2,FALSE),0)</f>
        <v>0</v>
      </c>
      <c r="X155">
        <f>K155*IFERROR(VLOOKUP(A155,[1]Tørstofindhold!A$2:B$24,2,FALSE),0)</f>
        <v>0</v>
      </c>
      <c r="Y155" s="170">
        <f t="shared" si="56"/>
        <v>0</v>
      </c>
      <c r="Z155">
        <f t="shared" si="47"/>
        <v>0</v>
      </c>
      <c r="AA155">
        <f t="shared" si="48"/>
        <v>0</v>
      </c>
      <c r="AB155" s="94">
        <f t="shared" si="49"/>
        <v>0</v>
      </c>
      <c r="AC155">
        <f>AB155*D155*10000*VLOOKUP(A155,[1]kcal!$A$2:$C$49,3,FALSE)/1000000000000</f>
        <v>0</v>
      </c>
    </row>
    <row r="156" spans="1:29" x14ac:dyDescent="0.25">
      <c r="A156" t="s">
        <v>137</v>
      </c>
      <c r="B156" s="171" t="s">
        <v>222</v>
      </c>
      <c r="C156" s="171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1</v>
      </c>
      <c r="D156" s="171">
        <f t="shared" si="39"/>
        <v>0</v>
      </c>
      <c r="E156" s="171">
        <f t="shared" si="52"/>
        <v>2019</v>
      </c>
      <c r="F156" t="s">
        <v>24</v>
      </c>
      <c r="G156" s="94">
        <f>IF(F156="Vestdanmark",SUMIFS(IF(E156=År1,'Resultater - Vestdanmark'!H$3:H$504,IF(E156=År2,'Resultater - Vestdanmark'!I$3:I$504,'Resultater - Vestdanmark'!J$3:J$504)),'Resultater - Vestdanmark'!$F$3:$F$504,$A156,IF(E156=År1,'Resultater - Vestdanmark'!H$3:H$504,IF(E156=År2,'Resultater - Vestdanmark'!I$3:I$504,'Resultater - Vestdanmark'!J$3:J$504)),"&gt;0"),SUMIFS(IF(E156=År1,'Resultater - Østdanmark'!H$3:H$504,IF(E156=År2,'Resultater - Østdanmark'!I$3:I$504,'Resultater - Østdanmark'!J$3:J$504)),'Resultater - Østdanmark'!$F$3:$F$504,$A156,IF(E156=År1,'Resultater - Østdanmark'!H$3:H$504,IF(E156=År2,'Resultater - Østdanmark'!I$3:I$504,'Resultater - Østdanmark'!J$3:J$504)),"&gt;0"))</f>
        <v>675.387643904882</v>
      </c>
      <c r="H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forbrug'!H$3,'Forbrug af biomasse'!$B$2:$B$425,$F156)</f>
        <v>0</v>
      </c>
      <c r="I156">
        <f>IF(F156="Vestdanmark",-IF(A156="Halm",SUMIFS(IF(E156=År1,'Resultater - Vestdanmark'!H$3:H$504,IF(E156=År2,'Resultater - Vestdanmark'!I$3:I$504,'Resultater - Vestdanmark'!J$3:J$504)),'Resultater - Vestdanmark'!$F$3:$F$504,$A156,'Resultater - Vestdanmark'!H$3:H$504,"&lt;0"),0),-IF(A156="Halm",SUMIFS(IF(E156=År1,'Resultater - Østdanmark'!H$3:H$504,IF(E156=År2,'Resultater - Østdanmark'!I$3:I$504,'Resultater - Østdanmark'!J$3:J$504)),'Resultater - Østdanmark'!$F$3:$F$504,$A156,'Resultater - Østdanmark'!H$3:H$504,"&lt;0"),0))</f>
        <v>0</v>
      </c>
      <c r="J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forbrug'!J$3,'Forbrug af biomasse'!$B$2:$B$425,$F156)</f>
        <v>0</v>
      </c>
      <c r="K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forbrug'!K$3,'Forbrug af biomasse'!$B$2:$B$425,$F156)</f>
        <v>337.693821952441</v>
      </c>
      <c r="L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forbrug'!L$3,'Forbrug af biomasse'!$B$2:$B$425,$F156)</f>
        <v>337.693821952441</v>
      </c>
      <c r="M156" s="94">
        <f>IF(A156&lt;&gt;"Biogas",SUMIFS('Forbrug af biomasse'!$E$2:$E$425,'Forbrug af biomasse'!$C$2:$C$425,'Resultat-Produktion &amp; forbrug'!$A156,'Forbrug af biomasse'!$D$2:$D$425,'Resultat-Produktion &amp; forbrug'!$E156,'Forbrug af biomasse'!$A$2:$A$425,'Resultat-Produktion &amp; forbrug'!M$3,'Forbrug af biomasse'!$B$2:$B$425,$F156),G156)</f>
        <v>0</v>
      </c>
      <c r="N156" s="94">
        <f>SUMIFS('Forbrug af biomasse'!E:E,'Forbrug af biomasse'!C:C,'Resultat-Produktion &amp; forbrug'!$A156,'Forbrug af biomasse'!D:D,'Resultat-Produktion &amp; forbrug'!$E156,'Forbrug af biomasse'!G:G,1,'Forbrug af biomasse'!B:B,$F156)</f>
        <v>0</v>
      </c>
      <c r="O156" s="179">
        <f t="shared" si="53"/>
        <v>0</v>
      </c>
      <c r="P156" s="94">
        <f t="shared" si="43"/>
        <v>0</v>
      </c>
      <c r="Q156" s="180">
        <f t="shared" si="54"/>
        <v>337.693821952441</v>
      </c>
      <c r="R156">
        <f>IFERROR(VLOOKUP(A156,[1]Energiindhold!$A$2:$C$11,3,FALSE),IFERROR(VLOOKUP(A156,[1]Biogasudbytte!$A$2:$B$18,2,FALSE)*[1]Energiindhold!$C$10,0))*P156</f>
        <v>0</v>
      </c>
      <c r="S156">
        <f>IF(A156&lt;&gt;"Biogas",IFERROR(VLOOKUP(A156,[1]Biogasudbytte!$A$2:$B$18,2,FALSE)*[1]Energiindhold!$C$10,0)*K156*IFERROR(VLOOKUP(A156,Biogasanlæg!$F$3:$G$8,2,FALSE),1)+IFERROR(VLOOKUP(A156,[1]Energiindhold!$A$2:$C$11,3,FALSE),0)*M156+IF(E156&lt;&gt;År1,R156,0),0)</f>
        <v>1.5881402752601349E-4</v>
      </c>
      <c r="T156">
        <f>IFERROR(VLOOKUP(A156,[1]Biogasudbytte!$A$2:$B$18,2,FALSE)*[1]Energiindhold!$C$10,0)*K156*IFERROR(VLOOKUP(A156,Biogasanlæg!$F$3:$G$8,2,FALSE),1)</f>
        <v>1.5881402752601349E-4</v>
      </c>
      <c r="U156" s="170">
        <f t="shared" si="55"/>
        <v>0</v>
      </c>
      <c r="V156" s="169">
        <f>P156*IFERROR(VLOOKUP(A156,[1]Tørstofindhold!A$2:B$24,2,FALSE),0)</f>
        <v>0</v>
      </c>
      <c r="W156">
        <f>IF(E156=År1,Q156,SUM(P156,Q156))*IFERROR(VLOOKUP(A156,[1]Tørstofindhold!A$2:B$24,2,FALSE),0)</f>
        <v>21.274710783003783</v>
      </c>
      <c r="X156">
        <f>K156*IFERROR(VLOOKUP(A156,[1]Tørstofindhold!A$2:B$24,2,FALSE),0)</f>
        <v>21.274710783003783</v>
      </c>
      <c r="Y156" s="170">
        <f t="shared" si="56"/>
        <v>0</v>
      </c>
      <c r="Z156">
        <f t="shared" si="47"/>
        <v>0</v>
      </c>
      <c r="AA156">
        <f t="shared" si="48"/>
        <v>0</v>
      </c>
      <c r="AB156" s="94">
        <f t="shared" si="49"/>
        <v>0</v>
      </c>
      <c r="AC156">
        <f>AB156*D156*10000*VLOOKUP(A156,[1]kcal!$A$2:$C$49,3,FALSE)/1000000000000</f>
        <v>0</v>
      </c>
    </row>
    <row r="157" spans="1:29" x14ac:dyDescent="0.25">
      <c r="A157" t="s">
        <v>96</v>
      </c>
      <c r="B157" s="171"/>
      <c r="C157" s="171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71">
        <f t="shared" si="39"/>
        <v>1</v>
      </c>
      <c r="E157" s="171">
        <f t="shared" si="52"/>
        <v>2019</v>
      </c>
      <c r="F157" t="s">
        <v>24</v>
      </c>
      <c r="G157" s="94">
        <f>IF(F157="Vestdanmark",SUMIFS(IF(E157=År1,'Resultater - Vestdanmark'!H$3:H$504,IF(E157=År2,'Resultater - Vestdanmark'!I$3:I$504,'Resultater - Vestdanmark'!J$3:J$504)),'Resultater - Vestdanmark'!$F$3:$F$504,$A157,IF(E157=År1,'Resultater - Vestdanmark'!H$3:H$504,IF(E157=År2,'Resultater - Vestdanmark'!I$3:I$504,'Resultater - Vestdanmark'!J$3:J$504)),"&gt;0"),SUMIFS(IF(E157=År1,'Resultater - Østdanmark'!H$3:H$504,IF(E157=År2,'Resultater - Østdanmark'!I$3:I$504,'Resultater - Østdanmark'!J$3:J$504)),'Resultater - Østdanmark'!$F$3:$F$504,$A157,IF(E157=År1,'Resultater - Østdanmark'!H$3:H$504,IF(E157=År2,'Resultater - Østdanmark'!I$3:I$504,'Resultater - Østdanmark'!J$3:J$504)),"&gt;0"))</f>
        <v>15969.006082579654</v>
      </c>
      <c r="H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forbrug'!H$3,'Forbrug af biomasse'!$B$2:$B$425,$F157)</f>
        <v>0</v>
      </c>
      <c r="I157">
        <f>IF(F157="Vestdanmark",-IF(A157="Halm",SUMIFS(IF(E157=År1,'Resultater - Vestdanmark'!H$3:H$504,IF(E157=År2,'Resultater - Vestdanmark'!I$3:I$504,'Resultater - Vestdanmark'!J$3:J$504)),'Resultater - Vestdanmark'!$F$3:$F$504,$A157,'Resultater - Vestdanmark'!H$3:H$504,"&lt;0"),0),-IF(A157="Halm",SUMIFS(IF(E157=År1,'Resultater - Østdanmark'!H$3:H$504,IF(E157=År2,'Resultater - Østdanmark'!I$3:I$504,'Resultater - Østdanmark'!J$3:J$504)),'Resultater - Østdanmark'!$F$3:$F$504,$A157,'Resultater - Østdanmark'!H$3:H$504,"&lt;0"),0))</f>
        <v>0</v>
      </c>
      <c r="J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forbrug'!J$3,'Forbrug af biomasse'!$B$2:$B$425,$F157)</f>
        <v>29120.587456275069</v>
      </c>
      <c r="K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forbrug'!K$3,'Forbrug af biomasse'!$B$2:$B$425,$F157)</f>
        <v>0</v>
      </c>
      <c r="L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forbrug'!L$3,'Forbrug af biomasse'!$B$2:$B$425,$F157)</f>
        <v>0</v>
      </c>
      <c r="M157" s="94">
        <f>IF(A157&lt;&gt;"Biogas",SUMIFS('Forbrug af biomasse'!$E$2:$E$425,'Forbrug af biomasse'!$C$2:$C$425,'Resultat-Produktion &amp; forbrug'!$A157,'Forbrug af biomasse'!$D$2:$D$425,'Resultat-Produktion &amp; forbrug'!$E157,'Forbrug af biomasse'!$A$2:$A$425,'Resultat-Produktion &amp; forbrug'!M$3,'Forbrug af biomasse'!$B$2:$B$425,$F157),G157)</f>
        <v>0</v>
      </c>
      <c r="N157" s="94">
        <f>SUMIFS('Forbrug af biomasse'!E:E,'Forbrug af biomasse'!C:C,'Resultat-Produktion &amp; forbrug'!$A157,'Forbrug af biomasse'!D:D,'Resultat-Produktion &amp; forbrug'!$E157,'Forbrug af biomasse'!G:G,1,'Forbrug af biomasse'!B:B,$F157)</f>
        <v>0</v>
      </c>
      <c r="O157" s="179">
        <f t="shared" si="53"/>
        <v>-13151.581373695415</v>
      </c>
      <c r="P157" s="94">
        <f t="shared" si="43"/>
        <v>0</v>
      </c>
      <c r="Q157" s="180">
        <f t="shared" si="54"/>
        <v>0</v>
      </c>
      <c r="R157">
        <f>IFERROR(VLOOKUP(A157,[1]Energiindhold!$A$2:$C$11,3,FALSE),IFERROR(VLOOKUP(A157,[1]Biogasudbytte!$A$2:$B$18,2,FALSE)*[1]Energiindhold!$C$10,0))*P157</f>
        <v>0</v>
      </c>
      <c r="S157">
        <f>IF(A157&lt;&gt;"Biogas",IFERROR(VLOOKUP(A157,[1]Biogasudbytte!$A$2:$B$18,2,FALSE)*[1]Energiindhold!$C$10,0)*K157*IFERROR(VLOOKUP(A157,Biogasanlæg!$F$3:$G$8,2,FALSE),1)+IFERROR(VLOOKUP(A157,[1]Energiindhold!$A$2:$C$11,3,FALSE),0)*M157+IF(E157&lt;&gt;År1,R157,0),0)</f>
        <v>0</v>
      </c>
      <c r="T157">
        <f>IFERROR(VLOOKUP(A157,[1]Biogasudbytte!$A$2:$B$18,2,FALSE)*[1]Energiindhold!$C$10,0)*K157*IFERROR(VLOOKUP(A157,Biogasanlæg!$F$3:$G$8,2,FALSE),1)</f>
        <v>0</v>
      </c>
      <c r="U157" s="170">
        <f t="shared" si="55"/>
        <v>0</v>
      </c>
      <c r="V157" s="169">
        <f>P157*IFERROR(VLOOKUP(A157,[1]Tørstofindhold!A$2:B$24,2,FALSE),0)</f>
        <v>0</v>
      </c>
      <c r="W157">
        <f>IF(E157=År1,Q157,SUM(P157,Q157))*IFERROR(VLOOKUP(A157,[1]Tørstofindhold!A$2:B$24,2,FALSE),0)</f>
        <v>0</v>
      </c>
      <c r="X157">
        <f>K157*IFERROR(VLOOKUP(A157,[1]Tørstofindhold!A$2:B$24,2,FALSE),0)</f>
        <v>0</v>
      </c>
      <c r="Y157" s="170">
        <f t="shared" si="56"/>
        <v>0</v>
      </c>
      <c r="Z157">
        <f t="shared" si="47"/>
        <v>0</v>
      </c>
      <c r="AA157">
        <f t="shared" si="48"/>
        <v>1</v>
      </c>
      <c r="AB157" s="94">
        <f t="shared" si="49"/>
        <v>15969.006082579654</v>
      </c>
      <c r="AC157">
        <f>AB157*D157*10000*VLOOKUP(A157,[1]kcal!$A$2:$C$49,3,FALSE)/1000000000000</f>
        <v>2.4272889245521075E-2</v>
      </c>
    </row>
    <row r="158" spans="1:29" x14ac:dyDescent="0.25">
      <c r="A158" t="s">
        <v>113</v>
      </c>
      <c r="B158" s="171"/>
      <c r="C158" s="171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71">
        <f t="shared" si="39"/>
        <v>0</v>
      </c>
      <c r="E158" s="171">
        <f t="shared" si="52"/>
        <v>2019</v>
      </c>
      <c r="F158" t="s">
        <v>24</v>
      </c>
      <c r="G158" s="94">
        <f>IF(F158="Vestdanmark",SUMIFS(IF(E158=År1,'Resultater - Vestdanmark'!H$3:H$504,IF(E158=År2,'Resultater - Vestdanmark'!I$3:I$504,'Resultater - Vestdanmark'!J$3:J$504)),'Resultater - Vestdanmark'!$F$3:$F$504,$A158,IF(E158=År1,'Resultater - Vestdanmark'!H$3:H$504,IF(E158=År2,'Resultater - Vestdanmark'!I$3:I$504,'Resultater - Vestdanmark'!J$3:J$504)),"&gt;0"),SUMIFS(IF(E158=År1,'Resultater - Østdanmark'!H$3:H$504,IF(E158=År2,'Resultater - Østdanmark'!I$3:I$504,'Resultater - Østdanmark'!J$3:J$504)),'Resultater - Østdanmark'!$F$3:$F$504,$A158,IF(E158=År1,'Resultater - Østdanmark'!H$3:H$504,IF(E158=År2,'Resultater - Østdanmark'!I$3:I$504,'Resultater - Østdanmark'!J$3:J$504)),"&gt;0"))</f>
        <v>620445.82725004398</v>
      </c>
      <c r="H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forbrug'!H$3,'Forbrug af biomasse'!$B$2:$B$425,$F158)</f>
        <v>0</v>
      </c>
      <c r="I158">
        <f>IF(F158="Vestdanmark",-IF(A158="Halm",SUMIFS(IF(E158=År1,'Resultater - Vestdanmark'!H$3:H$504,IF(E158=År2,'Resultater - Vestdanmark'!I$3:I$504,'Resultater - Vestdanmark'!J$3:J$504)),'Resultater - Vestdanmark'!$F$3:$F$504,$A158,'Resultater - Vestdanmark'!H$3:H$504,"&lt;0"),0),-IF(A158="Halm",SUMIFS(IF(E158=År1,'Resultater - Østdanmark'!H$3:H$504,IF(E158=År2,'Resultater - Østdanmark'!I$3:I$504,'Resultater - Østdanmark'!J$3:J$504)),'Resultater - Østdanmark'!$F$3:$F$504,$A158,'Resultater - Østdanmark'!H$3:H$504,"&lt;0"),0))</f>
        <v>0</v>
      </c>
      <c r="J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forbrug'!J$3,'Forbrug af biomasse'!$B$2:$B$425,$F158)</f>
        <v>0</v>
      </c>
      <c r="K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forbrug'!K$3,'Forbrug af biomasse'!$B$2:$B$425,$F158)</f>
        <v>0</v>
      </c>
      <c r="L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forbrug'!L$3,'Forbrug af biomasse'!$B$2:$B$425,$F158)</f>
        <v>0</v>
      </c>
      <c r="M158" s="94">
        <f>IF(A158&lt;&gt;"Biogas",SUMIFS('Forbrug af biomasse'!$E$2:$E$425,'Forbrug af biomasse'!$C$2:$C$425,'Resultat-Produktion &amp; forbrug'!$A158,'Forbrug af biomasse'!$D$2:$D$425,'Resultat-Produktion &amp; forbrug'!$E158,'Forbrug af biomasse'!$A$2:$A$425,'Resultat-Produktion &amp; forbrug'!M$3,'Forbrug af biomasse'!$B$2:$B$425,$F158),G158)</f>
        <v>0</v>
      </c>
      <c r="N158" s="94">
        <f>SUMIFS('Forbrug af biomasse'!E:E,'Forbrug af biomasse'!C:C,'Resultat-Produktion &amp; forbrug'!$A158,'Forbrug af biomasse'!D:D,'Resultat-Produktion &amp; forbrug'!$E158,'Forbrug af biomasse'!G:G,1,'Forbrug af biomasse'!B:B,$F158)</f>
        <v>0</v>
      </c>
      <c r="O158" s="179">
        <f t="shared" si="53"/>
        <v>620445.82725004398</v>
      </c>
      <c r="P158" s="94">
        <f t="shared" si="43"/>
        <v>0</v>
      </c>
      <c r="Q158" s="180">
        <f t="shared" si="54"/>
        <v>0</v>
      </c>
      <c r="R158">
        <f>IFERROR(VLOOKUP(A158,[1]Energiindhold!$A$2:$C$11,3,FALSE),IFERROR(VLOOKUP(A158,[1]Biogasudbytte!$A$2:$B$18,2,FALSE)*[1]Energiindhold!$C$10,0))*P158</f>
        <v>0</v>
      </c>
      <c r="S158">
        <f>IF(A158&lt;&gt;"Biogas",IFERROR(VLOOKUP(A158,[1]Biogasudbytte!$A$2:$B$18,2,FALSE)*[1]Energiindhold!$C$10,0)*K158*IFERROR(VLOOKUP(A158,Biogasanlæg!$F$3:$G$8,2,FALSE),1)+IFERROR(VLOOKUP(A158,[1]Energiindhold!$A$2:$C$11,3,FALSE),0)*M158+IF(E158&lt;&gt;År1,R158,0),0)</f>
        <v>0</v>
      </c>
      <c r="T158">
        <f>IFERROR(VLOOKUP(A158,[1]Biogasudbytte!$A$2:$B$18,2,FALSE)*[1]Energiindhold!$C$10,0)*K158*IFERROR(VLOOKUP(A158,Biogasanlæg!$F$3:$G$8,2,FALSE),1)</f>
        <v>0</v>
      </c>
      <c r="U158" s="170">
        <f t="shared" si="55"/>
        <v>0</v>
      </c>
      <c r="V158" s="169">
        <f>P158*IFERROR(VLOOKUP(A158,[1]Tørstofindhold!A$2:B$24,2,FALSE),0)</f>
        <v>0</v>
      </c>
      <c r="W158">
        <f>IF(E158=År1,Q158,SUM(P158,Q158))*IFERROR(VLOOKUP(A158,[1]Tørstofindhold!A$2:B$24,2,FALSE),0)</f>
        <v>0</v>
      </c>
      <c r="X158">
        <f>K158*IFERROR(VLOOKUP(A158,[1]Tørstofindhold!A$2:B$24,2,FALSE),0)</f>
        <v>0</v>
      </c>
      <c r="Y158" s="170">
        <f t="shared" si="56"/>
        <v>0</v>
      </c>
      <c r="Z158">
        <f t="shared" si="47"/>
        <v>0</v>
      </c>
      <c r="AA158">
        <f t="shared" si="48"/>
        <v>1</v>
      </c>
      <c r="AB158" s="94">
        <f t="shared" si="49"/>
        <v>620445.82725004398</v>
      </c>
      <c r="AC158">
        <f>AB158*D158*10000*VLOOKUP(A158,[1]kcal!$A$2:$C$49,3,FALSE)/1000000000000</f>
        <v>0</v>
      </c>
    </row>
    <row r="159" spans="1:29" x14ac:dyDescent="0.25">
      <c r="A159" t="s">
        <v>54</v>
      </c>
      <c r="B159" s="171"/>
      <c r="C159" s="171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0</v>
      </c>
      <c r="D159" s="171">
        <f t="shared" si="39"/>
        <v>1</v>
      </c>
      <c r="E159" s="171">
        <f t="shared" si="52"/>
        <v>2019</v>
      </c>
      <c r="F159" t="s">
        <v>24</v>
      </c>
      <c r="G159" s="94">
        <f>IF(F159="Vestdanmark",SUMIFS(IF(E159=År1,'Resultater - Vestdanmark'!H$3:H$504,IF(E159=År2,'Resultater - Vestdanmark'!I$3:I$504,'Resultater - Vestdanmark'!J$3:J$504)),'Resultater - Vestdanmark'!$F$3:$F$504,$A159,IF(E159=År1,'Resultater - Vestdanmark'!H$3:H$504,IF(E159=År2,'Resultater - Vestdanmark'!I$3:I$504,'Resultater - Vestdanmark'!J$3:J$504)),"&gt;0"),SUMIFS(IF(E159=År1,'Resultater - Østdanmark'!H$3:H$504,IF(E159=År2,'Resultater - Østdanmark'!I$3:I$504,'Resultater - Østdanmark'!J$3:J$504)),'Resultater - Østdanmark'!$F$3:$F$504,$A159,IF(E159=År1,'Resultater - Østdanmark'!H$3:H$504,IF(E159=År2,'Resultater - Østdanmark'!I$3:I$504,'Resultater - Østdanmark'!J$3:J$504)),"&gt;0"))</f>
        <v>15780.226177538038</v>
      </c>
      <c r="H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forbrug'!H$3,'Forbrug af biomasse'!$B$2:$B$425,$F159)</f>
        <v>0</v>
      </c>
      <c r="I159">
        <f>IF(F159="Vestdanmark",-IF(A159="Halm",SUMIFS(IF(E159=År1,'Resultater - Vestdanmark'!H$3:H$504,IF(E159=År2,'Resultater - Vestdanmark'!I$3:I$504,'Resultater - Vestdanmark'!J$3:J$504)),'Resultater - Vestdanmark'!$F$3:$F$504,$A159,'Resultater - Vestdanmark'!H$3:H$504,"&lt;0"),0),-IF(A159="Halm",SUMIFS(IF(E159=År1,'Resultater - Østdanmark'!H$3:H$504,IF(E159=År2,'Resultater - Østdanmark'!I$3:I$504,'Resultater - Østdanmark'!J$3:J$504)),'Resultater - Østdanmark'!$F$3:$F$504,$A159,'Resultater - Østdanmark'!H$3:H$504,"&lt;0"),0))</f>
        <v>0</v>
      </c>
      <c r="J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forbrug'!J$3,'Forbrug af biomasse'!$B$2:$B$425,$F159)</f>
        <v>212804.29294970242</v>
      </c>
      <c r="K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forbrug'!K$3,'Forbrug af biomasse'!$B$2:$B$425,$F159)</f>
        <v>0</v>
      </c>
      <c r="L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forbrug'!L$3,'Forbrug af biomasse'!$B$2:$B$425,$F159)</f>
        <v>0</v>
      </c>
      <c r="M159" s="94">
        <f>IF(A159&lt;&gt;"Biogas",SUMIFS('Forbrug af biomasse'!$E$2:$E$425,'Forbrug af biomasse'!$C$2:$C$425,'Resultat-Produktion &amp; forbrug'!$A159,'Forbrug af biomasse'!$D$2:$D$425,'Resultat-Produktion &amp; forbrug'!$E159,'Forbrug af biomasse'!$A$2:$A$425,'Resultat-Produktion &amp; forbrug'!M$3,'Forbrug af biomasse'!$B$2:$B$425,$F159),G159)</f>
        <v>0</v>
      </c>
      <c r="N159" s="94">
        <f>SUMIFS('Forbrug af biomasse'!E:E,'Forbrug af biomasse'!C:C,'Resultat-Produktion &amp; forbrug'!$A159,'Forbrug af biomasse'!D:D,'Resultat-Produktion &amp; forbrug'!$E159,'Forbrug af biomasse'!G:G,1,'Forbrug af biomasse'!B:B,$F159)</f>
        <v>0</v>
      </c>
      <c r="O159" s="179">
        <f t="shared" si="53"/>
        <v>-197024.06677216437</v>
      </c>
      <c r="P159" s="94">
        <f t="shared" si="43"/>
        <v>0</v>
      </c>
      <c r="Q159" s="180">
        <f t="shared" si="54"/>
        <v>0</v>
      </c>
      <c r="R159">
        <f>IFERROR(VLOOKUP(A159,[1]Energiindhold!$A$2:$C$11,3,FALSE),IFERROR(VLOOKUP(A159,[1]Biogasudbytte!$A$2:$B$18,2,FALSE)*[1]Energiindhold!$C$10,0))*P159</f>
        <v>0</v>
      </c>
      <c r="S159">
        <f>IF(A159&lt;&gt;"Biogas",IFERROR(VLOOKUP(A159,[1]Biogasudbytte!$A$2:$B$18,2,FALSE)*[1]Energiindhold!$C$10,0)*K159*IFERROR(VLOOKUP(A159,Biogasanlæg!$F$3:$G$8,2,FALSE),1)+IFERROR(VLOOKUP(A159,[1]Energiindhold!$A$2:$C$11,3,FALSE),0)*M159+IF(E159&lt;&gt;År1,R159,0),0)</f>
        <v>0</v>
      </c>
      <c r="T159">
        <f>IFERROR(VLOOKUP(A159,[1]Biogasudbytte!$A$2:$B$18,2,FALSE)*[1]Energiindhold!$C$10,0)*K159*IFERROR(VLOOKUP(A159,Biogasanlæg!$F$3:$G$8,2,FALSE),1)</f>
        <v>0</v>
      </c>
      <c r="U159" s="170">
        <f t="shared" si="55"/>
        <v>0</v>
      </c>
      <c r="V159" s="169">
        <f>P159*IFERROR(VLOOKUP(A159,[1]Tørstofindhold!A$2:B$24,2,FALSE),0)</f>
        <v>0</v>
      </c>
      <c r="W159">
        <f>IF(E159=År1,Q159,SUM(P159,Q159))*IFERROR(VLOOKUP(A159,[1]Tørstofindhold!A$2:B$24,2,FALSE),0)</f>
        <v>0</v>
      </c>
      <c r="X159">
        <f>K159*IFERROR(VLOOKUP(A159,[1]Tørstofindhold!A$2:B$24,2,FALSE),0)</f>
        <v>0</v>
      </c>
      <c r="Y159" s="170">
        <f t="shared" si="56"/>
        <v>0</v>
      </c>
      <c r="Z159">
        <f t="shared" si="47"/>
        <v>1</v>
      </c>
      <c r="AA159">
        <f t="shared" si="48"/>
        <v>0</v>
      </c>
      <c r="AB159" s="94">
        <f t="shared" si="49"/>
        <v>15780.226177538038</v>
      </c>
      <c r="AC159">
        <f>AB159*D159*10000*VLOOKUP(A159,[1]kcal!$A$2:$C$49,3,FALSE)/1000000000000</f>
        <v>8.2057176123197795E-3</v>
      </c>
    </row>
    <row r="160" spans="1:29" x14ac:dyDescent="0.25">
      <c r="A160" s="171" t="s">
        <v>158</v>
      </c>
      <c r="B160" s="171" t="s">
        <v>158</v>
      </c>
      <c r="C160" s="171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71">
        <f t="shared" si="39"/>
        <v>0</v>
      </c>
      <c r="E160" s="171">
        <f t="shared" si="52"/>
        <v>2019</v>
      </c>
      <c r="F160" t="s">
        <v>24</v>
      </c>
      <c r="G160" s="94">
        <f>IF(F160="Vestdanmark",SUMIFS(IF(E160=År1,'Resultater - Vestdanmark'!H$3:H$504,IF(E160=År2,'Resultater - Vestdanmark'!I$3:I$504,'Resultater - Vestdanmark'!J$3:J$504)),'Resultater - Vestdanmark'!$F$3:$F$504,$A160,IF(E160=År1,'Resultater - Vestdanmark'!H$3:H$504,IF(E160=År2,'Resultater - Vestdanmark'!I$3:I$504,'Resultater - Vestdanmark'!J$3:J$504)),"&gt;0"),SUMIFS(IF(E160=År1,'Resultater - Østdanmark'!H$3:H$504,IF(E160=År2,'Resultater - Østdanmark'!I$3:I$504,'Resultater - Østdanmark'!J$3:J$504)),'Resultater - Østdanmark'!$F$3:$F$504,$A160,IF(E160=År1,'Resultater - Østdanmark'!H$3:H$504,IF(E160=År2,'Resultater - Østdanmark'!I$3:I$504,'Resultater - Østdanmark'!J$3:J$504)),"&gt;0"))</f>
        <v>0</v>
      </c>
      <c r="H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forbrug'!H$3,'Forbrug af biomasse'!$B$2:$B$425,$F160)</f>
        <v>0</v>
      </c>
      <c r="I160">
        <f>IF(F160="Vestdanmark",-IF(A160="Halm",SUMIFS(IF(E160=År1,'Resultater - Vestdanmark'!H$3:H$504,IF(E160=År2,'Resultater - Vestdanmark'!I$3:I$504,'Resultater - Vestdanmark'!J$3:J$504)),'Resultater - Vestdanmark'!$F$3:$F$504,$A160,'Resultater - Vestdanmark'!H$3:H$504,"&lt;0"),0),-IF(A160="Halm",SUMIFS(IF(E160=År1,'Resultater - Østdanmark'!H$3:H$504,IF(E160=År2,'Resultater - Østdanmark'!I$3:I$504,'Resultater - Østdanmark'!J$3:J$504)),'Resultater - Østdanmark'!$F$3:$F$504,$A160,'Resultater - Østdanmark'!H$3:H$504,"&lt;0"),0))</f>
        <v>0</v>
      </c>
      <c r="J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forbrug'!J$3,'Forbrug af biomasse'!$B$2:$B$425,$F160)</f>
        <v>0</v>
      </c>
      <c r="K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forbrug'!K$3,'Forbrug af biomasse'!$B$2:$B$425,$F160)</f>
        <v>28548.400000000001</v>
      </c>
      <c r="L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forbrug'!L$3,'Forbrug af biomasse'!$B$2:$B$425,$F160)</f>
        <v>0</v>
      </c>
      <c r="M160" s="94">
        <f>IF(A160&lt;&gt;"Biogas",SUMIFS('Forbrug af biomasse'!$E$2:$E$425,'Forbrug af biomasse'!$C$2:$C$425,'Resultat-Produktion &amp; forbrug'!$A160,'Forbrug af biomasse'!$D$2:$D$425,'Resultat-Produktion &amp; forbrug'!$E160,'Forbrug af biomasse'!$A$2:$A$425,'Resultat-Produktion &amp; forbrug'!M$3,'Forbrug af biomasse'!$B$2:$B$425,$F160),G160)</f>
        <v>0</v>
      </c>
      <c r="N160" s="94">
        <f>SUMIFS('Forbrug af biomasse'!E:E,'Forbrug af biomasse'!C:C,'Resultat-Produktion &amp; forbrug'!$A160,'Forbrug af biomasse'!D:D,'Resultat-Produktion &amp; forbrug'!$E160,'Forbrug af biomasse'!G:G,1,'Forbrug af biomasse'!B:B,$F160)</f>
        <v>0</v>
      </c>
      <c r="O160" s="179">
        <f t="shared" si="53"/>
        <v>-28548.400000000001</v>
      </c>
      <c r="P160" s="94">
        <f t="shared" si="43"/>
        <v>0</v>
      </c>
      <c r="Q160" s="180">
        <f t="shared" si="54"/>
        <v>28548.400000000001</v>
      </c>
      <c r="R160">
        <f>IFERROR(VLOOKUP(A160,[1]Energiindhold!$A$2:$C$11,3,FALSE),IFERROR(VLOOKUP(A160,[1]Biogasudbytte!$A$2:$B$18,2,FALSE)*[1]Energiindhold!$C$10,0))*P160</f>
        <v>0</v>
      </c>
      <c r="S160">
        <f>IF(A160&lt;&gt;"Biogas",IFERROR(VLOOKUP(A160,[1]Biogasudbytte!$A$2:$B$18,2,FALSE)*[1]Energiindhold!$C$10,0)*K160*IFERROR(VLOOKUP(A160,Biogasanlæg!$F$3:$G$8,2,FALSE),1)+IFERROR(VLOOKUP(A160,[1]Energiindhold!$A$2:$C$11,3,FALSE),0)*M160+IF(E160&lt;&gt;År1,R160,0),0)</f>
        <v>0.43389639740160008</v>
      </c>
      <c r="T160">
        <f>IFERROR(VLOOKUP(A160,[1]Biogasudbytte!$A$2:$B$18,2,FALSE)*[1]Energiindhold!$C$10,0)*K160*IFERROR(VLOOKUP(A160,Biogasanlæg!$F$3:$G$8,2,FALSE),1)</f>
        <v>0.43389639740160008</v>
      </c>
      <c r="U160" s="170">
        <f t="shared" si="55"/>
        <v>0</v>
      </c>
      <c r="V160" s="169">
        <f>P160*IFERROR(VLOOKUP(A160,[1]Tørstofindhold!A$2:B$24,2,FALSE),0)</f>
        <v>0</v>
      </c>
      <c r="W160">
        <f>IF(E160=År1,Q160,SUM(P160,Q160))*IFERROR(VLOOKUP(A160,[1]Tørstofindhold!A$2:B$24,2,FALSE),0)</f>
        <v>25693.56</v>
      </c>
      <c r="X160">
        <f>K160*IFERROR(VLOOKUP(A160,[1]Tørstofindhold!A$2:B$24,2,FALSE),0)</f>
        <v>25693.56</v>
      </c>
      <c r="Y160" s="170">
        <f t="shared" si="56"/>
        <v>0</v>
      </c>
      <c r="Z160">
        <f t="shared" si="47"/>
        <v>1</v>
      </c>
      <c r="AA160">
        <f t="shared" si="48"/>
        <v>0</v>
      </c>
      <c r="AB160" s="94">
        <f t="shared" si="49"/>
        <v>-28548.400000000001</v>
      </c>
      <c r="AC160">
        <f>AB160*D160*10000*VLOOKUP(A160,[1]kcal!$A$2:$C$49,3,FALSE)/1000000000000</f>
        <v>0</v>
      </c>
    </row>
    <row r="161" spans="1:29" x14ac:dyDescent="0.25">
      <c r="A161" s="171" t="s">
        <v>51</v>
      </c>
      <c r="B161" s="171" t="s">
        <v>224</v>
      </c>
      <c r="C161" s="171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1</v>
      </c>
      <c r="D161" s="171">
        <f t="shared" si="39"/>
        <v>0</v>
      </c>
      <c r="E161" s="171">
        <f t="shared" si="52"/>
        <v>2019</v>
      </c>
      <c r="F161" t="s">
        <v>24</v>
      </c>
      <c r="G161" s="94">
        <f>IF(F161="Vestdanmark",SUMIFS(IF(E161=År1,'Resultater - Vestdanmark'!H$3:H$504,IF(E161=År2,'Resultater - Vestdanmark'!I$3:I$504,'Resultater - Vestdanmark'!J$3:J$504)),'Resultater - Vestdanmark'!$F$3:$F$504,$A161,IF(E161=År1,'Resultater - Vestdanmark'!H$3:H$504,IF(E161=År2,'Resultater - Vestdanmark'!I$3:I$504,'Resultater - Vestdanmark'!J$3:J$504)),"&gt;0"),SUMIFS(IF(E161=År1,'Resultater - Østdanmark'!H$3:H$504,IF(E161=År2,'Resultater - Østdanmark'!I$3:I$504,'Resultater - Østdanmark'!J$3:J$504)),'Resultater - Østdanmark'!$F$3:$F$504,$A161,IF(E161=År1,'Resultater - Østdanmark'!H$3:H$504,IF(E161=År2,'Resultater - Østdanmark'!I$3:I$504,'Resultater - Østdanmark'!J$3:J$504)),"&gt;0"))</f>
        <v>2148848.2010935447</v>
      </c>
      <c r="H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forbrug'!H$3,'Forbrug af biomasse'!$B$2:$B$425,$F161)</f>
        <v>1502068.0760117143</v>
      </c>
      <c r="I161">
        <f>IF(F161="Vestdanmark",-IF(A161="Halm",SUMIFS(IF(E161=År1,'Resultater - Vestdanmark'!H$3:H$504,IF(E161=År2,'Resultater - Vestdanmark'!I$3:I$504,'Resultater - Vestdanmark'!J$3:J$504)),'Resultater - Vestdanmark'!$F$3:$F$504,$A161,'Resultater - Vestdanmark'!H$3:H$504,"&lt;0"),0),-IF(A161="Halm",SUMIFS(IF(E161=År1,'Resultater - Østdanmark'!H$3:H$504,IF(E161=År2,'Resultater - Østdanmark'!I$3:I$504,'Resultater - Østdanmark'!J$3:J$504)),'Resultater - Østdanmark'!$F$3:$F$504,$A161,'Resultater - Østdanmark'!H$3:H$504,"&lt;0"),0))</f>
        <v>0</v>
      </c>
      <c r="J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forbrug'!J$3,'Forbrug af biomasse'!$B$2:$B$425,$F161)</f>
        <v>0</v>
      </c>
      <c r="K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forbrug'!K$3,'Forbrug af biomasse'!$B$2:$B$425,$F161)</f>
        <v>10277.831749012612</v>
      </c>
      <c r="L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forbrug'!L$3,'Forbrug af biomasse'!$B$2:$B$425,$F161)</f>
        <v>0</v>
      </c>
      <c r="M161" s="94">
        <f>IF(A161&lt;&gt;"Biogas",SUMIFS('Forbrug af biomasse'!$E$2:$E$425,'Forbrug af biomasse'!$C$2:$C$425,'Resultat-Produktion &amp; forbrug'!$A161,'Forbrug af biomasse'!$D$2:$D$425,'Resultat-Produktion &amp; forbrug'!$E161,'Forbrug af biomasse'!$A$2:$A$425,'Resultat-Produktion &amp; forbrug'!M$3,'Forbrug af biomasse'!$B$2:$B$425,$F161),G161)</f>
        <v>0</v>
      </c>
      <c r="N161" s="94">
        <f>SUMIFS('Forbrug af biomasse'!E:E,'Forbrug af biomasse'!C:C,'Resultat-Produktion &amp; forbrug'!$A161,'Forbrug af biomasse'!D:D,'Resultat-Produktion &amp; forbrug'!$E161,'Forbrug af biomasse'!G:G,1,'Forbrug af biomasse'!B:B,$F161)</f>
        <v>0</v>
      </c>
      <c r="O161" s="179">
        <f t="shared" si="53"/>
        <v>636502.29333281773</v>
      </c>
      <c r="P161" s="94">
        <f t="shared" si="43"/>
        <v>636502.29333281773</v>
      </c>
      <c r="Q161" s="180">
        <f t="shared" si="54"/>
        <v>10277.831749012612</v>
      </c>
      <c r="R161">
        <f>IFERROR(VLOOKUP(A161,[1]Energiindhold!$A$2:$C$11,3,FALSE),IFERROR(VLOOKUP(A161,[1]Biogasudbytte!$A$2:$B$18,2,FALSE)*[1]Energiindhold!$C$10,0))*P161</f>
        <v>1.1710846569457181</v>
      </c>
      <c r="S161">
        <f>IF(A161&lt;&gt;"Biogas",IFERROR(VLOOKUP(A161,[1]Biogasudbytte!$A$2:$B$18,2,FALSE)*[1]Energiindhold!$C$10,0)*K161*IFERROR(VLOOKUP(A161,Biogasanlæg!$F$3:$G$8,2,FALSE),1)+IFERROR(VLOOKUP(A161,[1]Energiindhold!$A$2:$C$11,3,FALSE),0)*M161+IF(E161&lt;&gt;År1,R161,0),0)</f>
        <v>1.8909925689214579E-2</v>
      </c>
      <c r="T161">
        <f>IFERROR(VLOOKUP(A161,[1]Biogasudbytte!$A$2:$B$18,2,FALSE)*[1]Energiindhold!$C$10,0)*K161*IFERROR(VLOOKUP(A161,Biogasanlæg!$F$3:$G$8,2,FALSE),1)</f>
        <v>1.8909925689214579E-2</v>
      </c>
      <c r="U161" s="170">
        <f t="shared" si="55"/>
        <v>0</v>
      </c>
      <c r="V161" s="169">
        <f>P161*IFERROR(VLOOKUP(A161,[1]Tørstofindhold!A$2:B$24,2,FALSE),0)</f>
        <v>178220.64213318899</v>
      </c>
      <c r="W161">
        <f>IF(E161=År1,Q161,SUM(P161,Q161))*IFERROR(VLOOKUP(A161,[1]Tørstofindhold!A$2:B$24,2,FALSE),0)</f>
        <v>2877.7928897235315</v>
      </c>
      <c r="X161">
        <f>K161*IFERROR(VLOOKUP(A161,[1]Tørstofindhold!A$2:B$24,2,FALSE),0)</f>
        <v>2877.7928897235315</v>
      </c>
      <c r="Y161" s="170">
        <f t="shared" si="56"/>
        <v>0</v>
      </c>
      <c r="Z161">
        <f t="shared" si="47"/>
        <v>0</v>
      </c>
      <c r="AA161">
        <f t="shared" si="48"/>
        <v>1</v>
      </c>
      <c r="AB161" s="94">
        <f t="shared" si="49"/>
        <v>636502.29333281773</v>
      </c>
      <c r="AC161">
        <f>AB161*D161*10000*VLOOKUP(A161,[1]kcal!$A$2:$C$49,3,FALSE)/1000000000000</f>
        <v>0</v>
      </c>
    </row>
    <row r="162" spans="1:29" x14ac:dyDescent="0.25">
      <c r="A162" s="171" t="s">
        <v>203</v>
      </c>
      <c r="B162" s="171"/>
      <c r="C162" s="171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71">
        <f t="shared" si="39"/>
        <v>0</v>
      </c>
      <c r="E162" s="171">
        <f t="shared" si="52"/>
        <v>2019</v>
      </c>
      <c r="F162" t="s">
        <v>24</v>
      </c>
      <c r="G162" s="94">
        <f>IF(F162="Vestdanmark",SUMIFS(IF(E162=År1,'Resultater - Vestdanmark'!H$3:H$504,IF(E162=År2,'Resultater - Vestdanmark'!I$3:I$504,'Resultater - Vestdanmark'!J$3:J$504)),'Resultater - Vestdanmark'!$F$3:$F$504,$A162,IF(E162=År1,'Resultater - Vestdanmark'!H$3:H$504,IF(E162=År2,'Resultater - Vestdanmark'!I$3:I$504,'Resultater - Vestdanmark'!J$3:J$504)),"&gt;0"),SUMIFS(IF(E162=År1,'Resultater - Østdanmark'!H$3:H$504,IF(E162=År2,'Resultater - Østdanmark'!I$3:I$504,'Resultater - Østdanmark'!J$3:J$504)),'Resultater - Østdanmark'!$F$3:$F$504,$A162,IF(E162=År1,'Resultater - Østdanmark'!H$3:H$504,IF(E162=År2,'Resultater - Østdanmark'!I$3:I$504,'Resultater - Østdanmark'!J$3:J$504)),"&gt;0"))</f>
        <v>0</v>
      </c>
      <c r="H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forbrug'!H$3,'Forbrug af biomasse'!$B$2:$B$425,$F162)</f>
        <v>0</v>
      </c>
      <c r="I162">
        <f>IF(F162="Vestdanmark",-IF(A162="Halm",SUMIFS(IF(E162=År1,'Resultater - Vestdanmark'!H$3:H$504,IF(E162=År2,'Resultater - Vestdanmark'!I$3:I$504,'Resultater - Vestdanmark'!J$3:J$504)),'Resultater - Vestdanmark'!$F$3:$F$504,$A162,'Resultater - Vestdanmark'!H$3:H$504,"&lt;0"),0),-IF(A162="Halm",SUMIFS(IF(E162=År1,'Resultater - Østdanmark'!H$3:H$504,IF(E162=År2,'Resultater - Østdanmark'!I$3:I$504,'Resultater - Østdanmark'!J$3:J$504)),'Resultater - Østdanmark'!$F$3:$F$504,$A162,'Resultater - Østdanmark'!H$3:H$504,"&lt;0"),0))</f>
        <v>0</v>
      </c>
      <c r="J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forbrug'!J$3,'Forbrug af biomasse'!$B$2:$B$425,$F162)</f>
        <v>0</v>
      </c>
      <c r="K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forbrug'!K$3,'Forbrug af biomasse'!$B$2:$B$425,$F162)</f>
        <v>0</v>
      </c>
      <c r="L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forbrug'!L$3,'Forbrug af biomasse'!$B$2:$B$425,$F162)</f>
        <v>0</v>
      </c>
      <c r="M162" s="94">
        <f>IF(A162&lt;&gt;"Biogas",SUMIFS('Forbrug af biomasse'!$E$2:$E$425,'Forbrug af biomasse'!$C$2:$C$425,'Resultat-Produktion &amp; forbrug'!$A162,'Forbrug af biomasse'!$D$2:$D$425,'Resultat-Produktion &amp; forbrug'!$E162,'Forbrug af biomasse'!$A$2:$A$425,'Resultat-Produktion &amp; forbrug'!M$3,'Forbrug af biomasse'!$B$2:$B$425,$F162),G162)</f>
        <v>0</v>
      </c>
      <c r="N162" s="94">
        <f>SUMIFS('Forbrug af biomasse'!E:E,'Forbrug af biomasse'!C:C,'Resultat-Produktion &amp; forbrug'!$A162,'Forbrug af biomasse'!D:D,'Resultat-Produktion &amp; forbrug'!$E162,'Forbrug af biomasse'!G:G,1,'Forbrug af biomasse'!B:B,$F162)</f>
        <v>0</v>
      </c>
      <c r="O162" s="179">
        <f t="shared" si="53"/>
        <v>0</v>
      </c>
      <c r="P162" s="94">
        <f t="shared" si="43"/>
        <v>0</v>
      </c>
      <c r="Q162" s="180">
        <f t="shared" si="54"/>
        <v>0</v>
      </c>
      <c r="R162">
        <f>IFERROR(VLOOKUP(A162,[1]Energiindhold!$A$2:$C$11,3,FALSE),IFERROR(VLOOKUP(A162,[1]Biogasudbytte!$A$2:$B$18,2,FALSE)*[1]Energiindhold!$C$10,0))*P162</f>
        <v>0</v>
      </c>
      <c r="S162">
        <f>IF(A162&lt;&gt;"Biogas",IFERROR(VLOOKUP(A162,[1]Biogasudbytte!$A$2:$B$18,2,FALSE)*[1]Energiindhold!$C$10,0)*K162*IFERROR(VLOOKUP(A162,Biogasanlæg!$F$3:$G$8,2,FALSE),1)+IFERROR(VLOOKUP(A162,[1]Energiindhold!$A$2:$C$11,3,FALSE),0)*M162+IF(E162&lt;&gt;År1,R162,0),0)</f>
        <v>0</v>
      </c>
      <c r="T162">
        <f>IFERROR(VLOOKUP(A162,[1]Biogasudbytte!$A$2:$B$18,2,FALSE)*[1]Energiindhold!$C$10,0)*K162*IFERROR(VLOOKUP(A162,Biogasanlæg!$F$3:$G$8,2,FALSE),1)</f>
        <v>0</v>
      </c>
      <c r="U162" s="170">
        <f t="shared" si="55"/>
        <v>0</v>
      </c>
      <c r="V162" s="169">
        <f>P162*IFERROR(VLOOKUP(A162,[1]Tørstofindhold!A$2:B$24,2,FALSE),0)</f>
        <v>0</v>
      </c>
      <c r="W162">
        <f>IF(E162=År1,Q162,SUM(P162,Q162))*IFERROR(VLOOKUP(A162,[1]Tørstofindhold!A$2:B$24,2,FALSE),0)</f>
        <v>0</v>
      </c>
      <c r="X162">
        <f>K162*IFERROR(VLOOKUP(A162,[1]Tørstofindhold!A$2:B$24,2,FALSE),0)</f>
        <v>0</v>
      </c>
      <c r="Y162" s="170">
        <f t="shared" si="56"/>
        <v>0</v>
      </c>
      <c r="Z162">
        <f t="shared" si="47"/>
        <v>0</v>
      </c>
      <c r="AA162">
        <f t="shared" si="48"/>
        <v>0</v>
      </c>
      <c r="AB162" s="94">
        <f t="shared" si="49"/>
        <v>0</v>
      </c>
      <c r="AC162">
        <f>AB162*D162*10000*VLOOKUP(A162,[1]kcal!$A$2:$C$49,3,FALSE)/1000000000000</f>
        <v>0</v>
      </c>
    </row>
    <row r="163" spans="1:29" x14ac:dyDescent="0.25">
      <c r="A163" s="171" t="s">
        <v>6</v>
      </c>
      <c r="B163" s="171"/>
      <c r="C163" s="171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0</v>
      </c>
      <c r="D163" s="171">
        <f t="shared" si="39"/>
        <v>1</v>
      </c>
      <c r="E163" s="171">
        <f t="shared" si="52"/>
        <v>2019</v>
      </c>
      <c r="F163" t="s">
        <v>24</v>
      </c>
      <c r="G163" s="94">
        <f>IF(F163="Vestdanmark",SUMIFS(IF(E163=År1,'Resultater - Vestdanmark'!H$3:H$504,IF(E163=År2,'Resultater - Vestdanmark'!I$3:I$504,'Resultater - Vestdanmark'!J$3:J$504)),'Resultater - Vestdanmark'!$F$3:$F$504,$A163,IF(E163=År1,'Resultater - Vestdanmark'!H$3:H$504,IF(E163=År2,'Resultater - Vestdanmark'!I$3:I$504,'Resultater - Vestdanmark'!J$3:J$504)),"&gt;0"),SUMIFS(IF(E163=År1,'Resultater - Østdanmark'!H$3:H$504,IF(E163=År2,'Resultater - Østdanmark'!I$3:I$504,'Resultater - Østdanmark'!J$3:J$504)),'Resultater - Østdanmark'!$F$3:$F$504,$A163,IF(E163=År1,'Resultater - Østdanmark'!H$3:H$504,IF(E163=År2,'Resultater - Østdanmark'!I$3:I$504,'Resultater - Østdanmark'!J$3:J$504)),"&gt;0"))</f>
        <v>95299.46904386401</v>
      </c>
      <c r="H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forbrug'!H$3,'Forbrug af biomasse'!$B$2:$B$425,$F163)</f>
        <v>0</v>
      </c>
      <c r="I163">
        <f>IF(F163="Vestdanmark",-IF(A163="Halm",SUMIFS(IF(E163=År1,'Resultater - Vestdanmark'!H$3:H$504,IF(E163=År2,'Resultater - Vestdanmark'!I$3:I$504,'Resultater - Vestdanmark'!J$3:J$504)),'Resultater - Vestdanmark'!$F$3:$F$504,$A163,'Resultater - Vestdanmark'!H$3:H$504,"&lt;0"),0),-IF(A163="Halm",SUMIFS(IF(E163=År1,'Resultater - Østdanmark'!H$3:H$504,IF(E163=År2,'Resultater - Østdanmark'!I$3:I$504,'Resultater - Østdanmark'!J$3:J$504)),'Resultater - Østdanmark'!$F$3:$F$504,$A163,'Resultater - Østdanmark'!H$3:H$504,"&lt;0"),0))</f>
        <v>0</v>
      </c>
      <c r="J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forbrug'!J$3,'Forbrug af biomasse'!$B$2:$B$425,$F163)</f>
        <v>222884.49629995148</v>
      </c>
      <c r="K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forbrug'!K$3,'Forbrug af biomasse'!$B$2:$B$425,$F163)</f>
        <v>0</v>
      </c>
      <c r="L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forbrug'!L$3,'Forbrug af biomasse'!$B$2:$B$425,$F163)</f>
        <v>0</v>
      </c>
      <c r="M163" s="94">
        <f>IF(A163&lt;&gt;"Biogas",SUMIFS('Forbrug af biomasse'!$E$2:$E$425,'Forbrug af biomasse'!$C$2:$C$425,'Resultat-Produktion &amp; forbrug'!$A163,'Forbrug af biomasse'!$D$2:$D$425,'Resultat-Produktion &amp; forbrug'!$E163,'Forbrug af biomasse'!$A$2:$A$425,'Resultat-Produktion &amp; forbrug'!M$3,'Forbrug af biomasse'!$B$2:$B$425,$F163),G163)</f>
        <v>0</v>
      </c>
      <c r="N163" s="94">
        <f>SUMIFS('Forbrug af biomasse'!E:E,'Forbrug af biomasse'!C:C,'Resultat-Produktion &amp; forbrug'!$A163,'Forbrug af biomasse'!D:D,'Resultat-Produktion &amp; forbrug'!$E163,'Forbrug af biomasse'!G:G,1,'Forbrug af biomasse'!B:B,$F163)</f>
        <v>0</v>
      </c>
      <c r="O163" s="179">
        <f t="shared" si="53"/>
        <v>-127585.02725608747</v>
      </c>
      <c r="P163" s="94">
        <f t="shared" si="43"/>
        <v>0</v>
      </c>
      <c r="Q163" s="180">
        <f t="shared" si="54"/>
        <v>0</v>
      </c>
      <c r="R163">
        <f>IFERROR(VLOOKUP(A163,[1]Energiindhold!$A$2:$C$11,3,FALSE),IFERROR(VLOOKUP(A163,[1]Biogasudbytte!$A$2:$B$18,2,FALSE)*[1]Energiindhold!$C$10,0))*P163</f>
        <v>0</v>
      </c>
      <c r="S163">
        <f>IF(A163&lt;&gt;"Biogas",IFERROR(VLOOKUP(A163,[1]Biogasudbytte!$A$2:$B$18,2,FALSE)*[1]Energiindhold!$C$10,0)*K163*IFERROR(VLOOKUP(A163,Biogasanlæg!$F$3:$G$8,2,FALSE),1)+IFERROR(VLOOKUP(A163,[1]Energiindhold!$A$2:$C$11,3,FALSE),0)*M163+IF(E163&lt;&gt;År1,R163,0),0)</f>
        <v>0</v>
      </c>
      <c r="T163">
        <f>IFERROR(VLOOKUP(A163,[1]Biogasudbytte!$A$2:$B$18,2,FALSE)*[1]Energiindhold!$C$10,0)*K163*IFERROR(VLOOKUP(A163,Biogasanlæg!$F$3:$G$8,2,FALSE),1)</f>
        <v>0</v>
      </c>
      <c r="U163" s="170">
        <f t="shared" si="55"/>
        <v>0</v>
      </c>
      <c r="V163" s="169">
        <f>P163*IFERROR(VLOOKUP(A163,[1]Tørstofindhold!A$2:B$24,2,FALSE),0)</f>
        <v>0</v>
      </c>
      <c r="W163">
        <f>IF(E163=År1,Q163,SUM(P163,Q163))*IFERROR(VLOOKUP(A163,[1]Tørstofindhold!A$2:B$24,2,FALSE),0)</f>
        <v>0</v>
      </c>
      <c r="X163">
        <f>K163*IFERROR(VLOOKUP(A163,[1]Tørstofindhold!A$2:B$24,2,FALSE),0)</f>
        <v>0</v>
      </c>
      <c r="Y163" s="170">
        <f t="shared" si="56"/>
        <v>0</v>
      </c>
      <c r="Z163">
        <f t="shared" si="47"/>
        <v>1</v>
      </c>
      <c r="AA163">
        <f t="shared" si="48"/>
        <v>0</v>
      </c>
      <c r="AB163" s="94">
        <f t="shared" si="49"/>
        <v>95299.46904386401</v>
      </c>
      <c r="AC163">
        <f>AB163*D163*10000*VLOOKUP(A163,[1]kcal!$A$2:$C$49,3,FALSE)/1000000000000</f>
        <v>3.7166792927106965E-2</v>
      </c>
    </row>
    <row r="164" spans="1:29" x14ac:dyDescent="0.25">
      <c r="A164" s="171" t="s">
        <v>67</v>
      </c>
      <c r="B164" s="171" t="s">
        <v>227</v>
      </c>
      <c r="C164" s="171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71">
        <f t="shared" si="39"/>
        <v>0</v>
      </c>
      <c r="E164" s="171">
        <f t="shared" si="52"/>
        <v>2019</v>
      </c>
      <c r="F164" t="s">
        <v>24</v>
      </c>
      <c r="G164" s="94">
        <f>IF(F164="Vestdanmark",SUMIFS(IF(E164=År1,'Resultater - Vestdanmark'!H$3:H$504,IF(E164=År2,'Resultater - Vestdanmark'!I$3:I$504,'Resultater - Vestdanmark'!J$3:J$504)),'Resultater - Vestdanmark'!$F$3:$F$504,$A164,IF(E164=År1,'Resultater - Vestdanmark'!H$3:H$504,IF(E164=År2,'Resultater - Vestdanmark'!I$3:I$504,'Resultater - Vestdanmark'!J$3:J$504)),"&gt;0"),SUMIFS(IF(E164=År1,'Resultater - Østdanmark'!H$3:H$504,IF(E164=År2,'Resultater - Østdanmark'!I$3:I$504,'Resultater - Østdanmark'!J$3:J$504)),'Resultater - Østdanmark'!$F$3:$F$504,$A164,IF(E164=År1,'Resultater - Østdanmark'!H$3:H$504,IF(E164=År2,'Resultater - Østdanmark'!I$3:I$504,'Resultater - Østdanmark'!J$3:J$504)),"&gt;0"))</f>
        <v>954412.72069157928</v>
      </c>
      <c r="H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forbrug'!H$3,'Forbrug af biomasse'!$B$2:$B$425,$F164)</f>
        <v>94889.448034412548</v>
      </c>
      <c r="I164">
        <f>IF(F164="Vestdanmark",-IF(A164="Halm",SUMIFS(IF(E164=År1,'Resultater - Vestdanmark'!H$3:H$504,IF(E164=År2,'Resultater - Vestdanmark'!I$3:I$504,'Resultater - Vestdanmark'!J$3:J$504)),'Resultater - Vestdanmark'!$F$3:$F$504,$A164,'Resultater - Vestdanmark'!H$3:H$504,"&lt;0"),0),-IF(A164="Halm",SUMIFS(IF(E164=År1,'Resultater - Østdanmark'!H$3:H$504,IF(E164=År2,'Resultater - Østdanmark'!I$3:I$504,'Resultater - Østdanmark'!J$3:J$504)),'Resultater - Østdanmark'!$F$3:$F$504,$A164,'Resultater - Østdanmark'!H$3:H$504,"&lt;0"),0))</f>
        <v>104128.58905499999</v>
      </c>
      <c r="J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forbrug'!J$3,'Forbrug af biomasse'!$B$2:$B$425,$F164)</f>
        <v>0</v>
      </c>
      <c r="K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forbrug'!K$3,'Forbrug af biomasse'!$B$2:$B$425,$F164)</f>
        <v>22739.095393183845</v>
      </c>
      <c r="L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forbrug'!L$3,'Forbrug af biomasse'!$B$2:$B$425,$F164)</f>
        <v>0</v>
      </c>
      <c r="M164" s="94">
        <f>IF(A164&lt;&gt;"Biogas",SUMIFS('Forbrug af biomasse'!$E$2:$E$425,'Forbrug af biomasse'!$C$2:$C$425,'Resultat-Produktion &amp; forbrug'!$A164,'Forbrug af biomasse'!$D$2:$D$425,'Resultat-Produktion &amp; forbrug'!$E164,'Forbrug af biomasse'!$A$2:$A$425,'Resultat-Produktion &amp; forbrug'!M$3,'Forbrug af biomasse'!$B$2:$B$425,$F164),G164)</f>
        <v>732655.58820898295</v>
      </c>
      <c r="N164" s="94">
        <f>SUMIFS('Forbrug af biomasse'!E:E,'Forbrug af biomasse'!C:C,'Resultat-Produktion &amp; forbrug'!$A164,'Forbrug af biomasse'!D:D,'Resultat-Produktion &amp; forbrug'!$E164,'Forbrug af biomasse'!G:G,1,'Forbrug af biomasse'!B:B,$F164)</f>
        <v>0</v>
      </c>
      <c r="O164" s="179">
        <f t="shared" si="53"/>
        <v>0</v>
      </c>
      <c r="P164" s="94">
        <f t="shared" si="43"/>
        <v>0</v>
      </c>
      <c r="Q164" s="180">
        <f t="shared" si="54"/>
        <v>755394.68360216683</v>
      </c>
      <c r="R164">
        <f>IFERROR(VLOOKUP(A164,[1]Energiindhold!$A$2:$C$11,3,FALSE),IFERROR(VLOOKUP(A164,[1]Biogasudbytte!$A$2:$B$18,2,FALSE)*[1]Energiindhold!$C$10,0))*P164</f>
        <v>0</v>
      </c>
      <c r="S164">
        <f>IF(A164&lt;&gt;"Biogas",IFERROR(VLOOKUP(A164,[1]Biogasudbytte!$A$2:$B$18,2,FALSE)*[1]Energiindhold!$C$10,0)*K164*IFERROR(VLOOKUP(A164,Biogasanlæg!$F$3:$G$8,2,FALSE),1)+IFERROR(VLOOKUP(A164,[1]Energiindhold!$A$2:$C$11,3,FALSE),0)*M164+IF(E164&lt;&gt;År1,R164,0),0)</f>
        <v>7.7036894370658402</v>
      </c>
      <c r="T164">
        <f>IFERROR(VLOOKUP(A164,[1]Biogasudbytte!$A$2:$B$18,2,FALSE)*[1]Energiindhold!$C$10,0)*K164*IFERROR(VLOOKUP(A164,Biogasanlæg!$F$3:$G$8,2,FALSE),1)</f>
        <v>0.1311031640532172</v>
      </c>
      <c r="U164" s="170">
        <f t="shared" si="55"/>
        <v>7.5725862730126234</v>
      </c>
      <c r="V164" s="169">
        <f>P164*IFERROR(VLOOKUP(A164,[1]Tørstofindhold!A$2:B$24,2,FALSE),0)</f>
        <v>0</v>
      </c>
      <c r="W164">
        <f>IF(E164=År1,Q164,SUM(P164,Q164))*IFERROR(VLOOKUP(A164,[1]Tørstofindhold!A$2:B$24,2,FALSE),0)</f>
        <v>642085.48106184183</v>
      </c>
      <c r="X164">
        <f>K164*IFERROR(VLOOKUP(A164,[1]Tørstofindhold!A$2:B$24,2,FALSE),0)</f>
        <v>19328.231084206269</v>
      </c>
      <c r="Y164" s="170">
        <f t="shared" si="56"/>
        <v>622757.24997763557</v>
      </c>
      <c r="Z164">
        <f t="shared" si="47"/>
        <v>0</v>
      </c>
      <c r="AA164">
        <f t="shared" si="48"/>
        <v>0</v>
      </c>
      <c r="AB164" s="94">
        <f t="shared" si="49"/>
        <v>732655.58820898295</v>
      </c>
      <c r="AC164">
        <f>AB164*D164*10000*VLOOKUP(A164,[1]kcal!$A$2:$C$49,3,FALSE)/1000000000000</f>
        <v>0</v>
      </c>
    </row>
    <row r="165" spans="1:29" x14ac:dyDescent="0.25">
      <c r="A165" s="171" t="s">
        <v>162</v>
      </c>
      <c r="B165" s="171" t="s">
        <v>230</v>
      </c>
      <c r="C165" s="171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1</v>
      </c>
      <c r="D165" s="171">
        <f t="shared" si="39"/>
        <v>0</v>
      </c>
      <c r="E165" s="171">
        <f t="shared" si="52"/>
        <v>2019</v>
      </c>
      <c r="F165" t="s">
        <v>24</v>
      </c>
      <c r="G165" s="94">
        <f>IF(F165="Vestdanmark",SUMIFS(IF(E165=År1,'Resultater - Vestdanmark'!H$3:H$504,IF(E165=År2,'Resultater - Vestdanmark'!I$3:I$504,'Resultater - Vestdanmark'!J$3:J$504)),'Resultater - Vestdanmark'!$F$3:$F$504,$A165,IF(E165=År1,'Resultater - Vestdanmark'!H$3:H$504,IF(E165=År2,'Resultater - Vestdanmark'!I$3:I$504,'Resultater - Vestdanmark'!J$3:J$504)),"&gt;0"),SUMIFS(IF(E165=År1,'Resultater - Østdanmark'!H$3:H$504,IF(E165=År2,'Resultater - Østdanmark'!I$3:I$504,'Resultater - Østdanmark'!J$3:J$504)),'Resultater - Østdanmark'!$F$3:$F$504,$A165,IF(E165=År1,'Resultater - Østdanmark'!H$3:H$504,IF(E165=År2,'Resultater - Østdanmark'!I$3:I$504,'Resultater - Østdanmark'!J$3:J$504)),"&gt;0"))</f>
        <v>452346.51233766804</v>
      </c>
      <c r="H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forbrug'!H$3,'Forbrug af biomasse'!$B$2:$B$425,$F165)</f>
        <v>0</v>
      </c>
      <c r="I165">
        <f>IF(F165="Vestdanmark",-IF(A165="Halm",SUMIFS(IF(E165=År1,'Resultater - Vestdanmark'!H$3:H$504,IF(E165=År2,'Resultater - Vestdanmark'!I$3:I$504,'Resultater - Vestdanmark'!J$3:J$504)),'Resultater - Vestdanmark'!$F$3:$F$504,$A165,'Resultater - Vestdanmark'!H$3:H$504,"&lt;0"),0),-IF(A165="Halm",SUMIFS(IF(E165=År1,'Resultater - Østdanmark'!H$3:H$504,IF(E165=År2,'Resultater - Østdanmark'!I$3:I$504,'Resultater - Østdanmark'!J$3:J$504)),'Resultater - Østdanmark'!$F$3:$F$504,$A165,'Resultater - Østdanmark'!H$3:H$504,"&lt;0"),0))</f>
        <v>0</v>
      </c>
      <c r="J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forbrug'!J$3,'Forbrug af biomasse'!$B$2:$B$425,$F165)</f>
        <v>0</v>
      </c>
      <c r="K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forbrug'!K$3,'Forbrug af biomasse'!$B$2:$B$425,$F165)</f>
        <v>35.900188095894634</v>
      </c>
      <c r="L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forbrug'!L$3,'Forbrug af biomasse'!$B$2:$B$425,$F165)</f>
        <v>0</v>
      </c>
      <c r="M165" s="94">
        <f>IF(A165&lt;&gt;"Biogas",SUMIFS('Forbrug af biomasse'!$E$2:$E$425,'Forbrug af biomasse'!$C$2:$C$425,'Resultat-Produktion &amp; forbrug'!$A165,'Forbrug af biomasse'!$D$2:$D$425,'Resultat-Produktion &amp; forbrug'!$E165,'Forbrug af biomasse'!$A$2:$A$425,'Resultat-Produktion &amp; forbrug'!M$3,'Forbrug af biomasse'!$B$2:$B$425,$F165),G165)</f>
        <v>452310.61214957217</v>
      </c>
      <c r="N165" s="94">
        <f>SUMIFS('Forbrug af biomasse'!E:E,'Forbrug af biomasse'!C:C,'Resultat-Produktion &amp; forbrug'!$A165,'Forbrug af biomasse'!D:D,'Resultat-Produktion &amp; forbrug'!$E165,'Forbrug af biomasse'!G:G,1,'Forbrug af biomasse'!B:B,$F165)</f>
        <v>0</v>
      </c>
      <c r="O165" s="179">
        <f t="shared" si="53"/>
        <v>0</v>
      </c>
      <c r="P165" s="94">
        <f t="shared" si="43"/>
        <v>0</v>
      </c>
      <c r="Q165" s="180">
        <f t="shared" si="54"/>
        <v>452346.51233766804</v>
      </c>
      <c r="R165">
        <f>IFERROR(VLOOKUP(A165,[1]Energiindhold!$A$2:$C$11,3,FALSE),IFERROR(VLOOKUP(A165,[1]Biogasudbytte!$A$2:$B$18,2,FALSE)*[1]Energiindhold!$C$10,0))*P165</f>
        <v>0</v>
      </c>
      <c r="S165">
        <f>IF(A165&lt;&gt;"Biogas",IFERROR(VLOOKUP(A165,[1]Biogasudbytte!$A$2:$B$18,2,FALSE)*[1]Energiindhold!$C$10,0)*K165*IFERROR(VLOOKUP(A165,Biogasanlæg!$F$3:$G$8,2,FALSE),1)+IFERROR(VLOOKUP(A165,[1]Energiindhold!$A$2:$C$11,3,FALSE),0)*M165+IF(E165&lt;&gt;År1,R165,0),0)</f>
        <v>8.0748097529675267</v>
      </c>
      <c r="T165">
        <f>IFERROR(VLOOKUP(A165,[1]Biogasudbytte!$A$2:$B$18,2,FALSE)*[1]Energiindhold!$C$10,0)*K165*IFERROR(VLOOKUP(A165,Biogasanlæg!$F$3:$G$8,2,FALSE),1)</f>
        <v>6.0961032399995807E-5</v>
      </c>
      <c r="U165" s="170">
        <f t="shared" si="55"/>
        <v>8.0747487919351268</v>
      </c>
      <c r="V165" s="169">
        <f>P165*IFERROR(VLOOKUP(A165,[1]Tørstofindhold!A$2:B$24,2,FALSE),0)</f>
        <v>0</v>
      </c>
      <c r="W165">
        <f>IF(E165=År1,Q165,SUM(P165,Q165))*IFERROR(VLOOKUP(A165,[1]Tørstofindhold!A$2:B$24,2,FALSE),0)</f>
        <v>135703.9537013004</v>
      </c>
      <c r="X165">
        <f>K165*IFERROR(VLOOKUP(A165,[1]Tørstofindhold!A$2:B$24,2,FALSE),0)</f>
        <v>10.77005642876839</v>
      </c>
      <c r="Y165" s="170">
        <f t="shared" si="56"/>
        <v>135693.18364487163</v>
      </c>
      <c r="Z165">
        <f t="shared" si="47"/>
        <v>0</v>
      </c>
      <c r="AA165">
        <f t="shared" si="48"/>
        <v>0</v>
      </c>
      <c r="AB165" s="94">
        <f t="shared" si="49"/>
        <v>452310.61214957217</v>
      </c>
      <c r="AC165">
        <f>AB165*D165*10000*VLOOKUP(A165,[1]kcal!$A$2:$C$49,3,FALSE)/1000000000000</f>
        <v>0</v>
      </c>
    </row>
    <row r="166" spans="1:29" x14ac:dyDescent="0.25">
      <c r="A166" t="s">
        <v>159</v>
      </c>
      <c r="B166" s="171"/>
      <c r="C166" s="171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0</v>
      </c>
      <c r="D166" s="171">
        <f t="shared" si="39"/>
        <v>1</v>
      </c>
      <c r="E166" s="171">
        <f t="shared" si="52"/>
        <v>2019</v>
      </c>
      <c r="F166" t="s">
        <v>24</v>
      </c>
      <c r="G166" s="94">
        <f>IF(F166="Vestdanmark",SUMIFS(IF(E166=År1,'Resultater - Vestdanmark'!H$3:H$504,IF(E166=År2,'Resultater - Vestdanmark'!I$3:I$504,'Resultater - Vestdanmark'!J$3:J$504)),'Resultater - Vestdanmark'!$F$3:$F$504,$A166,IF(E166=År1,'Resultater - Vestdanmark'!H$3:H$504,IF(E166=År2,'Resultater - Vestdanmark'!I$3:I$504,'Resultater - Vestdanmark'!J$3:J$504)),"&gt;0"),SUMIFS(IF(E166=År1,'Resultater - Østdanmark'!H$3:H$504,IF(E166=År2,'Resultater - Østdanmark'!I$3:I$504,'Resultater - Østdanmark'!J$3:J$504)),'Resultater - Østdanmark'!$F$3:$F$504,$A166,IF(E166=År1,'Resultater - Østdanmark'!H$3:H$504,IF(E166=År2,'Resultater - Østdanmark'!I$3:I$504,'Resultater - Østdanmark'!J$3:J$504)),"&gt;0"))</f>
        <v>0</v>
      </c>
      <c r="H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forbrug'!H$3,'Forbrug af biomasse'!$B$2:$B$425,$F166)</f>
        <v>592646.72642582108</v>
      </c>
      <c r="I166">
        <f>IF(F166="Vestdanmark",-IF(A166="Halm",SUMIFS(IF(E166=År1,'Resultater - Vestdanmark'!H$3:H$504,IF(E166=År2,'Resultater - Vestdanmark'!I$3:I$504,'Resultater - Vestdanmark'!J$3:J$504)),'Resultater - Vestdanmark'!$F$3:$F$504,$A166,'Resultater - Vestdanmark'!H$3:H$504,"&lt;0"),0),-IF(A166="Halm",SUMIFS(IF(E166=År1,'Resultater - Østdanmark'!H$3:H$504,IF(E166=År2,'Resultater - Østdanmark'!I$3:I$504,'Resultater - Østdanmark'!J$3:J$504)),'Resultater - Østdanmark'!$F$3:$F$504,$A166,'Resultater - Østdanmark'!H$3:H$504,"&lt;0"),0))</f>
        <v>0</v>
      </c>
      <c r="J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forbrug'!J$3,'Forbrug af biomasse'!$B$2:$B$425,$F166)</f>
        <v>0</v>
      </c>
      <c r="K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forbrug'!K$3,'Forbrug af biomasse'!$B$2:$B$425,$F166)</f>
        <v>0</v>
      </c>
      <c r="L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forbrug'!L$3,'Forbrug af biomasse'!$B$2:$B$425,$F166)</f>
        <v>0</v>
      </c>
      <c r="M166" s="94">
        <f>IF(A166&lt;&gt;"Biogas",SUMIFS('Forbrug af biomasse'!$E$2:$E$425,'Forbrug af biomasse'!$C$2:$C$425,'Resultat-Produktion &amp; forbrug'!$A166,'Forbrug af biomasse'!$D$2:$D$425,'Resultat-Produktion &amp; forbrug'!$E166,'Forbrug af biomasse'!$A$2:$A$425,'Resultat-Produktion &amp; forbrug'!M$3,'Forbrug af biomasse'!$B$2:$B$425,$F166),G166)</f>
        <v>0</v>
      </c>
      <c r="N166" s="94">
        <f>SUMIFS('Forbrug af biomasse'!E:E,'Forbrug af biomasse'!C:C,'Resultat-Produktion &amp; forbrug'!$A166,'Forbrug af biomasse'!D:D,'Resultat-Produktion &amp; forbrug'!$E166,'Forbrug af biomasse'!G:G,1,'Forbrug af biomasse'!B:B,$F166)</f>
        <v>0</v>
      </c>
      <c r="O166" s="179">
        <f t="shared" si="53"/>
        <v>-592646.72642582108</v>
      </c>
      <c r="P166" s="94">
        <f t="shared" si="43"/>
        <v>0</v>
      </c>
      <c r="Q166" s="180">
        <f t="shared" si="54"/>
        <v>0</v>
      </c>
      <c r="R166">
        <f>IFERROR(VLOOKUP(A166,[1]Energiindhold!$A$2:$C$11,3,FALSE),IFERROR(VLOOKUP(A166,[1]Biogasudbytte!$A$2:$B$18,2,FALSE)*[1]Energiindhold!$C$10,0))*P166</f>
        <v>0</v>
      </c>
      <c r="S166">
        <f>IF(A166&lt;&gt;"Biogas",IFERROR(VLOOKUP(A166,[1]Biogasudbytte!$A$2:$B$18,2,FALSE)*[1]Energiindhold!$C$10,0)*K166*IFERROR(VLOOKUP(A166,Biogasanlæg!$F$3:$G$8,2,FALSE),1)+IFERROR(VLOOKUP(A166,[1]Energiindhold!$A$2:$C$11,3,FALSE),0)*M166+IF(E166&lt;&gt;År1,R166,0),0)</f>
        <v>0</v>
      </c>
      <c r="T166">
        <f>IFERROR(VLOOKUP(A166,[1]Biogasudbytte!$A$2:$B$18,2,FALSE)*[1]Energiindhold!$C$10,0)*K166*IFERROR(VLOOKUP(A166,Biogasanlæg!$F$3:$G$8,2,FALSE),1)</f>
        <v>0</v>
      </c>
      <c r="U166" s="170">
        <f t="shared" si="55"/>
        <v>0</v>
      </c>
      <c r="V166" s="169">
        <f>P166*IFERROR(VLOOKUP(A166,[1]Tørstofindhold!A$2:B$24,2,FALSE),0)</f>
        <v>0</v>
      </c>
      <c r="W166">
        <f>IF(E166=År1,Q166,SUM(P166,Q166))*IFERROR(VLOOKUP(A166,[1]Tørstofindhold!A$2:B$24,2,FALSE),0)</f>
        <v>0</v>
      </c>
      <c r="X166">
        <f>K166*IFERROR(VLOOKUP(A166,[1]Tørstofindhold!A$2:B$24,2,FALSE),0)</f>
        <v>0</v>
      </c>
      <c r="Y166" s="170">
        <f t="shared" si="56"/>
        <v>0</v>
      </c>
      <c r="Z166">
        <f t="shared" si="47"/>
        <v>1</v>
      </c>
      <c r="AA166">
        <f t="shared" si="48"/>
        <v>0</v>
      </c>
      <c r="AB166" s="94">
        <f t="shared" si="49"/>
        <v>-592646.72642582108</v>
      </c>
      <c r="AC166">
        <f>AB166*D166*10000*VLOOKUP(A166,[1]kcal!$A$2:$C$49,3,FALSE)/1000000000000</f>
        <v>-0.33780863406271799</v>
      </c>
    </row>
    <row r="167" spans="1:29" x14ac:dyDescent="0.25">
      <c r="A167" s="171" t="s">
        <v>103</v>
      </c>
      <c r="B167" s="171" t="s">
        <v>230</v>
      </c>
      <c r="C167" s="171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1</v>
      </c>
      <c r="D167" s="171">
        <f t="shared" si="39"/>
        <v>0</v>
      </c>
      <c r="E167" s="171">
        <f t="shared" si="52"/>
        <v>2019</v>
      </c>
      <c r="F167" t="s">
        <v>24</v>
      </c>
      <c r="G167" s="94">
        <f>IF(F167="Vestdanmark",SUMIFS(IF(E167=År1,'Resultater - Vestdanmark'!H$3:H$504,IF(E167=År2,'Resultater - Vestdanmark'!I$3:I$504,'Resultater - Vestdanmark'!J$3:J$504)),'Resultater - Vestdanmark'!$F$3:$F$504,$A167,IF(E167=År1,'Resultater - Vestdanmark'!H$3:H$504,IF(E167=År2,'Resultater - Vestdanmark'!I$3:I$504,'Resultater - Vestdanmark'!J$3:J$504)),"&gt;0"),SUMIFS(IF(E167=År1,'Resultater - Østdanmark'!H$3:H$504,IF(E167=År2,'Resultater - Østdanmark'!I$3:I$504,'Resultater - Østdanmark'!J$3:J$504)),'Resultater - Østdanmark'!$F$3:$F$504,$A167,IF(E167=År1,'Resultater - Østdanmark'!H$3:H$504,IF(E167=År2,'Resultater - Østdanmark'!I$3:I$504,'Resultater - Østdanmark'!J$3:J$504)),"&gt;0"))</f>
        <v>200279.74928693369</v>
      </c>
      <c r="H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forbrug'!H$3,'Forbrug af biomasse'!$B$2:$B$425,$F167)</f>
        <v>0</v>
      </c>
      <c r="I167">
        <f>IF(F167="Vestdanmark",-IF(A167="Halm",SUMIFS(IF(E167=År1,'Resultater - Vestdanmark'!H$3:H$504,IF(E167=År2,'Resultater - Vestdanmark'!I$3:I$504,'Resultater - Vestdanmark'!J$3:J$504)),'Resultater - Vestdanmark'!$F$3:$F$504,$A167,'Resultater - Vestdanmark'!H$3:H$504,"&lt;0"),0),-IF(A167="Halm",SUMIFS(IF(E167=År1,'Resultater - Østdanmark'!H$3:H$504,IF(E167=År2,'Resultater - Østdanmark'!I$3:I$504,'Resultater - Østdanmark'!J$3:J$504)),'Resultater - Østdanmark'!$F$3:$F$504,$A167,'Resultater - Østdanmark'!H$3:H$504,"&lt;0"),0))</f>
        <v>0</v>
      </c>
      <c r="J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forbrug'!J$3,'Forbrug af biomasse'!$B$2:$B$425,$F167)</f>
        <v>0</v>
      </c>
      <c r="K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forbrug'!K$3,'Forbrug af biomasse'!$B$2:$B$425,$F167)</f>
        <v>279550.24796430691</v>
      </c>
      <c r="L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forbrug'!L$3,'Forbrug af biomasse'!$B$2:$B$425,$F167)</f>
        <v>0</v>
      </c>
      <c r="M167" s="94">
        <f>IF(A167&lt;&gt;"Biogas",SUMIFS('Forbrug af biomasse'!$E$2:$E$425,'Forbrug af biomasse'!$C$2:$C$425,'Resultat-Produktion &amp; forbrug'!$A167,'Forbrug af biomasse'!$D$2:$D$425,'Resultat-Produktion &amp; forbrug'!$E167,'Forbrug af biomasse'!$A$2:$A$425,'Resultat-Produktion &amp; forbrug'!M$3,'Forbrug af biomasse'!$B$2:$B$425,$F167),G167)</f>
        <v>0</v>
      </c>
      <c r="N167" s="94">
        <f>SUMIFS('Forbrug af biomasse'!E:E,'Forbrug af biomasse'!C:C,'Resultat-Produktion &amp; forbrug'!$A167,'Forbrug af biomasse'!D:D,'Resultat-Produktion &amp; forbrug'!$E167,'Forbrug af biomasse'!G:G,1,'Forbrug af biomasse'!B:B,$F167)</f>
        <v>0</v>
      </c>
      <c r="O167" s="179">
        <f t="shared" si="53"/>
        <v>-79270.498677373223</v>
      </c>
      <c r="P167" s="94">
        <f t="shared" si="43"/>
        <v>0</v>
      </c>
      <c r="Q167" s="180">
        <f t="shared" si="54"/>
        <v>279550.24796430691</v>
      </c>
      <c r="R167">
        <f>IFERROR(VLOOKUP(A167,[1]Energiindhold!$A$2:$C$11,3,FALSE),IFERROR(VLOOKUP(A167,[1]Biogasudbytte!$A$2:$B$18,2,FALSE)*[1]Energiindhold!$C$10,0))*P167</f>
        <v>0</v>
      </c>
      <c r="S167">
        <f>IF(A167&lt;&gt;"Biogas",IFERROR(VLOOKUP(A167,[1]Biogasudbytte!$A$2:$B$18,2,FALSE)*[1]Energiindhold!$C$10,0)*K167*IFERROR(VLOOKUP(A167,Biogasanlæg!$F$3:$G$8,2,FALSE),1)+IFERROR(VLOOKUP(A167,[1]Energiindhold!$A$2:$C$11,3,FALSE),0)*M167+IF(E167&lt;&gt;År1,R167,0),0)</f>
        <v>1.0296284310673407</v>
      </c>
      <c r="T167">
        <f>IFERROR(VLOOKUP(A167,[1]Biogasudbytte!$A$2:$B$18,2,FALSE)*[1]Energiindhold!$C$10,0)*K167*IFERROR(VLOOKUP(A167,Biogasanlæg!$F$3:$G$8,2,FALSE),1)</f>
        <v>1.0296284310673407</v>
      </c>
      <c r="U167" s="170">
        <f t="shared" si="55"/>
        <v>0</v>
      </c>
      <c r="V167" s="169">
        <f>P167*IFERROR(VLOOKUP(A167,[1]Tørstofindhold!A$2:B$24,2,FALSE),0)</f>
        <v>0</v>
      </c>
      <c r="W167">
        <f>IF(E167=År1,Q167,SUM(P167,Q167))*IFERROR(VLOOKUP(A167,[1]Tørstofindhold!A$2:B$24,2,FALSE),0)</f>
        <v>117411.1041450089</v>
      </c>
      <c r="X167">
        <f>K167*IFERROR(VLOOKUP(A167,[1]Tørstofindhold!A$2:B$24,2,FALSE),0)</f>
        <v>117411.1041450089</v>
      </c>
      <c r="Y167" s="170">
        <f t="shared" si="56"/>
        <v>0</v>
      </c>
      <c r="Z167">
        <f t="shared" si="47"/>
        <v>1</v>
      </c>
      <c r="AA167">
        <f t="shared" si="48"/>
        <v>0</v>
      </c>
      <c r="AB167" s="94">
        <f t="shared" si="49"/>
        <v>-79270.498677373223</v>
      </c>
      <c r="AC167">
        <f>AB167*D167*10000*VLOOKUP(A167,[1]kcal!$A$2:$C$49,3,FALSE)/1000000000000</f>
        <v>0</v>
      </c>
    </row>
    <row r="168" spans="1:29" x14ac:dyDescent="0.25">
      <c r="A168" s="171" t="s">
        <v>56</v>
      </c>
      <c r="B168" s="171"/>
      <c r="C168" s="171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71">
        <f t="shared" si="39"/>
        <v>0</v>
      </c>
      <c r="E168" s="171">
        <f t="shared" si="52"/>
        <v>2019</v>
      </c>
      <c r="F168" t="s">
        <v>24</v>
      </c>
      <c r="G168" s="94">
        <f>IF(F168="Vestdanmark",SUMIFS(IF(E168=År1,'Resultater - Vestdanmark'!H$3:H$504,IF(E168=År2,'Resultater - Vestdanmark'!I$3:I$504,'Resultater - Vestdanmark'!J$3:J$504)),'Resultater - Vestdanmark'!$F$3:$F$504,$A168,IF(E168=År1,'Resultater - Vestdanmark'!H$3:H$504,IF(E168=År2,'Resultater - Vestdanmark'!I$3:I$504,'Resultater - Vestdanmark'!J$3:J$504)),"&gt;0"),SUMIFS(IF(E168=År1,'Resultater - Østdanmark'!H$3:H$504,IF(E168=År2,'Resultater - Østdanmark'!I$3:I$504,'Resultater - Østdanmark'!J$3:J$504)),'Resultater - Østdanmark'!$F$3:$F$504,$A168,IF(E168=År1,'Resultater - Østdanmark'!H$3:H$504,IF(E168=År2,'Resultater - Østdanmark'!I$3:I$504,'Resultater - Østdanmark'!J$3:J$504)),"&gt;0"))</f>
        <v>145627.35347864506</v>
      </c>
      <c r="H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forbrug'!H$3,'Forbrug af biomasse'!$B$2:$B$425,$F168)</f>
        <v>0</v>
      </c>
      <c r="I168">
        <f>IF(F168="Vestdanmark",-IF(A168="Halm",SUMIFS(IF(E168=År1,'Resultater - Vestdanmark'!H$3:H$504,IF(E168=År2,'Resultater - Vestdanmark'!I$3:I$504,'Resultater - Vestdanmark'!J$3:J$504)),'Resultater - Vestdanmark'!$F$3:$F$504,$A168,'Resultater - Vestdanmark'!H$3:H$504,"&lt;0"),0),-IF(A168="Halm",SUMIFS(IF(E168=År1,'Resultater - Østdanmark'!H$3:H$504,IF(E168=År2,'Resultater - Østdanmark'!I$3:I$504,'Resultater - Østdanmark'!J$3:J$504)),'Resultater - Østdanmark'!$F$3:$F$504,$A168,'Resultater - Østdanmark'!H$3:H$504,"&lt;0"),0))</f>
        <v>0</v>
      </c>
      <c r="J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forbrug'!J$3,'Forbrug af biomasse'!$B$2:$B$425,$F168)</f>
        <v>0</v>
      </c>
      <c r="K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forbrug'!K$3,'Forbrug af biomasse'!$B$2:$B$425,$F168)</f>
        <v>0</v>
      </c>
      <c r="L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forbrug'!L$3,'Forbrug af biomasse'!$B$2:$B$425,$F168)</f>
        <v>0</v>
      </c>
      <c r="M168" s="94">
        <f>IF(A168&lt;&gt;"Biogas",SUMIFS('Forbrug af biomasse'!$E$2:$E$425,'Forbrug af biomasse'!$C$2:$C$425,'Resultat-Produktion &amp; forbrug'!$A168,'Forbrug af biomasse'!$D$2:$D$425,'Resultat-Produktion &amp; forbrug'!$E168,'Forbrug af biomasse'!$A$2:$A$425,'Resultat-Produktion &amp; forbrug'!M$3,'Forbrug af biomasse'!$B$2:$B$425,$F168),G168)</f>
        <v>0</v>
      </c>
      <c r="N168" s="94">
        <f>SUMIFS('Forbrug af biomasse'!E:E,'Forbrug af biomasse'!C:C,'Resultat-Produktion &amp; forbrug'!$A168,'Forbrug af biomasse'!D:D,'Resultat-Produktion &amp; forbrug'!$E168,'Forbrug af biomasse'!G:G,1,'Forbrug af biomasse'!B:B,$F168)</f>
        <v>0</v>
      </c>
      <c r="O168" s="179">
        <f t="shared" si="53"/>
        <v>145627.35347864506</v>
      </c>
      <c r="P168" s="94">
        <f t="shared" si="43"/>
        <v>0</v>
      </c>
      <c r="Q168" s="180">
        <f t="shared" si="54"/>
        <v>0</v>
      </c>
      <c r="R168">
        <f>IFERROR(VLOOKUP(A168,[1]Energiindhold!$A$2:$C$11,3,FALSE),IFERROR(VLOOKUP(A168,[1]Biogasudbytte!$A$2:$B$18,2,FALSE)*[1]Energiindhold!$C$10,0))*P168</f>
        <v>0</v>
      </c>
      <c r="S168">
        <f>IF(A168&lt;&gt;"Biogas",IFERROR(VLOOKUP(A168,[1]Biogasudbytte!$A$2:$B$18,2,FALSE)*[1]Energiindhold!$C$10,0)*K168*IFERROR(VLOOKUP(A168,Biogasanlæg!$F$3:$G$8,2,FALSE),1)+IFERROR(VLOOKUP(A168,[1]Energiindhold!$A$2:$C$11,3,FALSE),0)*M168+IF(E168&lt;&gt;År1,R168,0),0)</f>
        <v>0</v>
      </c>
      <c r="T168">
        <f>IFERROR(VLOOKUP(A168,[1]Biogasudbytte!$A$2:$B$18,2,FALSE)*[1]Energiindhold!$C$10,0)*K168*IFERROR(VLOOKUP(A168,Biogasanlæg!$F$3:$G$8,2,FALSE),1)</f>
        <v>0</v>
      </c>
      <c r="U168" s="170">
        <f t="shared" si="55"/>
        <v>0</v>
      </c>
      <c r="V168" s="169">
        <f>P168*IFERROR(VLOOKUP(A168,[1]Tørstofindhold!A$2:B$24,2,FALSE),0)</f>
        <v>0</v>
      </c>
      <c r="W168">
        <f>IF(E168=År1,Q168,SUM(P168,Q168))*IFERROR(VLOOKUP(A168,[1]Tørstofindhold!A$2:B$24,2,FALSE),0)</f>
        <v>0</v>
      </c>
      <c r="X168">
        <f>K168*IFERROR(VLOOKUP(A168,[1]Tørstofindhold!A$2:B$24,2,FALSE),0)</f>
        <v>0</v>
      </c>
      <c r="Y168" s="170">
        <f t="shared" si="56"/>
        <v>0</v>
      </c>
      <c r="Z168">
        <f t="shared" si="47"/>
        <v>0</v>
      </c>
      <c r="AA168">
        <f t="shared" si="48"/>
        <v>1</v>
      </c>
      <c r="AB168" s="94">
        <f t="shared" si="49"/>
        <v>145627.35347864506</v>
      </c>
      <c r="AC168">
        <f>AB168*D168*10000*VLOOKUP(A168,[1]kcal!$A$2:$C$49,3,FALSE)/1000000000000</f>
        <v>0</v>
      </c>
    </row>
    <row r="169" spans="1:29" x14ac:dyDescent="0.25">
      <c r="A169" s="171" t="s">
        <v>12</v>
      </c>
      <c r="B169" s="171"/>
      <c r="C169" s="171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0</v>
      </c>
      <c r="D169" s="171">
        <f t="shared" si="39"/>
        <v>1</v>
      </c>
      <c r="E169" s="171">
        <f t="shared" si="52"/>
        <v>2019</v>
      </c>
      <c r="F169" t="s">
        <v>24</v>
      </c>
      <c r="G169" s="94">
        <f>IF(F169="Vestdanmark",SUMIFS(IF(E169=År1,'Resultater - Vestdanmark'!H$3:H$504,IF(E169=År2,'Resultater - Vestdanmark'!I$3:I$504,'Resultater - Vestdanmark'!J$3:J$504)),'Resultater - Vestdanmark'!$F$3:$F$504,$A169,IF(E169=År1,'Resultater - Vestdanmark'!H$3:H$504,IF(E169=År2,'Resultater - Vestdanmark'!I$3:I$504,'Resultater - Vestdanmark'!J$3:J$504)),"&gt;0"),SUMIFS(IF(E169=År1,'Resultater - Østdanmark'!H$3:H$504,IF(E169=År2,'Resultater - Østdanmark'!I$3:I$504,'Resultater - Østdanmark'!J$3:J$504)),'Resultater - Østdanmark'!$F$3:$F$504,$A169,IF(E169=År1,'Resultater - Østdanmark'!H$3:H$504,IF(E169=År2,'Resultater - Østdanmark'!I$3:I$504,'Resultater - Østdanmark'!J$3:J$504)),"&gt;0"))</f>
        <v>116539.79424410909</v>
      </c>
      <c r="H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forbrug'!H$3,'Forbrug af biomasse'!$B$2:$B$425,$F169)</f>
        <v>0</v>
      </c>
      <c r="I169">
        <f>IF(F169="Vestdanmark",-IF(A169="Halm",SUMIFS(IF(E169=År1,'Resultater - Vestdanmark'!H$3:H$504,IF(E169=År2,'Resultater - Vestdanmark'!I$3:I$504,'Resultater - Vestdanmark'!J$3:J$504)),'Resultater - Vestdanmark'!$F$3:$F$504,$A169,'Resultater - Vestdanmark'!H$3:H$504,"&lt;0"),0),-IF(A169="Halm",SUMIFS(IF(E169=År1,'Resultater - Østdanmark'!H$3:H$504,IF(E169=År2,'Resultater - Østdanmark'!I$3:I$504,'Resultater - Østdanmark'!J$3:J$504)),'Resultater - Østdanmark'!$F$3:$F$504,$A169,'Resultater - Østdanmark'!H$3:H$504,"&lt;0"),0))</f>
        <v>0</v>
      </c>
      <c r="J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forbrug'!J$3,'Forbrug af biomasse'!$B$2:$B$425,$F169)</f>
        <v>101922.05609696274</v>
      </c>
      <c r="K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forbrug'!K$3,'Forbrug af biomasse'!$B$2:$B$425,$F169)</f>
        <v>0</v>
      </c>
      <c r="L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forbrug'!L$3,'Forbrug af biomasse'!$B$2:$B$425,$F169)</f>
        <v>0</v>
      </c>
      <c r="M169" s="94">
        <f>IF(A169&lt;&gt;"Biogas",SUMIFS('Forbrug af biomasse'!$E$2:$E$425,'Forbrug af biomasse'!$C$2:$C$425,'Resultat-Produktion &amp; forbrug'!$A169,'Forbrug af biomasse'!$D$2:$D$425,'Resultat-Produktion &amp; forbrug'!$E169,'Forbrug af biomasse'!$A$2:$A$425,'Resultat-Produktion &amp; forbrug'!M$3,'Forbrug af biomasse'!$B$2:$B$425,$F169),G169)</f>
        <v>0</v>
      </c>
      <c r="N169" s="94">
        <f>SUMIFS('Forbrug af biomasse'!E:E,'Forbrug af biomasse'!C:C,'Resultat-Produktion &amp; forbrug'!$A169,'Forbrug af biomasse'!D:D,'Resultat-Produktion &amp; forbrug'!$E169,'Forbrug af biomasse'!G:G,1,'Forbrug af biomasse'!B:B,$F169)</f>
        <v>0</v>
      </c>
      <c r="O169" s="179">
        <f t="shared" si="53"/>
        <v>14617.738147146345</v>
      </c>
      <c r="P169" s="94">
        <f t="shared" si="43"/>
        <v>0</v>
      </c>
      <c r="Q169" s="180">
        <f t="shared" si="54"/>
        <v>0</v>
      </c>
      <c r="R169">
        <f>IFERROR(VLOOKUP(A169,[1]Energiindhold!$A$2:$C$11,3,FALSE),IFERROR(VLOOKUP(A169,[1]Biogasudbytte!$A$2:$B$18,2,FALSE)*[1]Energiindhold!$C$10,0))*P169</f>
        <v>0</v>
      </c>
      <c r="S169">
        <f>IF(A169&lt;&gt;"Biogas",IFERROR(VLOOKUP(A169,[1]Biogasudbytte!$A$2:$B$18,2,FALSE)*[1]Energiindhold!$C$10,0)*K169*IFERROR(VLOOKUP(A169,Biogasanlæg!$F$3:$G$8,2,FALSE),1)+IFERROR(VLOOKUP(A169,[1]Energiindhold!$A$2:$C$11,3,FALSE),0)*M169+IF(E169&lt;&gt;År1,R169,0),0)</f>
        <v>0</v>
      </c>
      <c r="T169">
        <f>IFERROR(VLOOKUP(A169,[1]Biogasudbytte!$A$2:$B$18,2,FALSE)*[1]Energiindhold!$C$10,0)*K169*IFERROR(VLOOKUP(A169,Biogasanlæg!$F$3:$G$8,2,FALSE),1)</f>
        <v>0</v>
      </c>
      <c r="U169" s="170">
        <f t="shared" si="55"/>
        <v>0</v>
      </c>
      <c r="V169" s="169">
        <f>P169*IFERROR(VLOOKUP(A169,[1]Tørstofindhold!A$2:B$24,2,FALSE),0)</f>
        <v>0</v>
      </c>
      <c r="W169">
        <f>IF(E169=År1,Q169,SUM(P169,Q169))*IFERROR(VLOOKUP(A169,[1]Tørstofindhold!A$2:B$24,2,FALSE),0)</f>
        <v>0</v>
      </c>
      <c r="X169">
        <f>K169*IFERROR(VLOOKUP(A169,[1]Tørstofindhold!A$2:B$24,2,FALSE),0)</f>
        <v>0</v>
      </c>
      <c r="Y169" s="170">
        <f t="shared" si="56"/>
        <v>0</v>
      </c>
      <c r="Z169">
        <f t="shared" si="47"/>
        <v>0</v>
      </c>
      <c r="AA169">
        <f t="shared" si="48"/>
        <v>1</v>
      </c>
      <c r="AB169" s="94">
        <f t="shared" si="49"/>
        <v>116539.79424410909</v>
      </c>
      <c r="AC169">
        <f>AB169*D169*10000*VLOOKUP(A169,[1]kcal!$A$2:$C$49,3,FALSE)/1000000000000</f>
        <v>9.0901039510405096E-2</v>
      </c>
    </row>
    <row r="170" spans="1:29" x14ac:dyDescent="0.25">
      <c r="A170" s="171" t="s">
        <v>48</v>
      </c>
      <c r="B170" s="171" t="s">
        <v>227</v>
      </c>
      <c r="C170" s="171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1</v>
      </c>
      <c r="D170" s="171">
        <f t="shared" si="39"/>
        <v>1</v>
      </c>
      <c r="E170" s="171">
        <f t="shared" si="52"/>
        <v>2019</v>
      </c>
      <c r="F170" t="s">
        <v>24</v>
      </c>
      <c r="G170" s="94">
        <f>IF(F170="Vestdanmark",SUMIFS(IF(E170=År1,'Resultater - Vestdanmark'!H$3:H$504,IF(E170=År2,'Resultater - Vestdanmark'!I$3:I$504,'Resultater - Vestdanmark'!J$3:J$504)),'Resultater - Vestdanmark'!$F$3:$F$504,$A170,IF(E170=År1,'Resultater - Vestdanmark'!H$3:H$504,IF(E170=År2,'Resultater - Vestdanmark'!I$3:I$504,'Resultater - Vestdanmark'!J$3:J$504)),"&gt;0"),SUMIFS(IF(E170=År1,'Resultater - Østdanmark'!H$3:H$504,IF(E170=År2,'Resultater - Østdanmark'!I$3:I$504,'Resultater - Østdanmark'!J$3:J$504)),'Resultater - Østdanmark'!$F$3:$F$504,$A170,IF(E170=År1,'Resultater - Østdanmark'!H$3:H$504,IF(E170=År2,'Resultater - Østdanmark'!I$3:I$504,'Resultater - Østdanmark'!J$3:J$504)),"&gt;0"))</f>
        <v>2268650.5850062412</v>
      </c>
      <c r="H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forbrug'!H$3,'Forbrug af biomasse'!$B$2:$B$425,$F170)</f>
        <v>721621.60770550335</v>
      </c>
      <c r="I170">
        <f>IF(F170="Vestdanmark",-IF(A170="Halm",SUMIFS(IF(E170=År1,'Resultater - Vestdanmark'!H$3:H$504,IF(E170=År2,'Resultater - Vestdanmark'!I$3:I$504,'Resultater - Vestdanmark'!J$3:J$504)),'Resultater - Vestdanmark'!$F$3:$F$504,$A170,'Resultater - Vestdanmark'!H$3:H$504,"&lt;0"),0),-IF(A170="Halm",SUMIFS(IF(E170=År1,'Resultater - Østdanmark'!H$3:H$504,IF(E170=År2,'Resultater - Østdanmark'!I$3:I$504,'Resultater - Østdanmark'!J$3:J$504)),'Resultater - Østdanmark'!$F$3:$F$504,$A170,'Resultater - Østdanmark'!H$3:H$504,"&lt;0"),0))</f>
        <v>0</v>
      </c>
      <c r="J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forbrug'!J$3,'Forbrug af biomasse'!$B$2:$B$425,$F170)</f>
        <v>244164.92559492172</v>
      </c>
      <c r="K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forbrug'!K$3,'Forbrug af biomasse'!$B$2:$B$425,$F170)</f>
        <v>942.6064741945944</v>
      </c>
      <c r="L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forbrug'!L$3,'Forbrug af biomasse'!$B$2:$B$425,$F170)</f>
        <v>0</v>
      </c>
      <c r="M170" s="94">
        <f>IF(A170&lt;&gt;"Biogas",SUMIFS('Forbrug af biomasse'!$E$2:$E$425,'Forbrug af biomasse'!$C$2:$C$425,'Resultat-Produktion &amp; forbrug'!$A170,'Forbrug af biomasse'!$D$2:$D$425,'Resultat-Produktion &amp; forbrug'!$E170,'Forbrug af biomasse'!$A$2:$A$425,'Resultat-Produktion &amp; forbrug'!M$3,'Forbrug af biomasse'!$B$2:$B$425,$F170),G170)</f>
        <v>0</v>
      </c>
      <c r="N170" s="94">
        <f>SUMIFS('Forbrug af biomasse'!E:E,'Forbrug af biomasse'!C:C,'Resultat-Produktion &amp; forbrug'!$A170,'Forbrug af biomasse'!D:D,'Resultat-Produktion &amp; forbrug'!$E170,'Forbrug af biomasse'!G:G,1,'Forbrug af biomasse'!B:B,$F170)</f>
        <v>0</v>
      </c>
      <c r="O170" s="179">
        <f t="shared" si="53"/>
        <v>1301921.4452316216</v>
      </c>
      <c r="P170" s="94">
        <f t="shared" si="43"/>
        <v>1301921.4452316216</v>
      </c>
      <c r="Q170" s="180">
        <f t="shared" si="54"/>
        <v>942.6064741945944</v>
      </c>
      <c r="R170">
        <f>IFERROR(VLOOKUP(A170,[1]Energiindhold!$A$2:$C$11,3,FALSE),IFERROR(VLOOKUP(A170,[1]Biogasudbytte!$A$2:$B$18,2,FALSE)*[1]Energiindhold!$C$10,0))*P170</f>
        <v>4.4588986809159721</v>
      </c>
      <c r="S170">
        <f>IF(A170&lt;&gt;"Biogas",IFERROR(VLOOKUP(A170,[1]Biogasudbytte!$A$2:$B$18,2,FALSE)*[1]Energiindhold!$C$10,0)*K170*IFERROR(VLOOKUP(A170,Biogasanlæg!$F$3:$G$8,2,FALSE),1)+IFERROR(VLOOKUP(A170,[1]Energiindhold!$A$2:$C$11,3,FALSE),0)*M170+IF(E170&lt;&gt;År1,R170,0),0)</f>
        <v>3.2282952092100993E-3</v>
      </c>
      <c r="T170">
        <f>IFERROR(VLOOKUP(A170,[1]Biogasudbytte!$A$2:$B$18,2,FALSE)*[1]Energiindhold!$C$10,0)*K170*IFERROR(VLOOKUP(A170,Biogasanlæg!$F$3:$G$8,2,FALSE),1)</f>
        <v>3.2282952092100993E-3</v>
      </c>
      <c r="U170" s="170">
        <f t="shared" si="55"/>
        <v>0</v>
      </c>
      <c r="V170" s="169">
        <f>P170*IFERROR(VLOOKUP(A170,[1]Tørstofindhold!A$2:B$24,2,FALSE),0)</f>
        <v>403595.64802180271</v>
      </c>
      <c r="W170">
        <f>IF(E170=År1,Q170,SUM(P170,Q170))*IFERROR(VLOOKUP(A170,[1]Tørstofindhold!A$2:B$24,2,FALSE),0)</f>
        <v>292.20800700032424</v>
      </c>
      <c r="X170">
        <f>K170*IFERROR(VLOOKUP(A170,[1]Tørstofindhold!A$2:B$24,2,FALSE),0)</f>
        <v>292.20800700032424</v>
      </c>
      <c r="Y170" s="170">
        <f t="shared" si="56"/>
        <v>0</v>
      </c>
      <c r="Z170">
        <f t="shared" si="47"/>
        <v>0</v>
      </c>
      <c r="AA170">
        <f t="shared" si="48"/>
        <v>1</v>
      </c>
      <c r="AB170" s="94">
        <f t="shared" si="49"/>
        <v>1546086.3708265433</v>
      </c>
      <c r="AC170">
        <f>AB170*D170*10000*VLOOKUP(A170,[1]kcal!$A$2:$C$49,3,FALSE)/1000000000000</f>
        <v>5.6586761172251485</v>
      </c>
    </row>
    <row r="171" spans="1:29" x14ac:dyDescent="0.25">
      <c r="A171" s="171" t="s">
        <v>115</v>
      </c>
      <c r="B171" s="171"/>
      <c r="C171" s="171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0</v>
      </c>
      <c r="D171" s="171">
        <f t="shared" si="39"/>
        <v>0</v>
      </c>
      <c r="E171" s="171">
        <f t="shared" si="52"/>
        <v>2019</v>
      </c>
      <c r="F171" t="s">
        <v>24</v>
      </c>
      <c r="G171" s="94">
        <f>IF(F171="Vestdanmark",SUMIFS(IF(E171=År1,'Resultater - Vestdanmark'!H$3:H$504,IF(E171=År2,'Resultater - Vestdanmark'!I$3:I$504,'Resultater - Vestdanmark'!J$3:J$504)),'Resultater - Vestdanmark'!$F$3:$F$504,$A171,IF(E171=År1,'Resultater - Vestdanmark'!H$3:H$504,IF(E171=År2,'Resultater - Vestdanmark'!I$3:I$504,'Resultater - Vestdanmark'!J$3:J$504)),"&gt;0"),SUMIFS(IF(E171=År1,'Resultater - Østdanmark'!H$3:H$504,IF(E171=År2,'Resultater - Østdanmark'!I$3:I$504,'Resultater - Østdanmark'!J$3:J$504)),'Resultater - Østdanmark'!$F$3:$F$504,$A171,IF(E171=År1,'Resultater - Østdanmark'!H$3:H$504,IF(E171=År2,'Resultater - Østdanmark'!I$3:I$504,'Resultater - Østdanmark'!J$3:J$504)),"&gt;0"))</f>
        <v>0</v>
      </c>
      <c r="H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forbrug'!H$3,'Forbrug af biomasse'!$B$2:$B$425,$F171)</f>
        <v>0</v>
      </c>
      <c r="I171">
        <f>IF(F171="Vestdanmark",-IF(A171="Halm",SUMIFS(IF(E171=År1,'Resultater - Vestdanmark'!H$3:H$504,IF(E171=År2,'Resultater - Vestdanmark'!I$3:I$504,'Resultater - Vestdanmark'!J$3:J$504)),'Resultater - Vestdanmark'!$F$3:$F$504,$A171,'Resultater - Vestdanmark'!H$3:H$504,"&lt;0"),0),-IF(A171="Halm",SUMIFS(IF(E171=År1,'Resultater - Østdanmark'!H$3:H$504,IF(E171=År2,'Resultater - Østdanmark'!I$3:I$504,'Resultater - Østdanmark'!J$3:J$504)),'Resultater - Østdanmark'!$F$3:$F$504,$A171,'Resultater - Østdanmark'!H$3:H$504,"&lt;0"),0))</f>
        <v>0</v>
      </c>
      <c r="J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forbrug'!J$3,'Forbrug af biomasse'!$B$2:$B$425,$F171)</f>
        <v>0</v>
      </c>
      <c r="K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forbrug'!K$3,'Forbrug af biomasse'!$B$2:$B$425,$F171)</f>
        <v>0</v>
      </c>
      <c r="L171" s="94">
        <f ca="1">SUMIFS('Forbrug af biomasse'!$E$2:$E$425,'Forbrug af biomasse'!$C$2:$C$425,'Resultat-Produktion &amp; forbrug'!$A171,'Forbrug af biomasse'!$D$2:$D$425,'Resultat-Produktion &amp; forbrug'!$E171,'Forbrug af biomasse'!$A$2:$A$425,'Resultat-Produktion &amp; forbrug'!L$3,'Forbrug af biomasse'!$B$2:$B$425,$F171)</f>
        <v>374820.3560243976</v>
      </c>
      <c r="M171" s="94">
        <f>IF(A171&lt;&gt;"Biogas",SUMIFS('Forbrug af biomasse'!$E$2:$E$425,'Forbrug af biomasse'!$C$2:$C$425,'Resultat-Produktion &amp; forbrug'!$A171,'Forbrug af biomasse'!$D$2:$D$425,'Resultat-Produktion &amp; forbrug'!$E171,'Forbrug af biomasse'!$A$2:$A$425,'Resultat-Produktion &amp; forbrug'!M$3,'Forbrug af biomasse'!$B$2:$B$425,$F171),G171)</f>
        <v>0</v>
      </c>
      <c r="N171" s="94">
        <f>SUMIFS('Forbrug af biomasse'!E:E,'Forbrug af biomasse'!C:C,'Resultat-Produktion &amp; forbrug'!$A171,'Forbrug af biomasse'!D:D,'Resultat-Produktion &amp; forbrug'!$E171,'Forbrug af biomasse'!G:G,1,'Forbrug af biomasse'!B:B,$F171)</f>
        <v>0</v>
      </c>
      <c r="O171" s="179">
        <f t="shared" ca="1" si="53"/>
        <v>-374820.3560243976</v>
      </c>
      <c r="P171" s="94">
        <f t="shared" si="43"/>
        <v>0</v>
      </c>
      <c r="Q171" s="180">
        <f t="shared" si="54"/>
        <v>0</v>
      </c>
      <c r="R171">
        <f>IFERROR(VLOOKUP(A171,[1]Energiindhold!$A$2:$C$11,3,FALSE),IFERROR(VLOOKUP(A171,[1]Biogasudbytte!$A$2:$B$18,2,FALSE)*[1]Energiindhold!$C$10,0))*P171</f>
        <v>0</v>
      </c>
      <c r="S171">
        <f>IF(A171&lt;&gt;"Biogas",IFERROR(VLOOKUP(A171,[1]Biogasudbytte!$A$2:$B$18,2,FALSE)*[1]Energiindhold!$C$10,0)*K171*IFERROR(VLOOKUP(A171,Biogasanlæg!$F$3:$G$8,2,FALSE),1)+IFERROR(VLOOKUP(A171,[1]Energiindhold!$A$2:$C$11,3,FALSE),0)*M171+IF(E171&lt;&gt;År1,R171,0),0)</f>
        <v>0</v>
      </c>
      <c r="T171">
        <f>IFERROR(VLOOKUP(A171,[1]Biogasudbytte!$A$2:$B$18,2,FALSE)*[1]Energiindhold!$C$10,0)*K171*IFERROR(VLOOKUP(A171,Biogasanlæg!$F$3:$G$8,2,FALSE),1)</f>
        <v>0</v>
      </c>
      <c r="U171" s="170">
        <f t="shared" si="55"/>
        <v>0</v>
      </c>
      <c r="V171" s="169">
        <f>P171*IFERROR(VLOOKUP(A171,[1]Tørstofindhold!A$2:B$24,2,FALSE),0)</f>
        <v>0</v>
      </c>
      <c r="W171">
        <f>IF(E171=År1,Q171,SUM(P171,Q171))*IFERROR(VLOOKUP(A171,[1]Tørstofindhold!A$2:B$24,2,FALSE),0)</f>
        <v>0</v>
      </c>
      <c r="X171">
        <f>K171*IFERROR(VLOOKUP(A171,[1]Tørstofindhold!A$2:B$24,2,FALSE),0)</f>
        <v>0</v>
      </c>
      <c r="Y171" s="170">
        <f t="shared" si="56"/>
        <v>0</v>
      </c>
      <c r="Z171">
        <f t="shared" ca="1" si="47"/>
        <v>1</v>
      </c>
      <c r="AA171">
        <f t="shared" ca="1" si="48"/>
        <v>0</v>
      </c>
      <c r="AB171" s="94">
        <f t="shared" ca="1" si="49"/>
        <v>-374820.3560243976</v>
      </c>
      <c r="AC171">
        <f ca="1">AB171*D171*10000*VLOOKUP(A171,[1]kcal!$A$2:$C$49,3,FALSE)/1000000000000</f>
        <v>0</v>
      </c>
    </row>
    <row r="172" spans="1:29" x14ac:dyDescent="0.25">
      <c r="A172" s="171" t="s">
        <v>136</v>
      </c>
      <c r="B172" s="171" t="s">
        <v>222</v>
      </c>
      <c r="C172" s="171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1</v>
      </c>
      <c r="D172" s="171">
        <f t="shared" si="39"/>
        <v>0</v>
      </c>
      <c r="E172" s="171">
        <f t="shared" si="52"/>
        <v>2019</v>
      </c>
      <c r="F172" t="s">
        <v>24</v>
      </c>
      <c r="G172" s="94">
        <f>IF(F172="Vestdanmark",SUMIFS(IF(E172=År1,'Resultater - Vestdanmark'!H$3:H$504,IF(E172=År2,'Resultater - Vestdanmark'!I$3:I$504,'Resultater - Vestdanmark'!J$3:J$504)),'Resultater - Vestdanmark'!$F$3:$F$504,$A172,IF(E172=År1,'Resultater - Vestdanmark'!H$3:H$504,IF(E172=År2,'Resultater - Vestdanmark'!I$3:I$504,'Resultater - Vestdanmark'!J$3:J$504)),"&gt;0"),SUMIFS(IF(E172=År1,'Resultater - Østdanmark'!H$3:H$504,IF(E172=År2,'Resultater - Østdanmark'!I$3:I$504,'Resultater - Østdanmark'!J$3:J$504)),'Resultater - Østdanmark'!$F$3:$F$504,$A172,IF(E172=År1,'Resultater - Østdanmark'!H$3:H$504,IF(E172=År2,'Resultater - Østdanmark'!I$3:I$504,'Resultater - Østdanmark'!J$3:J$504)),"&gt;0"))</f>
        <v>925084.21922943438</v>
      </c>
      <c r="H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forbrug'!H$3,'Forbrug af biomasse'!$B$2:$B$425,$F172)</f>
        <v>0</v>
      </c>
      <c r="I172">
        <f>IF(F172="Vestdanmark",-IF(A172="Halm",SUMIFS(IF(E172=År1,'Resultater - Vestdanmark'!H$3:H$504,IF(E172=År2,'Resultater - Vestdanmark'!I$3:I$504,'Resultater - Vestdanmark'!J$3:J$504)),'Resultater - Vestdanmark'!$F$3:$F$504,$A172,'Resultater - Vestdanmark'!H$3:H$504,"&lt;0"),0),-IF(A172="Halm",SUMIFS(IF(E172=År1,'Resultater - Østdanmark'!H$3:H$504,IF(E172=År2,'Resultater - Østdanmark'!I$3:I$504,'Resultater - Østdanmark'!J$3:J$504)),'Resultater - Østdanmark'!$F$3:$F$504,$A172,'Resultater - Østdanmark'!H$3:H$504,"&lt;0"),0))</f>
        <v>0</v>
      </c>
      <c r="J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forbrug'!J$3,'Forbrug af biomasse'!$B$2:$B$425,$F172)</f>
        <v>0</v>
      </c>
      <c r="K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forbrug'!K$3,'Forbrug af biomasse'!$B$2:$B$425,$F172)</f>
        <v>286645.05985025823</v>
      </c>
      <c r="L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forbrug'!L$3,'Forbrug af biomasse'!$B$2:$B$425,$F172)</f>
        <v>638439.1593791761</v>
      </c>
      <c r="M172" s="94">
        <f>IF(A172&lt;&gt;"Biogas",SUMIFS('Forbrug af biomasse'!$E$2:$E$425,'Forbrug af biomasse'!$C$2:$C$425,'Resultat-Produktion &amp; forbrug'!$A172,'Forbrug af biomasse'!$D$2:$D$425,'Resultat-Produktion &amp; forbrug'!$E172,'Forbrug af biomasse'!$A$2:$A$425,'Resultat-Produktion &amp; forbrug'!M$3,'Forbrug af biomasse'!$B$2:$B$425,$F172),G172)</f>
        <v>0</v>
      </c>
      <c r="N172" s="94">
        <f>SUMIFS('Forbrug af biomasse'!E:E,'Forbrug af biomasse'!C:C,'Resultat-Produktion &amp; forbrug'!$A172,'Forbrug af biomasse'!D:D,'Resultat-Produktion &amp; forbrug'!$E172,'Forbrug af biomasse'!G:G,1,'Forbrug af biomasse'!B:B,$F172)</f>
        <v>0</v>
      </c>
      <c r="O172" s="179">
        <f t="shared" si="53"/>
        <v>0</v>
      </c>
      <c r="P172" s="94">
        <f t="shared" si="43"/>
        <v>0</v>
      </c>
      <c r="Q172" s="180">
        <f t="shared" si="54"/>
        <v>286645.05985025823</v>
      </c>
      <c r="R172">
        <f>IFERROR(VLOOKUP(A172,[1]Energiindhold!$A$2:$C$11,3,FALSE),IFERROR(VLOOKUP(A172,[1]Biogasudbytte!$A$2:$B$18,2,FALSE)*[1]Energiindhold!$C$10,0))*P172</f>
        <v>0</v>
      </c>
      <c r="S172">
        <f>IF(A172&lt;&gt;"Biogas",IFERROR(VLOOKUP(A172,[1]Biogasudbytte!$A$2:$B$18,2,FALSE)*[1]Energiindhold!$C$10,0)*K172*IFERROR(VLOOKUP(A172,Biogasanlæg!$F$3:$G$8,2,FALSE),1)+IFERROR(VLOOKUP(A172,[1]Energiindhold!$A$2:$C$11,3,FALSE),0)*M172+IF(E172&lt;&gt;År1,R172,0),0)</f>
        <v>0.14509686284560222</v>
      </c>
      <c r="T172">
        <f>IFERROR(VLOOKUP(A172,[1]Biogasudbytte!$A$2:$B$18,2,FALSE)*[1]Energiindhold!$C$10,0)*K172*IFERROR(VLOOKUP(A172,Biogasanlæg!$F$3:$G$8,2,FALSE),1)</f>
        <v>0.14509686284560222</v>
      </c>
      <c r="U172" s="170">
        <f t="shared" si="55"/>
        <v>0</v>
      </c>
      <c r="V172" s="169">
        <f>P172*IFERROR(VLOOKUP(A172,[1]Tørstofindhold!A$2:B$24,2,FALSE),0)</f>
        <v>0</v>
      </c>
      <c r="W172">
        <f>IF(E172=År1,Q172,SUM(P172,Q172))*IFERROR(VLOOKUP(A172,[1]Tørstofindhold!A$2:B$24,2,FALSE),0)</f>
        <v>21785.024548619625</v>
      </c>
      <c r="X172">
        <f>K172*IFERROR(VLOOKUP(A172,[1]Tørstofindhold!A$2:B$24,2,FALSE),0)</f>
        <v>21785.024548619625</v>
      </c>
      <c r="Y172" s="170">
        <f t="shared" si="56"/>
        <v>0</v>
      </c>
      <c r="Z172">
        <f t="shared" si="47"/>
        <v>0</v>
      </c>
      <c r="AA172">
        <f t="shared" si="48"/>
        <v>0</v>
      </c>
      <c r="AB172" s="94">
        <f t="shared" si="49"/>
        <v>0</v>
      </c>
      <c r="AC172">
        <f>AB172*D172*10000*VLOOKUP(A172,[1]kcal!$A$2:$C$49,3,FALSE)/1000000000000</f>
        <v>0</v>
      </c>
    </row>
    <row r="173" spans="1:29" x14ac:dyDescent="0.25">
      <c r="A173" s="171" t="s">
        <v>108</v>
      </c>
      <c r="B173" s="171"/>
      <c r="C173" s="171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0</v>
      </c>
      <c r="D173" s="171">
        <f t="shared" si="39"/>
        <v>0</v>
      </c>
      <c r="E173" s="171">
        <f t="shared" si="52"/>
        <v>2019</v>
      </c>
      <c r="F173" t="s">
        <v>24</v>
      </c>
      <c r="G173" s="94">
        <f>IF(F173="Vestdanmark",SUMIFS(IF(E173=År1,'Resultater - Vestdanmark'!H$3:H$504,IF(E173=År2,'Resultater - Vestdanmark'!I$3:I$504,'Resultater - Vestdanmark'!J$3:J$504)),'Resultater - Vestdanmark'!$F$3:$F$504,$A173,IF(E173=År1,'Resultater - Vestdanmark'!H$3:H$504,IF(E173=År2,'Resultater - Vestdanmark'!I$3:I$504,'Resultater - Vestdanmark'!J$3:J$504)),"&gt;0"),SUMIFS(IF(E173=År1,'Resultater - Østdanmark'!H$3:H$504,IF(E173=År2,'Resultater - Østdanmark'!I$3:I$504,'Resultater - Østdanmark'!J$3:J$504)),'Resultater - Østdanmark'!$F$3:$F$504,$A173,IF(E173=År1,'Resultater - Østdanmark'!H$3:H$504,IF(E173=År2,'Resultater - Østdanmark'!I$3:I$504,'Resultater - Østdanmark'!J$3:J$504)),"&gt;0"))</f>
        <v>115489.08079619991</v>
      </c>
      <c r="H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forbrug'!H$3,'Forbrug af biomasse'!$B$2:$B$425,$F173)</f>
        <v>186040.49371289223</v>
      </c>
      <c r="I173">
        <f>IF(F173="Vestdanmark",-IF(A173="Halm",SUMIFS(IF(E173=År1,'Resultater - Vestdanmark'!H$3:H$504,IF(E173=År2,'Resultater - Vestdanmark'!I$3:I$504,'Resultater - Vestdanmark'!J$3:J$504)),'Resultater - Vestdanmark'!$F$3:$F$504,$A173,'Resultater - Vestdanmark'!H$3:H$504,"&lt;0"),0),-IF(A173="Halm",SUMIFS(IF(E173=År1,'Resultater - Østdanmark'!H$3:H$504,IF(E173=År2,'Resultater - Østdanmark'!I$3:I$504,'Resultater - Østdanmark'!J$3:J$504)),'Resultater - Østdanmark'!$F$3:$F$504,$A173,'Resultater - Østdanmark'!H$3:H$504,"&lt;0"),0))</f>
        <v>0</v>
      </c>
      <c r="J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forbrug'!J$3,'Forbrug af biomasse'!$B$2:$B$425,$F173)</f>
        <v>0</v>
      </c>
      <c r="K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forbrug'!K$3,'Forbrug af biomasse'!$B$2:$B$425,$F173)</f>
        <v>0</v>
      </c>
      <c r="L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forbrug'!L$3,'Forbrug af biomasse'!$B$2:$B$425,$F173)</f>
        <v>0</v>
      </c>
      <c r="M173" s="94">
        <f>IF(A173&lt;&gt;"Biogas",SUMIFS('Forbrug af biomasse'!$E$2:$E$425,'Forbrug af biomasse'!$C$2:$C$425,'Resultat-Produktion &amp; forbrug'!$A173,'Forbrug af biomasse'!$D$2:$D$425,'Resultat-Produktion &amp; forbrug'!$E173,'Forbrug af biomasse'!$A$2:$A$425,'Resultat-Produktion &amp; forbrug'!M$3,'Forbrug af biomasse'!$B$2:$B$425,$F173),G173)</f>
        <v>0</v>
      </c>
      <c r="N173" s="94">
        <f>SUMIFS('Forbrug af biomasse'!E:E,'Forbrug af biomasse'!C:C,'Resultat-Produktion &amp; forbrug'!$A173,'Forbrug af biomasse'!D:D,'Resultat-Produktion &amp; forbrug'!$E173,'Forbrug af biomasse'!G:G,1,'Forbrug af biomasse'!B:B,$F173)</f>
        <v>0</v>
      </c>
      <c r="O173" s="179">
        <f t="shared" si="53"/>
        <v>-70551.412916692323</v>
      </c>
      <c r="P173" s="94">
        <f t="shared" si="43"/>
        <v>0</v>
      </c>
      <c r="Q173" s="180">
        <f t="shared" si="54"/>
        <v>0</v>
      </c>
      <c r="R173">
        <f>IFERROR(VLOOKUP(A173,[1]Energiindhold!$A$2:$C$11,3,FALSE),IFERROR(VLOOKUP(A173,[1]Biogasudbytte!$A$2:$B$18,2,FALSE)*[1]Energiindhold!$C$10,0))*P173</f>
        <v>0</v>
      </c>
      <c r="S173">
        <f>IF(A173&lt;&gt;"Biogas",IFERROR(VLOOKUP(A173,[1]Biogasudbytte!$A$2:$B$18,2,FALSE)*[1]Energiindhold!$C$10,0)*K173*IFERROR(VLOOKUP(A173,Biogasanlæg!$F$3:$G$8,2,FALSE),1)+IFERROR(VLOOKUP(A173,[1]Energiindhold!$A$2:$C$11,3,FALSE),0)*M173+IF(E173&lt;&gt;År1,R173,0),0)</f>
        <v>0</v>
      </c>
      <c r="T173">
        <f>IFERROR(VLOOKUP(A173,[1]Biogasudbytte!$A$2:$B$18,2,FALSE)*[1]Energiindhold!$C$10,0)*K173*IFERROR(VLOOKUP(A173,Biogasanlæg!$F$3:$G$8,2,FALSE),1)</f>
        <v>0</v>
      </c>
      <c r="U173" s="170">
        <f t="shared" si="55"/>
        <v>0</v>
      </c>
      <c r="V173" s="169">
        <f>P173*IFERROR(VLOOKUP(A173,[1]Tørstofindhold!A$2:B$24,2,FALSE),0)</f>
        <v>0</v>
      </c>
      <c r="W173">
        <f>IF(E173=År1,Q173,SUM(P173,Q173))*IFERROR(VLOOKUP(A173,[1]Tørstofindhold!A$2:B$24,2,FALSE),0)</f>
        <v>0</v>
      </c>
      <c r="X173">
        <f>K173*IFERROR(VLOOKUP(A173,[1]Tørstofindhold!A$2:B$24,2,FALSE),0)</f>
        <v>0</v>
      </c>
      <c r="Y173" s="170">
        <f t="shared" si="56"/>
        <v>0</v>
      </c>
      <c r="Z173">
        <f t="shared" si="47"/>
        <v>0</v>
      </c>
      <c r="AA173">
        <f t="shared" si="48"/>
        <v>1</v>
      </c>
      <c r="AB173" s="94">
        <f t="shared" si="49"/>
        <v>-70551.412916692323</v>
      </c>
      <c r="AC173">
        <f>AB173*D173*10000*VLOOKUP(A173,[1]kcal!$A$2:$C$49,3,FALSE)/1000000000000</f>
        <v>0</v>
      </c>
    </row>
    <row r="174" spans="1:29" x14ac:dyDescent="0.25">
      <c r="A174" t="s">
        <v>53</v>
      </c>
      <c r="B174" s="171" t="s">
        <v>224</v>
      </c>
      <c r="C174" s="171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1</v>
      </c>
      <c r="D174" s="171">
        <f t="shared" si="39"/>
        <v>1</v>
      </c>
      <c r="E174" s="171">
        <f t="shared" si="52"/>
        <v>2019</v>
      </c>
      <c r="F174" t="s">
        <v>24</v>
      </c>
      <c r="G174" s="94">
        <f>IF(F174="Vestdanmark",SUMIFS(IF(E174=År1,'Resultater - Vestdanmark'!H$3:H$504,IF(E174=År2,'Resultater - Vestdanmark'!I$3:I$504,'Resultater - Vestdanmark'!J$3:J$504)),'Resultater - Vestdanmark'!$F$3:$F$504,$A174,IF(E174=År1,'Resultater - Vestdanmark'!H$3:H$504,IF(E174=År2,'Resultater - Vestdanmark'!I$3:I$504,'Resultater - Vestdanmark'!J$3:J$504)),"&gt;0"),SUMIFS(IF(E174=År1,'Resultater - Østdanmark'!H$3:H$504,IF(E174=År2,'Resultater - Østdanmark'!I$3:I$504,'Resultater - Østdanmark'!J$3:J$504)),'Resultater - Østdanmark'!$F$3:$F$504,$A174,IF(E174=År1,'Resultater - Østdanmark'!H$3:H$504,IF(E174=År2,'Resultater - Østdanmark'!I$3:I$504,'Resultater - Østdanmark'!J$3:J$504)),"&gt;0"))</f>
        <v>365245.73356828612</v>
      </c>
      <c r="H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forbrug'!H$3,'Forbrug af biomasse'!$B$2:$B$425,$F174)</f>
        <v>694353.2611092875</v>
      </c>
      <c r="I174">
        <f>IF(F174="Vestdanmark",-IF(A174="Halm",SUMIFS(IF(E174=År1,'Resultater - Vestdanmark'!H$3:H$504,IF(E174=År2,'Resultater - Vestdanmark'!I$3:I$504,'Resultater - Vestdanmark'!J$3:J$504)),'Resultater - Vestdanmark'!$F$3:$F$504,$A174,'Resultater - Vestdanmark'!H$3:H$504,"&lt;0"),0),-IF(A174="Halm",SUMIFS(IF(E174=År1,'Resultater - Østdanmark'!H$3:H$504,IF(E174=År2,'Resultater - Østdanmark'!I$3:I$504,'Resultater - Østdanmark'!J$3:J$504)),'Resultater - Østdanmark'!$F$3:$F$504,$A174,'Resultater - Østdanmark'!H$3:H$504,"&lt;0"),0))</f>
        <v>0</v>
      </c>
      <c r="J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forbrug'!J$3,'Forbrug af biomasse'!$B$2:$B$425,$F174)</f>
        <v>0</v>
      </c>
      <c r="K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forbrug'!K$3,'Forbrug af biomasse'!$B$2:$B$425,$F174)</f>
        <v>15151.053724986185</v>
      </c>
      <c r="L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forbrug'!L$3,'Forbrug af biomasse'!$B$2:$B$425,$F174)</f>
        <v>0</v>
      </c>
      <c r="M174" s="94">
        <f>IF(A174&lt;&gt;"Biogas",SUMIFS('Forbrug af biomasse'!$E$2:$E$425,'Forbrug af biomasse'!$C$2:$C$425,'Resultat-Produktion &amp; forbrug'!$A174,'Forbrug af biomasse'!$D$2:$D$425,'Resultat-Produktion &amp; forbrug'!$E174,'Forbrug af biomasse'!$A$2:$A$425,'Resultat-Produktion &amp; forbrug'!M$3,'Forbrug af biomasse'!$B$2:$B$425,$F174),G174)</f>
        <v>0</v>
      </c>
      <c r="N174" s="94">
        <f>SUMIFS('Forbrug af biomasse'!E:E,'Forbrug af biomasse'!C:C,'Resultat-Produktion &amp; forbrug'!$A174,'Forbrug af biomasse'!D:D,'Resultat-Produktion &amp; forbrug'!$E174,'Forbrug af biomasse'!G:G,1,'Forbrug af biomasse'!B:B,$F174)</f>
        <v>0</v>
      </c>
      <c r="O174" s="179">
        <f t="shared" si="53"/>
        <v>-344258.58126598754</v>
      </c>
      <c r="P174" s="94">
        <f t="shared" si="43"/>
        <v>0</v>
      </c>
      <c r="Q174" s="180">
        <f t="shared" si="54"/>
        <v>15151.053724986185</v>
      </c>
      <c r="R174">
        <f>IFERROR(VLOOKUP(A174,[1]Energiindhold!$A$2:$C$11,3,FALSE),IFERROR(VLOOKUP(A174,[1]Biogasudbytte!$A$2:$B$18,2,FALSE)*[1]Energiindhold!$C$10,0))*P174</f>
        <v>0</v>
      </c>
      <c r="S174">
        <f>IF(A174&lt;&gt;"Biogas",IFERROR(VLOOKUP(A174,[1]Biogasudbytte!$A$2:$B$18,2,FALSE)*[1]Energiindhold!$C$10,0)*K174*IFERROR(VLOOKUP(A174,Biogasanlæg!$F$3:$G$8,2,FALSE),1)+IFERROR(VLOOKUP(A174,[1]Energiindhold!$A$2:$C$11,3,FALSE),0)*M174+IF(E174&lt;&gt;År1,R174,0),0)</f>
        <v>5.4392282872700405E-2</v>
      </c>
      <c r="T174">
        <f>IFERROR(VLOOKUP(A174,[1]Biogasudbytte!$A$2:$B$18,2,FALSE)*[1]Energiindhold!$C$10,0)*K174*IFERROR(VLOOKUP(A174,Biogasanlæg!$F$3:$G$8,2,FALSE),1)</f>
        <v>5.4392282872700405E-2</v>
      </c>
      <c r="U174" s="170">
        <f t="shared" si="55"/>
        <v>0</v>
      </c>
      <c r="V174" s="169">
        <f>P174*IFERROR(VLOOKUP(A174,[1]Tørstofindhold!A$2:B$24,2,FALSE),0)</f>
        <v>0</v>
      </c>
      <c r="W174">
        <f>IF(E174=År1,Q174,SUM(P174,Q174))*IFERROR(VLOOKUP(A174,[1]Tørstofindhold!A$2:B$24,2,FALSE),0)</f>
        <v>4545.316117495855</v>
      </c>
      <c r="X174">
        <f>K174*IFERROR(VLOOKUP(A174,[1]Tørstofindhold!A$2:B$24,2,FALSE),0)</f>
        <v>4545.316117495855</v>
      </c>
      <c r="Y174" s="170">
        <f t="shared" si="56"/>
        <v>0</v>
      </c>
      <c r="Z174">
        <f t="shared" si="47"/>
        <v>0</v>
      </c>
      <c r="AA174">
        <f t="shared" si="48"/>
        <v>1</v>
      </c>
      <c r="AB174" s="94">
        <f t="shared" si="49"/>
        <v>-344258.58126598754</v>
      </c>
      <c r="AC174">
        <f>AB174*D174*10000*VLOOKUP(A174,[1]kcal!$A$2:$C$49,3,FALSE)/1000000000000</f>
        <v>-0.31327530895204864</v>
      </c>
    </row>
    <row r="175" spans="1:29" x14ac:dyDescent="0.25">
      <c r="A175" s="171" t="s">
        <v>116</v>
      </c>
      <c r="B175" s="171"/>
      <c r="C175" s="171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0</v>
      </c>
      <c r="D175" s="171">
        <f t="shared" si="39"/>
        <v>1</v>
      </c>
      <c r="E175" s="171">
        <f t="shared" si="52"/>
        <v>2019</v>
      </c>
      <c r="F175" t="s">
        <v>24</v>
      </c>
      <c r="G175" s="94">
        <f>IF(F175="Vestdanmark",SUMIFS(IF(E175=År1,'Resultater - Vestdanmark'!H$3:H$504,IF(E175=År2,'Resultater - Vestdanmark'!I$3:I$504,'Resultater - Vestdanmark'!J$3:J$504)),'Resultater - Vestdanmark'!$F$3:$F$504,$A175,IF(E175=År1,'Resultater - Vestdanmark'!H$3:H$504,IF(E175=År2,'Resultater - Vestdanmark'!I$3:I$504,'Resultater - Vestdanmark'!J$3:J$504)),"&gt;0"),SUMIFS(IF(E175=År1,'Resultater - Østdanmark'!H$3:H$504,IF(E175=År2,'Resultater - Østdanmark'!I$3:I$504,'Resultater - Østdanmark'!J$3:J$504)),'Resultater - Østdanmark'!$F$3:$F$504,$A175,IF(E175=År1,'Resultater - Østdanmark'!H$3:H$504,IF(E175=År2,'Resultater - Østdanmark'!I$3:I$504,'Resultater - Østdanmark'!J$3:J$504)),"&gt;0"))</f>
        <v>222833.98833453824</v>
      </c>
      <c r="H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forbrug'!H$3,'Forbrug af biomasse'!$B$2:$B$425,$F175)</f>
        <v>0</v>
      </c>
      <c r="I175">
        <f>IF(F175="Vestdanmark",-IF(A175="Halm",SUMIFS(IF(E175=År1,'Resultater - Vestdanmark'!H$3:H$504,IF(E175=År2,'Resultater - Vestdanmark'!I$3:I$504,'Resultater - Vestdanmark'!J$3:J$504)),'Resultater - Vestdanmark'!$F$3:$F$504,$A175,'Resultater - Vestdanmark'!H$3:H$504,"&lt;0"),0),-IF(A175="Halm",SUMIFS(IF(E175=År1,'Resultater - Østdanmark'!H$3:H$504,IF(E175=År2,'Resultater - Østdanmark'!I$3:I$504,'Resultater - Østdanmark'!J$3:J$504)),'Resultater - Østdanmark'!$F$3:$F$504,$A175,'Resultater - Østdanmark'!H$3:H$504,"&lt;0"),0))</f>
        <v>0</v>
      </c>
      <c r="J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forbrug'!J$3,'Forbrug af biomasse'!$B$2:$B$425,$F175)</f>
        <v>389767.86287629709</v>
      </c>
      <c r="K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forbrug'!K$3,'Forbrug af biomasse'!$B$2:$B$425,$F175)</f>
        <v>0</v>
      </c>
      <c r="L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forbrug'!L$3,'Forbrug af biomasse'!$B$2:$B$425,$F175)</f>
        <v>0</v>
      </c>
      <c r="M175" s="94">
        <f>IF(A175&lt;&gt;"Biogas",SUMIFS('Forbrug af biomasse'!$E$2:$E$425,'Forbrug af biomasse'!$C$2:$C$425,'Resultat-Produktion &amp; forbrug'!$A175,'Forbrug af biomasse'!$D$2:$D$425,'Resultat-Produktion &amp; forbrug'!$E175,'Forbrug af biomasse'!$A$2:$A$425,'Resultat-Produktion &amp; forbrug'!M$3,'Forbrug af biomasse'!$B$2:$B$425,$F175),G175)</f>
        <v>0</v>
      </c>
      <c r="N175" s="94">
        <f>SUMIFS('Forbrug af biomasse'!E:E,'Forbrug af biomasse'!C:C,'Resultat-Produktion &amp; forbrug'!$A175,'Forbrug af biomasse'!D:D,'Resultat-Produktion &amp; forbrug'!$E175,'Forbrug af biomasse'!G:G,1,'Forbrug af biomasse'!B:B,$F175)</f>
        <v>0</v>
      </c>
      <c r="O175" s="179">
        <f t="shared" si="53"/>
        <v>-166933.87454175885</v>
      </c>
      <c r="P175" s="94">
        <f t="shared" si="43"/>
        <v>0</v>
      </c>
      <c r="Q175" s="180">
        <f t="shared" si="54"/>
        <v>0</v>
      </c>
      <c r="R175">
        <f>IFERROR(VLOOKUP(A175,[1]Energiindhold!$A$2:$C$11,3,FALSE),IFERROR(VLOOKUP(A175,[1]Biogasudbytte!$A$2:$B$18,2,FALSE)*[1]Energiindhold!$C$10,0))*P175</f>
        <v>0</v>
      </c>
      <c r="S175">
        <f>IF(A175&lt;&gt;"Biogas",IFERROR(VLOOKUP(A175,[1]Biogasudbytte!$A$2:$B$18,2,FALSE)*[1]Energiindhold!$C$10,0)*K175*IFERROR(VLOOKUP(A175,Biogasanlæg!$F$3:$G$8,2,FALSE),1)+IFERROR(VLOOKUP(A175,[1]Energiindhold!$A$2:$C$11,3,FALSE),0)*M175+IF(E175&lt;&gt;År1,R175,0),0)</f>
        <v>0</v>
      </c>
      <c r="T175">
        <f>IFERROR(VLOOKUP(A175,[1]Biogasudbytte!$A$2:$B$18,2,FALSE)*[1]Energiindhold!$C$10,0)*K175*IFERROR(VLOOKUP(A175,Biogasanlæg!$F$3:$G$8,2,FALSE),1)</f>
        <v>0</v>
      </c>
      <c r="U175" s="170">
        <f t="shared" si="55"/>
        <v>0</v>
      </c>
      <c r="V175" s="169">
        <f>P175*IFERROR(VLOOKUP(A175,[1]Tørstofindhold!A$2:B$24,2,FALSE),0)</f>
        <v>0</v>
      </c>
      <c r="W175">
        <f>IF(E175=År1,Q175,SUM(P175,Q175))*IFERROR(VLOOKUP(A175,[1]Tørstofindhold!A$2:B$24,2,FALSE),0)</f>
        <v>0</v>
      </c>
      <c r="X175">
        <f>K175*IFERROR(VLOOKUP(A175,[1]Tørstofindhold!A$2:B$24,2,FALSE),0)</f>
        <v>0</v>
      </c>
      <c r="Y175" s="170">
        <f t="shared" si="56"/>
        <v>0</v>
      </c>
      <c r="Z175">
        <f t="shared" si="47"/>
        <v>0</v>
      </c>
      <c r="AA175">
        <f t="shared" si="48"/>
        <v>1</v>
      </c>
      <c r="AB175" s="94">
        <f t="shared" si="49"/>
        <v>222833.98833453824</v>
      </c>
      <c r="AC175">
        <f>AB175*D175*10000*VLOOKUP(A175,[1]kcal!$A$2:$C$49,3,FALSE)/1000000000000</f>
        <v>0.1403854126507591</v>
      </c>
    </row>
    <row r="176" spans="1:29" x14ac:dyDescent="0.25">
      <c r="A176" s="171" t="s">
        <v>106</v>
      </c>
      <c r="B176" s="171" t="s">
        <v>226</v>
      </c>
      <c r="C176" s="171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1</v>
      </c>
      <c r="D176" s="171">
        <f t="shared" si="39"/>
        <v>1</v>
      </c>
      <c r="E176" s="171">
        <f t="shared" si="52"/>
        <v>2019</v>
      </c>
      <c r="F176" t="s">
        <v>24</v>
      </c>
      <c r="G176" s="94">
        <f>IF(F176="Vestdanmark",SUMIFS(IF(E176=År1,'Resultater - Vestdanmark'!H$3:H$504,IF(E176=År2,'Resultater - Vestdanmark'!I$3:I$504,'Resultater - Vestdanmark'!J$3:J$504)),'Resultater - Vestdanmark'!$F$3:$F$504,$A176,IF(E176=År1,'Resultater - Vestdanmark'!H$3:H$504,IF(E176=År2,'Resultater - Vestdanmark'!I$3:I$504,'Resultater - Vestdanmark'!J$3:J$504)),"&gt;0"),SUMIFS(IF(E176=År1,'Resultater - Østdanmark'!H$3:H$504,IF(E176=År2,'Resultater - Østdanmark'!I$3:I$504,'Resultater - Østdanmark'!J$3:J$504)),'Resultater - Østdanmark'!$F$3:$F$504,$A176,IF(E176=År1,'Resultater - Østdanmark'!H$3:H$504,IF(E176=År2,'Resultater - Østdanmark'!I$3:I$504,'Resultater - Østdanmark'!J$3:J$504)),"&gt;0"))</f>
        <v>1.1976865502381491</v>
      </c>
      <c r="H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forbrug'!H$3,'Forbrug af biomasse'!$B$2:$B$425,$F176)</f>
        <v>0</v>
      </c>
      <c r="I176">
        <f>IF(F176="Vestdanmark",-IF(A176="Halm",SUMIFS(IF(E176=År1,'Resultater - Vestdanmark'!H$3:H$504,IF(E176=År2,'Resultater - Vestdanmark'!I$3:I$504,'Resultater - Vestdanmark'!J$3:J$504)),'Resultater - Vestdanmark'!$F$3:$F$504,$A176,'Resultater - Vestdanmark'!H$3:H$504,"&lt;0"),0),-IF(A176="Halm",SUMIFS(IF(E176=År1,'Resultater - Østdanmark'!H$3:H$504,IF(E176=År2,'Resultater - Østdanmark'!I$3:I$504,'Resultater - Østdanmark'!J$3:J$504)),'Resultater - Østdanmark'!$F$3:$F$504,$A176,'Resultater - Østdanmark'!H$3:H$504,"&lt;0"),0))</f>
        <v>0</v>
      </c>
      <c r="J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forbrug'!J$3,'Forbrug af biomasse'!$B$2:$B$425,$F176)</f>
        <v>0</v>
      </c>
      <c r="K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forbrug'!K$3,'Forbrug af biomasse'!$B$2:$B$425,$F176)</f>
        <v>0</v>
      </c>
      <c r="L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forbrug'!L$3,'Forbrug af biomasse'!$B$2:$B$425,$F176)</f>
        <v>0</v>
      </c>
      <c r="M176" s="94">
        <f>IF(A176&lt;&gt;"Biogas",SUMIFS('Forbrug af biomasse'!$E$2:$E$425,'Forbrug af biomasse'!$C$2:$C$425,'Resultat-Produktion &amp; forbrug'!$A176,'Forbrug af biomasse'!$D$2:$D$425,'Resultat-Produktion &amp; forbrug'!$E176,'Forbrug af biomasse'!$A$2:$A$425,'Resultat-Produktion &amp; forbrug'!M$3,'Forbrug af biomasse'!$B$2:$B$425,$F176),G176)</f>
        <v>0</v>
      </c>
      <c r="N176" s="94">
        <f>SUMIFS('Forbrug af biomasse'!E:E,'Forbrug af biomasse'!C:C,'Resultat-Produktion &amp; forbrug'!$A176,'Forbrug af biomasse'!D:D,'Resultat-Produktion &amp; forbrug'!$E176,'Forbrug af biomasse'!G:G,1,'Forbrug af biomasse'!B:B,$F176)</f>
        <v>0</v>
      </c>
      <c r="O176" s="179">
        <f t="shared" si="53"/>
        <v>1.1976865502381491</v>
      </c>
      <c r="P176" s="94">
        <f t="shared" si="43"/>
        <v>1.1976865502381491</v>
      </c>
      <c r="Q176" s="180">
        <f t="shared" si="54"/>
        <v>0</v>
      </c>
      <c r="R176">
        <f>IFERROR(VLOOKUP(A176,[1]Energiindhold!$A$2:$C$11,3,FALSE),IFERROR(VLOOKUP(A176,[1]Biogasudbytte!$A$2:$B$18,2,FALSE)*[1]Energiindhold!$C$10,0))*P176</f>
        <v>1.0749236788387388E-6</v>
      </c>
      <c r="S176">
        <f>IF(A176&lt;&gt;"Biogas",IFERROR(VLOOKUP(A176,[1]Biogasudbytte!$A$2:$B$18,2,FALSE)*[1]Energiindhold!$C$10,0)*K176*IFERROR(VLOOKUP(A176,Biogasanlæg!$F$3:$G$8,2,FALSE),1)+IFERROR(VLOOKUP(A176,[1]Energiindhold!$A$2:$C$11,3,FALSE),0)*M176+IF(E176&lt;&gt;År1,R176,0),0)</f>
        <v>0</v>
      </c>
      <c r="T176">
        <f>IFERROR(VLOOKUP(A176,[1]Biogasudbytte!$A$2:$B$18,2,FALSE)*[1]Energiindhold!$C$10,0)*K176*IFERROR(VLOOKUP(A176,Biogasanlæg!$F$3:$G$8,2,FALSE),1)</f>
        <v>0</v>
      </c>
      <c r="U176" s="170">
        <f t="shared" si="55"/>
        <v>0</v>
      </c>
      <c r="V176" s="169">
        <f>P176*IFERROR(VLOOKUP(A176,[1]Tørstofindhold!A$2:B$24,2,FALSE),0)</f>
        <v>0.17965298253572234</v>
      </c>
      <c r="W176">
        <f>IF(E176=År1,Q176,SUM(P176,Q176))*IFERROR(VLOOKUP(A176,[1]Tørstofindhold!A$2:B$24,2,FALSE),0)</f>
        <v>0</v>
      </c>
      <c r="X176">
        <f>K176*IFERROR(VLOOKUP(A176,[1]Tørstofindhold!A$2:B$24,2,FALSE),0)</f>
        <v>0</v>
      </c>
      <c r="Y176" s="170">
        <f t="shared" si="56"/>
        <v>0</v>
      </c>
      <c r="Z176">
        <f t="shared" si="47"/>
        <v>0</v>
      </c>
      <c r="AA176">
        <f t="shared" si="48"/>
        <v>1</v>
      </c>
      <c r="AB176" s="94">
        <f t="shared" si="49"/>
        <v>1.1976865502381491</v>
      </c>
      <c r="AC176">
        <f>AB176*D176*10000*VLOOKUP(A176,[1]kcal!$A$2:$C$49,3,FALSE)/1000000000000</f>
        <v>9.9407983669766362E-7</v>
      </c>
    </row>
    <row r="177" spans="1:29" x14ac:dyDescent="0.25">
      <c r="A177" s="171" t="s">
        <v>14</v>
      </c>
      <c r="B177" s="171"/>
      <c r="C177" s="171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71">
        <f t="shared" si="39"/>
        <v>1</v>
      </c>
      <c r="E177" s="171">
        <f t="shared" si="52"/>
        <v>2019</v>
      </c>
      <c r="F177" t="s">
        <v>24</v>
      </c>
      <c r="G177" s="94">
        <f>IF(F177="Vestdanmark",SUMIFS(IF(E177=År1,'Resultater - Vestdanmark'!H$3:H$504,IF(E177=År2,'Resultater - Vestdanmark'!I$3:I$504,'Resultater - Vestdanmark'!J$3:J$504)),'Resultater - Vestdanmark'!$F$3:$F$504,$A177,IF(E177=År1,'Resultater - Vestdanmark'!H$3:H$504,IF(E177=År2,'Resultater - Vestdanmark'!I$3:I$504,'Resultater - Vestdanmark'!J$3:J$504)),"&gt;0"),SUMIFS(IF(E177=År1,'Resultater - Østdanmark'!H$3:H$504,IF(E177=År2,'Resultater - Østdanmark'!I$3:I$504,'Resultater - Østdanmark'!J$3:J$504)),'Resultater - Østdanmark'!$F$3:$F$504,$A177,IF(E177=År1,'Resultater - Østdanmark'!H$3:H$504,IF(E177=År2,'Resultater - Østdanmark'!I$3:I$504,'Resultater - Østdanmark'!J$3:J$504)),"&gt;0"))</f>
        <v>7577.0634215631153</v>
      </c>
      <c r="H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forbrug'!H$3,'Forbrug af biomasse'!$B$2:$B$425,$F177)</f>
        <v>0</v>
      </c>
      <c r="I177">
        <f>IF(F177="Vestdanmark",-IF(A177="Halm",SUMIFS(IF(E177=År1,'Resultater - Vestdanmark'!H$3:H$504,IF(E177=År2,'Resultater - Vestdanmark'!I$3:I$504,'Resultater - Vestdanmark'!J$3:J$504)),'Resultater - Vestdanmark'!$F$3:$F$504,$A177,'Resultater - Vestdanmark'!H$3:H$504,"&lt;0"),0),-IF(A177="Halm",SUMIFS(IF(E177=År1,'Resultater - Østdanmark'!H$3:H$504,IF(E177=År2,'Resultater - Østdanmark'!I$3:I$504,'Resultater - Østdanmark'!J$3:J$504)),'Resultater - Østdanmark'!$F$3:$F$504,$A177,'Resultater - Østdanmark'!H$3:H$504,"&lt;0"),0))</f>
        <v>0</v>
      </c>
      <c r="J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forbrug'!J$3,'Forbrug af biomasse'!$B$2:$B$425,$F177)</f>
        <v>49527.399127557059</v>
      </c>
      <c r="K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forbrug'!K$3,'Forbrug af biomasse'!$B$2:$B$425,$F177)</f>
        <v>0</v>
      </c>
      <c r="L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forbrug'!L$3,'Forbrug af biomasse'!$B$2:$B$425,$F177)</f>
        <v>0</v>
      </c>
      <c r="M177" s="94">
        <f>IF(A177&lt;&gt;"Biogas",SUMIFS('Forbrug af biomasse'!$E$2:$E$425,'Forbrug af biomasse'!$C$2:$C$425,'Resultat-Produktion &amp; forbrug'!$A177,'Forbrug af biomasse'!$D$2:$D$425,'Resultat-Produktion &amp; forbrug'!$E177,'Forbrug af biomasse'!$A$2:$A$425,'Resultat-Produktion &amp; forbrug'!M$3,'Forbrug af biomasse'!$B$2:$B$425,$F177),G177)</f>
        <v>0</v>
      </c>
      <c r="N177" s="94">
        <f>SUMIFS('Forbrug af biomasse'!E:E,'Forbrug af biomasse'!C:C,'Resultat-Produktion &amp; forbrug'!$A177,'Forbrug af biomasse'!D:D,'Resultat-Produktion &amp; forbrug'!$E177,'Forbrug af biomasse'!G:G,1,'Forbrug af biomasse'!B:B,$F177)</f>
        <v>0</v>
      </c>
      <c r="O177" s="179">
        <f t="shared" si="53"/>
        <v>-41950.335705993944</v>
      </c>
      <c r="P177" s="94">
        <f t="shared" si="43"/>
        <v>0</v>
      </c>
      <c r="Q177" s="180">
        <f t="shared" si="54"/>
        <v>0</v>
      </c>
      <c r="R177">
        <f>IFERROR(VLOOKUP(A177,[1]Energiindhold!$A$2:$C$11,3,FALSE),IFERROR(VLOOKUP(A177,[1]Biogasudbytte!$A$2:$B$18,2,FALSE)*[1]Energiindhold!$C$10,0))*P177</f>
        <v>0</v>
      </c>
      <c r="S177">
        <f>IF(A177&lt;&gt;"Biogas",IFERROR(VLOOKUP(A177,[1]Biogasudbytte!$A$2:$B$18,2,FALSE)*[1]Energiindhold!$C$10,0)*K177*IFERROR(VLOOKUP(A177,Biogasanlæg!$F$3:$G$8,2,FALSE),1)+IFERROR(VLOOKUP(A177,[1]Energiindhold!$A$2:$C$11,3,FALSE),0)*M177+IF(E177&lt;&gt;År1,R177,0),0)</f>
        <v>0</v>
      </c>
      <c r="T177">
        <f>IFERROR(VLOOKUP(A177,[1]Biogasudbytte!$A$2:$B$18,2,FALSE)*[1]Energiindhold!$C$10,0)*K177*IFERROR(VLOOKUP(A177,Biogasanlæg!$F$3:$G$8,2,FALSE),1)</f>
        <v>0</v>
      </c>
      <c r="U177" s="170">
        <f t="shared" si="55"/>
        <v>0</v>
      </c>
      <c r="V177" s="169">
        <f>P177*IFERROR(VLOOKUP(A177,[1]Tørstofindhold!A$2:B$24,2,FALSE),0)</f>
        <v>0</v>
      </c>
      <c r="W177">
        <f>IF(E177=År1,Q177,SUM(P177,Q177))*IFERROR(VLOOKUP(A177,[1]Tørstofindhold!A$2:B$24,2,FALSE),0)</f>
        <v>0</v>
      </c>
      <c r="X177">
        <f>K177*IFERROR(VLOOKUP(A177,[1]Tørstofindhold!A$2:B$24,2,FALSE),0)</f>
        <v>0</v>
      </c>
      <c r="Y177" s="170">
        <f t="shared" si="56"/>
        <v>0</v>
      </c>
      <c r="Z177">
        <f t="shared" si="47"/>
        <v>0</v>
      </c>
      <c r="AA177">
        <f t="shared" si="48"/>
        <v>1</v>
      </c>
      <c r="AB177" s="94">
        <f t="shared" si="49"/>
        <v>7577.0634215631153</v>
      </c>
      <c r="AC177">
        <f>AB177*D177*10000*VLOOKUP(A177,[1]kcal!$A$2:$C$49,3,FALSE)/1000000000000</f>
        <v>1.4775273672048075E-2</v>
      </c>
    </row>
    <row r="178" spans="1:29" x14ac:dyDescent="0.25">
      <c r="A178" s="171" t="s">
        <v>55</v>
      </c>
      <c r="B178" s="171"/>
      <c r="C178" s="171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0</v>
      </c>
      <c r="D178" s="171">
        <f t="shared" si="39"/>
        <v>1</v>
      </c>
      <c r="E178" s="171">
        <f t="shared" si="52"/>
        <v>2019</v>
      </c>
      <c r="F178" t="s">
        <v>24</v>
      </c>
      <c r="G178" s="94">
        <f>IF(F178="Vestdanmark",SUMIFS(IF(E178=År1,'Resultater - Vestdanmark'!H$3:H$504,IF(E178=År2,'Resultater - Vestdanmark'!I$3:I$504,'Resultater - Vestdanmark'!J$3:J$504)),'Resultater - Vestdanmark'!$F$3:$F$504,$A178,IF(E178=År1,'Resultater - Vestdanmark'!H$3:H$504,IF(E178=År2,'Resultater - Vestdanmark'!I$3:I$504,'Resultater - Vestdanmark'!J$3:J$504)),"&gt;0"),SUMIFS(IF(E178=År1,'Resultater - Østdanmark'!H$3:H$504,IF(E178=År2,'Resultater - Østdanmark'!I$3:I$504,'Resultater - Østdanmark'!J$3:J$504)),'Resultater - Østdanmark'!$F$3:$F$504,$A178,IF(E178=År1,'Resultater - Østdanmark'!H$3:H$504,IF(E178=År2,'Resultater - Østdanmark'!I$3:I$504,'Resultater - Østdanmark'!J$3:J$504)),"&gt;0"))</f>
        <v>395448.91426064254</v>
      </c>
      <c r="H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forbrug'!H$3,'Forbrug af biomasse'!$B$2:$B$425,$F178)</f>
        <v>0</v>
      </c>
      <c r="I178">
        <f>IF(F178="Vestdanmark",-IF(A178="Halm",SUMIFS(IF(E178=År1,'Resultater - Vestdanmark'!H$3:H$504,IF(E178=År2,'Resultater - Vestdanmark'!I$3:I$504,'Resultater - Vestdanmark'!J$3:J$504)),'Resultater - Vestdanmark'!$F$3:$F$504,$A178,'Resultater - Vestdanmark'!H$3:H$504,"&lt;0"),0),-IF(A178="Halm",SUMIFS(IF(E178=År1,'Resultater - Østdanmark'!H$3:H$504,IF(E178=År2,'Resultater - Østdanmark'!I$3:I$504,'Resultater - Østdanmark'!J$3:J$504)),'Resultater - Østdanmark'!$F$3:$F$504,$A178,'Resultater - Østdanmark'!H$3:H$504,"&lt;0"),0))</f>
        <v>0</v>
      </c>
      <c r="J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forbrug'!J$3,'Forbrug af biomasse'!$B$2:$B$425,$F178)</f>
        <v>0</v>
      </c>
      <c r="K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forbrug'!K$3,'Forbrug af biomasse'!$B$2:$B$425,$F178)</f>
        <v>0</v>
      </c>
      <c r="L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forbrug'!L$3,'Forbrug af biomasse'!$B$2:$B$425,$F178)</f>
        <v>0</v>
      </c>
      <c r="M178" s="94">
        <f>IF(A178&lt;&gt;"Biogas",SUMIFS('Forbrug af biomasse'!$E$2:$E$425,'Forbrug af biomasse'!$C$2:$C$425,'Resultat-Produktion &amp; forbrug'!$A178,'Forbrug af biomasse'!$D$2:$D$425,'Resultat-Produktion &amp; forbrug'!$E178,'Forbrug af biomasse'!$A$2:$A$425,'Resultat-Produktion &amp; forbrug'!M$3,'Forbrug af biomasse'!$B$2:$B$425,$F178),G178)</f>
        <v>0</v>
      </c>
      <c r="N178" s="94">
        <f>SUMIFS('Forbrug af biomasse'!E:E,'Forbrug af biomasse'!C:C,'Resultat-Produktion &amp; forbrug'!$A178,'Forbrug af biomasse'!D:D,'Resultat-Produktion &amp; forbrug'!$E178,'Forbrug af biomasse'!G:G,1,'Forbrug af biomasse'!B:B,$F178)</f>
        <v>0</v>
      </c>
      <c r="O178" s="179">
        <f t="shared" si="53"/>
        <v>395448.91426064254</v>
      </c>
      <c r="P178" s="94">
        <f t="shared" si="43"/>
        <v>0</v>
      </c>
      <c r="Q178" s="180">
        <f t="shared" si="54"/>
        <v>0</v>
      </c>
      <c r="R178">
        <f>IFERROR(VLOOKUP(A178,[1]Energiindhold!$A$2:$C$11,3,FALSE),IFERROR(VLOOKUP(A178,[1]Biogasudbytte!$A$2:$B$18,2,FALSE)*[1]Energiindhold!$C$10,0))*P178</f>
        <v>0</v>
      </c>
      <c r="S178">
        <f>IF(A178&lt;&gt;"Biogas",IFERROR(VLOOKUP(A178,[1]Biogasudbytte!$A$2:$B$18,2,FALSE)*[1]Energiindhold!$C$10,0)*K178*IFERROR(VLOOKUP(A178,Biogasanlæg!$F$3:$G$8,2,FALSE),1)+IFERROR(VLOOKUP(A178,[1]Energiindhold!$A$2:$C$11,3,FALSE),0)*M178+IF(E178&lt;&gt;År1,R178,0),0)</f>
        <v>0</v>
      </c>
      <c r="T178">
        <f>IFERROR(VLOOKUP(A178,[1]Biogasudbytte!$A$2:$B$18,2,FALSE)*[1]Energiindhold!$C$10,0)*K178*IFERROR(VLOOKUP(A178,Biogasanlæg!$F$3:$G$8,2,FALSE),1)</f>
        <v>0</v>
      </c>
      <c r="U178" s="170">
        <f t="shared" si="55"/>
        <v>0</v>
      </c>
      <c r="V178" s="169">
        <f>P178*IFERROR(VLOOKUP(A178,[1]Tørstofindhold!A$2:B$24,2,FALSE),0)</f>
        <v>0</v>
      </c>
      <c r="W178">
        <f>IF(E178=År1,Q178,SUM(P178,Q178))*IFERROR(VLOOKUP(A178,[1]Tørstofindhold!A$2:B$24,2,FALSE),0)</f>
        <v>0</v>
      </c>
      <c r="X178">
        <f>K178*IFERROR(VLOOKUP(A178,[1]Tørstofindhold!A$2:B$24,2,FALSE),0)</f>
        <v>0</v>
      </c>
      <c r="Y178" s="170">
        <f t="shared" si="56"/>
        <v>0</v>
      </c>
      <c r="Z178">
        <f t="shared" si="47"/>
        <v>0</v>
      </c>
      <c r="AA178">
        <f t="shared" si="48"/>
        <v>1</v>
      </c>
      <c r="AB178" s="94">
        <f t="shared" si="49"/>
        <v>395448.91426064254</v>
      </c>
      <c r="AC178">
        <f>AB178*D178*10000*VLOOKUP(A178,[1]kcal!$A$2:$C$49,3,FALSE)/1000000000000</f>
        <v>0.15422507656165058</v>
      </c>
    </row>
    <row r="179" spans="1:29" x14ac:dyDescent="0.25">
      <c r="A179" s="171" t="s">
        <v>95</v>
      </c>
      <c r="B179" s="171" t="s">
        <v>225</v>
      </c>
      <c r="C179" s="171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71">
        <f t="shared" si="39"/>
        <v>0</v>
      </c>
      <c r="E179" s="171">
        <f t="shared" si="52"/>
        <v>2019</v>
      </c>
      <c r="F179" t="s">
        <v>24</v>
      </c>
      <c r="G179" s="94">
        <f>IF(F179="Vestdanmark",SUMIFS(IF(E179=År1,'Resultater - Vestdanmark'!H$3:H$504,IF(E179=År2,'Resultater - Vestdanmark'!I$3:I$504,'Resultater - Vestdanmark'!J$3:J$504)),'Resultater - Vestdanmark'!$F$3:$F$504,$A179,IF(E179=År1,'Resultater - Vestdanmark'!H$3:H$504,IF(E179=År2,'Resultater - Vestdanmark'!I$3:I$504,'Resultater - Vestdanmark'!J$3:J$504)),"&gt;0"),SUMIFS(IF(E179=År1,'Resultater - Østdanmark'!H$3:H$504,IF(E179=År2,'Resultater - Østdanmark'!I$3:I$504,'Resultater - Østdanmark'!J$3:J$504)),'Resultater - Østdanmark'!$F$3:$F$504,$A179,IF(E179=År1,'Resultater - Østdanmark'!H$3:H$504,IF(E179=År2,'Resultater - Østdanmark'!I$3:I$504,'Resultater - Østdanmark'!J$3:J$504)),"&gt;0"))</f>
        <v>38860.356190289756</v>
      </c>
      <c r="H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forbrug'!H$3,'Forbrug af biomasse'!$B$2:$B$425,$F179)</f>
        <v>0</v>
      </c>
      <c r="I179">
        <f>IF(F179="Vestdanmark",-IF(A179="Halm",SUMIFS(IF(E179=År1,'Resultater - Vestdanmark'!H$3:H$504,IF(E179=År2,'Resultater - Vestdanmark'!I$3:I$504,'Resultater - Vestdanmark'!J$3:J$504)),'Resultater - Vestdanmark'!$F$3:$F$504,$A179,'Resultater - Vestdanmark'!H$3:H$504,"&lt;0"),0),-IF(A179="Halm",SUMIFS(IF(E179=År1,'Resultater - Østdanmark'!H$3:H$504,IF(E179=År2,'Resultater - Østdanmark'!I$3:I$504,'Resultater - Østdanmark'!J$3:J$504)),'Resultater - Østdanmark'!$F$3:$F$504,$A179,'Resultater - Østdanmark'!H$3:H$504,"&lt;0"),0))</f>
        <v>0</v>
      </c>
      <c r="J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forbrug'!J$3,'Forbrug af biomasse'!$B$2:$B$425,$F179)</f>
        <v>0</v>
      </c>
      <c r="K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forbrug'!K$3,'Forbrug af biomasse'!$B$2:$B$425,$F179)</f>
        <v>0</v>
      </c>
      <c r="L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forbrug'!L$3,'Forbrug af biomasse'!$B$2:$B$425,$F179)</f>
        <v>0</v>
      </c>
      <c r="M179" s="94">
        <f>IF(A179&lt;&gt;"Biogas",SUMIFS('Forbrug af biomasse'!$E$2:$E$425,'Forbrug af biomasse'!$C$2:$C$425,'Resultat-Produktion &amp; forbrug'!$A179,'Forbrug af biomasse'!$D$2:$D$425,'Resultat-Produktion &amp; forbrug'!$E179,'Forbrug af biomasse'!$A$2:$A$425,'Resultat-Produktion &amp; forbrug'!M$3,'Forbrug af biomasse'!$B$2:$B$425,$F179),G179)</f>
        <v>38860.356190289756</v>
      </c>
      <c r="N179" s="94">
        <f>SUMIFS('Forbrug af biomasse'!E:E,'Forbrug af biomasse'!C:C,'Resultat-Produktion &amp; forbrug'!$A179,'Forbrug af biomasse'!D:D,'Resultat-Produktion &amp; forbrug'!$E179,'Forbrug af biomasse'!G:G,1,'Forbrug af biomasse'!B:B,$F179)</f>
        <v>0</v>
      </c>
      <c r="O179" s="179">
        <f t="shared" si="53"/>
        <v>0</v>
      </c>
      <c r="P179" s="94">
        <f t="shared" si="43"/>
        <v>0</v>
      </c>
      <c r="Q179" s="180">
        <f t="shared" si="54"/>
        <v>38860.356190289756</v>
      </c>
      <c r="R179">
        <f>IFERROR(VLOOKUP(A179,[1]Energiindhold!$A$2:$C$11,3,FALSE),IFERROR(VLOOKUP(A179,[1]Biogasudbytte!$A$2:$B$18,2,FALSE)*[1]Energiindhold!$C$10,0))*P179</f>
        <v>0</v>
      </c>
      <c r="S179">
        <f>IF(A179&lt;&gt;"Biogas",IFERROR(VLOOKUP(A179,[1]Biogasudbytte!$A$2:$B$18,2,FALSE)*[1]Energiindhold!$C$10,0)*K179*IFERROR(VLOOKUP(A179,Biogasanlæg!$F$3:$G$8,2,FALSE),1)+IFERROR(VLOOKUP(A179,[1]Energiindhold!$A$2:$C$11,3,FALSE),0)*M179+IF(E179&lt;&gt;År1,R179,0),0)</f>
        <v>0.71503055390133141</v>
      </c>
      <c r="T179">
        <f>IFERROR(VLOOKUP(A179,[1]Biogasudbytte!$A$2:$B$18,2,FALSE)*[1]Energiindhold!$C$10,0)*K179*IFERROR(VLOOKUP(A179,Biogasanlæg!$F$3:$G$8,2,FALSE),1)</f>
        <v>0</v>
      </c>
      <c r="U179" s="170">
        <f t="shared" si="55"/>
        <v>0.71503055390133141</v>
      </c>
      <c r="V179" s="169">
        <f>P179*IFERROR(VLOOKUP(A179,[1]Tørstofindhold!A$2:B$24,2,FALSE),0)</f>
        <v>0</v>
      </c>
      <c r="W179">
        <f>IF(E179=År1,Q179,SUM(P179,Q179))*IFERROR(VLOOKUP(A179,[1]Tørstofindhold!A$2:B$24,2,FALSE),0)</f>
        <v>16127.04781897025</v>
      </c>
      <c r="X179">
        <f>K179*IFERROR(VLOOKUP(A179,[1]Tørstofindhold!A$2:B$24,2,FALSE),0)</f>
        <v>0</v>
      </c>
      <c r="Y179" s="170">
        <f t="shared" si="56"/>
        <v>16127.04781897025</v>
      </c>
      <c r="Z179">
        <f t="shared" si="47"/>
        <v>0</v>
      </c>
      <c r="AA179">
        <f t="shared" si="48"/>
        <v>0</v>
      </c>
      <c r="AB179" s="94">
        <f t="shared" si="49"/>
        <v>38860.356190289756</v>
      </c>
      <c r="AC179">
        <f>AB179*D179*10000*VLOOKUP(A179,[1]kcal!$A$2:$C$49,3,FALSE)/1000000000000</f>
        <v>0</v>
      </c>
    </row>
    <row r="180" spans="1:29" x14ac:dyDescent="0.25">
      <c r="A180" s="171" t="s">
        <v>306</v>
      </c>
      <c r="B180" s="171" t="s">
        <v>312</v>
      </c>
      <c r="C180" s="171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71">
        <f t="shared" si="39"/>
        <v>0</v>
      </c>
      <c r="E180" s="171">
        <f t="shared" si="52"/>
        <v>2019</v>
      </c>
      <c r="F180" t="s">
        <v>24</v>
      </c>
      <c r="G180" s="94">
        <f>IF(F180="Vestdanmark",SUMIFS(IF(E180=År1,'Resultater - Vestdanmark'!H$3:H$504,IF(E180=År2,'Resultater - Vestdanmark'!I$3:I$504,'Resultater - Vestdanmark'!J$3:J$504)),'Resultater - Vestdanmark'!$F$3:$F$504,$A180,IF(E180=År1,'Resultater - Vestdanmark'!H$3:H$504,IF(E180=År2,'Resultater - Vestdanmark'!I$3:I$504,'Resultater - Vestdanmark'!J$3:J$504)),"&gt;0"),SUMIFS(IF(E180=År1,'Resultater - Østdanmark'!H$3:H$504,IF(E180=År2,'Resultater - Østdanmark'!I$3:I$504,'Resultater - Østdanmark'!J$3:J$504)),'Resultater - Østdanmark'!$F$3:$F$504,$A180,IF(E180=År1,'Resultater - Østdanmark'!H$3:H$504,IF(E180=År2,'Resultater - Østdanmark'!I$3:I$504,'Resultater - Østdanmark'!J$3:J$504)),"&gt;0"))</f>
        <v>0</v>
      </c>
      <c r="H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forbrug'!H$3,'Forbrug af biomasse'!$B$2:$B$425,$F180)</f>
        <v>0</v>
      </c>
      <c r="I180">
        <f>IF(F180="Vestdanmark",-IF(A180="Halm",SUMIFS(IF(E180=År1,'Resultater - Vestdanmark'!H$3:H$504,IF(E180=År2,'Resultater - Vestdanmark'!I$3:I$504,'Resultater - Vestdanmark'!J$3:J$504)),'Resultater - Vestdanmark'!$F$3:$F$504,$A180,'Resultater - Vestdanmark'!H$3:H$504,"&lt;0"),0),-IF(A180="Halm",SUMIFS(IF(E180=År1,'Resultater - Østdanmark'!H$3:H$504,IF(E180=År2,'Resultater - Østdanmark'!I$3:I$504,'Resultater - Østdanmark'!J$3:J$504)),'Resultater - Østdanmark'!$F$3:$F$504,$A180,'Resultater - Østdanmark'!H$3:H$504,"&lt;0"),0))</f>
        <v>0</v>
      </c>
      <c r="J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forbrug'!J$3,'Forbrug af biomasse'!$B$2:$B$425,$F180)</f>
        <v>0</v>
      </c>
      <c r="K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forbrug'!K$3,'Forbrug af biomasse'!$B$2:$B$425,$F180)</f>
        <v>0</v>
      </c>
      <c r="L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forbrug'!L$3,'Forbrug af biomasse'!$B$2:$B$425,$F180)</f>
        <v>0</v>
      </c>
      <c r="M180" s="94">
        <f>IF(A180&lt;&gt;"Biogas",SUMIFS('Forbrug af biomasse'!$E$2:$E$425,'Forbrug af biomasse'!$C$2:$C$425,'Resultat-Produktion &amp; forbrug'!$A180,'Forbrug af biomasse'!$D$2:$D$425,'Resultat-Produktion &amp; forbrug'!$E180,'Forbrug af biomasse'!$A$2:$A$425,'Resultat-Produktion &amp; forbrug'!M$3,'Forbrug af biomasse'!$B$2:$B$425,$F180),G180)</f>
        <v>0</v>
      </c>
      <c r="N180" s="94">
        <f>SUMIFS('Forbrug af biomasse'!E:E,'Forbrug af biomasse'!C:C,'Resultat-Produktion &amp; forbrug'!$A180,'Forbrug af biomasse'!D:D,'Resultat-Produktion &amp; forbrug'!$E180,'Forbrug af biomasse'!G:G,1,'Forbrug af biomasse'!B:B,$F180)</f>
        <v>0</v>
      </c>
      <c r="O180" s="179">
        <f t="shared" ref="O180:O181" si="57">G180-SUM(H180:N180)</f>
        <v>0</v>
      </c>
      <c r="P180" s="94">
        <f t="shared" si="43"/>
        <v>0</v>
      </c>
      <c r="Q180" s="180">
        <f t="shared" ref="Q180:Q181" si="58">SUM(K180,M180)</f>
        <v>0</v>
      </c>
      <c r="R180">
        <f>IFERROR(VLOOKUP(A180,[1]Energiindhold!$A$2:$C$11,3,FALSE),IFERROR(VLOOKUP(A180,[1]Biogasudbytte!$A$2:$B$18,2,FALSE)*[1]Energiindhold!$C$10,0))*P180</f>
        <v>0</v>
      </c>
      <c r="S180">
        <f>IF(A180&lt;&gt;"Biogas",IFERROR(VLOOKUP(A180,[1]Biogasudbytte!$A$2:$B$18,2,FALSE)*[1]Energiindhold!$C$10,0)*K180*IFERROR(VLOOKUP(A180,Biogasanlæg!$F$3:$G$8,2,FALSE),1)+IFERROR(VLOOKUP(A180,[1]Energiindhold!$A$2:$C$11,3,FALSE),0)*M180+IF(E180&lt;&gt;År1,R180,0),0)</f>
        <v>0</v>
      </c>
      <c r="T180">
        <f>IFERROR(VLOOKUP(A180,[1]Biogasudbytte!$A$2:$B$18,2,FALSE)*[1]Energiindhold!$C$10,0)*K180*IFERROR(VLOOKUP(A180,Biogasanlæg!$F$3:$G$8,2,FALSE),1)</f>
        <v>0</v>
      </c>
      <c r="U180" s="170">
        <f t="shared" ref="U180:U181" si="59">S180-T180</f>
        <v>0</v>
      </c>
      <c r="V180" s="169">
        <f>P180*IFERROR(VLOOKUP(A180,[1]Tørstofindhold!A$2:B$24,2,FALSE),0)</f>
        <v>0</v>
      </c>
      <c r="W180">
        <f>IF(E180=År1,Q180,SUM(P180,Q180))*IFERROR(VLOOKUP(A180,[1]Tørstofindhold!A$2:B$24,2,FALSE),0)</f>
        <v>0</v>
      </c>
      <c r="X180">
        <f>K180*IFERROR(VLOOKUP(A180,[1]Tørstofindhold!A$2:B$24,2,FALSE),0)</f>
        <v>0</v>
      </c>
      <c r="Y180" s="170">
        <f t="shared" ref="Y180:Y181" si="60">W180-X180</f>
        <v>0</v>
      </c>
      <c r="Z180">
        <f t="shared" si="47"/>
        <v>0</v>
      </c>
      <c r="AA180">
        <f t="shared" si="48"/>
        <v>0</v>
      </c>
      <c r="AB180" s="94">
        <f t="shared" si="49"/>
        <v>0</v>
      </c>
      <c r="AC180">
        <f>AB180*D180*10000*VLOOKUP(A180,[1]kcal!$A$2:$C$49,3,FALSE)/1000000000000</f>
        <v>0</v>
      </c>
    </row>
    <row r="181" spans="1:29" x14ac:dyDescent="0.25">
      <c r="A181" s="171" t="s">
        <v>307</v>
      </c>
      <c r="B181" s="171" t="s">
        <v>312</v>
      </c>
      <c r="C181" s="171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1</v>
      </c>
      <c r="D181" s="171">
        <f t="shared" ref="D181:D244" si="61">D133</f>
        <v>0</v>
      </c>
      <c r="E181" s="171">
        <f t="shared" si="52"/>
        <v>2019</v>
      </c>
      <c r="F181" t="s">
        <v>24</v>
      </c>
      <c r="G181" s="94">
        <f>IF(F181="Vestdanmark",SUMIFS(IF(E181=År1,'Resultater - Vestdanmark'!H$3:H$504,IF(E181=År2,'Resultater - Vestdanmark'!I$3:I$504,'Resultater - Vestdanmark'!J$3:J$504)),'Resultater - Vestdanmark'!$F$3:$F$504,$A181,IF(E181=År1,'Resultater - Vestdanmark'!H$3:H$504,IF(E181=År2,'Resultater - Vestdanmark'!I$3:I$504,'Resultater - Vestdanmark'!J$3:J$504)),"&gt;0"),SUMIFS(IF(E181=År1,'Resultater - Østdanmark'!H$3:H$504,IF(E181=År2,'Resultater - Østdanmark'!I$3:I$504,'Resultater - Østdanmark'!J$3:J$504)),'Resultater - Østdanmark'!$F$3:$F$504,$A181,IF(E181=År1,'Resultater - Østdanmark'!H$3:H$504,IF(E181=År2,'Resultater - Østdanmark'!I$3:I$504,'Resultater - Østdanmark'!J$3:J$504)),"&gt;0"))</f>
        <v>0</v>
      </c>
      <c r="H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forbrug'!H$3,'Forbrug af biomasse'!$B$2:$B$425,$F181)</f>
        <v>0</v>
      </c>
      <c r="I181">
        <f>IF(F181="Vestdanmark",-IF(A181="Halm",SUMIFS(IF(E181=År1,'Resultater - Vestdanmark'!H$3:H$504,IF(E181=År2,'Resultater - Vestdanmark'!I$3:I$504,'Resultater - Vestdanmark'!J$3:J$504)),'Resultater - Vestdanmark'!$F$3:$F$504,$A181,'Resultater - Vestdanmark'!H$3:H$504,"&lt;0"),0),-IF(A181="Halm",SUMIFS(IF(E181=År1,'Resultater - Østdanmark'!H$3:H$504,IF(E181=År2,'Resultater - Østdanmark'!I$3:I$504,'Resultater - Østdanmark'!J$3:J$504)),'Resultater - Østdanmark'!$F$3:$F$504,$A181,'Resultater - Østdanmark'!H$3:H$504,"&lt;0"),0))</f>
        <v>0</v>
      </c>
      <c r="J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forbrug'!J$3,'Forbrug af biomasse'!$B$2:$B$425,$F181)</f>
        <v>0</v>
      </c>
      <c r="K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forbrug'!K$3,'Forbrug af biomasse'!$B$2:$B$425,$F181)</f>
        <v>0</v>
      </c>
      <c r="L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forbrug'!L$3,'Forbrug af biomasse'!$B$2:$B$425,$F181)</f>
        <v>0</v>
      </c>
      <c r="M181" s="94">
        <f>IF(A181&lt;&gt;"Biogas",SUMIFS('Forbrug af biomasse'!$E$2:$E$425,'Forbrug af biomasse'!$C$2:$C$425,'Resultat-Produktion &amp; forbrug'!$A181,'Forbrug af biomasse'!$D$2:$D$425,'Resultat-Produktion &amp; forbrug'!$E181,'Forbrug af biomasse'!$A$2:$A$425,'Resultat-Produktion &amp; forbrug'!M$3,'Forbrug af biomasse'!$B$2:$B$425,$F181),G181)</f>
        <v>0</v>
      </c>
      <c r="N181" s="94">
        <f>SUMIFS('Forbrug af biomasse'!E:E,'Forbrug af biomasse'!C:C,'Resultat-Produktion &amp; forbrug'!$A181,'Forbrug af biomasse'!D:D,'Resultat-Produktion &amp; forbrug'!$E181,'Forbrug af biomasse'!G:G,1,'Forbrug af biomasse'!B:B,$F181)</f>
        <v>0</v>
      </c>
      <c r="O181" s="179">
        <f t="shared" si="57"/>
        <v>0</v>
      </c>
      <c r="P181" s="94">
        <f t="shared" si="43"/>
        <v>0</v>
      </c>
      <c r="Q181" s="180">
        <f t="shared" si="58"/>
        <v>0</v>
      </c>
      <c r="R181">
        <f>IFERROR(VLOOKUP(A181,[1]Energiindhold!$A$2:$C$11,3,FALSE),IFERROR(VLOOKUP(A181,[1]Biogasudbytte!$A$2:$B$18,2,FALSE)*[1]Energiindhold!$C$10,0))*P181</f>
        <v>0</v>
      </c>
      <c r="S181">
        <f>IF(A181&lt;&gt;"Biogas",IFERROR(VLOOKUP(A181,[1]Biogasudbytte!$A$2:$B$18,2,FALSE)*[1]Energiindhold!$C$10,0)*K181*IFERROR(VLOOKUP(A181,Biogasanlæg!$F$3:$G$8,2,FALSE),1)+IFERROR(VLOOKUP(A181,[1]Energiindhold!$A$2:$C$11,3,FALSE),0)*M181+IF(E181&lt;&gt;År1,R181,0),0)</f>
        <v>0</v>
      </c>
      <c r="T181">
        <f>IFERROR(VLOOKUP(A181,[1]Biogasudbytte!$A$2:$B$18,2,FALSE)*[1]Energiindhold!$C$10,0)*K181*IFERROR(VLOOKUP(A181,Biogasanlæg!$F$3:$G$8,2,FALSE),1)</f>
        <v>0</v>
      </c>
      <c r="U181" s="170">
        <f t="shared" si="59"/>
        <v>0</v>
      </c>
      <c r="V181" s="169">
        <f>P181*IFERROR(VLOOKUP(A181,[1]Tørstofindhold!A$2:B$24,2,FALSE),0)</f>
        <v>0</v>
      </c>
      <c r="W181">
        <f>IF(E181=År1,Q181,SUM(P181,Q181))*IFERROR(VLOOKUP(A181,[1]Tørstofindhold!A$2:B$24,2,FALSE),0)</f>
        <v>0</v>
      </c>
      <c r="X181">
        <f>K181*IFERROR(VLOOKUP(A181,[1]Tørstofindhold!A$2:B$24,2,FALSE),0)</f>
        <v>0</v>
      </c>
      <c r="Y181" s="170">
        <f t="shared" si="60"/>
        <v>0</v>
      </c>
      <c r="Z181">
        <f t="shared" si="47"/>
        <v>0</v>
      </c>
      <c r="AA181">
        <f t="shared" si="48"/>
        <v>0</v>
      </c>
      <c r="AB181" s="94">
        <f t="shared" si="49"/>
        <v>0</v>
      </c>
      <c r="AC181">
        <f>AB181*D181*10000*VLOOKUP(A181,[1]kcal!$A$2:$C$49,3,FALSE)/1000000000000</f>
        <v>0</v>
      </c>
    </row>
    <row r="182" spans="1:29" x14ac:dyDescent="0.25">
      <c r="A182" s="171" t="s">
        <v>117</v>
      </c>
      <c r="B182" s="171"/>
      <c r="C182" s="171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71">
        <f t="shared" si="61"/>
        <v>0</v>
      </c>
      <c r="E182" s="171">
        <f t="shared" si="52"/>
        <v>2019</v>
      </c>
      <c r="F182" t="s">
        <v>24</v>
      </c>
      <c r="G182" s="94">
        <f>IF(F182="Vestdanmark",SUMIFS(IF(E182=År1,'Resultater - Vestdanmark'!H$3:H$504,IF(E182=År2,'Resultater - Vestdanmark'!I$3:I$504,'Resultater - Vestdanmark'!J$3:J$504)),'Resultater - Vestdanmark'!$F$3:$F$504,$A182,IF(E182=År1,'Resultater - Vestdanmark'!H$3:H$504,IF(E182=År2,'Resultater - Vestdanmark'!I$3:I$504,'Resultater - Vestdanmark'!J$3:J$504)),"&gt;0"),SUMIFS(IF(E182=År1,'Resultater - Østdanmark'!H$3:H$504,IF(E182=År2,'Resultater - Østdanmark'!I$3:I$504,'Resultater - Østdanmark'!J$3:J$504)),'Resultater - Østdanmark'!$F$3:$F$504,$A182,IF(E182=År1,'Resultater - Østdanmark'!H$3:H$504,IF(E182=År2,'Resultater - Østdanmark'!I$3:I$504,'Resultater - Østdanmark'!J$3:J$504)),"&gt;0"))</f>
        <v>346998.01962126989</v>
      </c>
      <c r="H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forbrug'!H$3,'Forbrug af biomasse'!$B$2:$B$425,$F182)</f>
        <v>0</v>
      </c>
      <c r="I182">
        <f>IF(F182="Vestdanmark",-IF(A182="Halm",SUMIFS(IF(E182=År1,'Resultater - Vestdanmark'!H$3:H$504,IF(E182=År2,'Resultater - Vestdanmark'!I$3:I$504,'Resultater - Vestdanmark'!J$3:J$504)),'Resultater - Vestdanmark'!$F$3:$F$504,$A182,'Resultater - Vestdanmark'!H$3:H$504,"&lt;0"),0),-IF(A182="Halm",SUMIFS(IF(E182=År1,'Resultater - Østdanmark'!H$3:H$504,IF(E182=År2,'Resultater - Østdanmark'!I$3:I$504,'Resultater - Østdanmark'!J$3:J$504)),'Resultater - Østdanmark'!$F$3:$F$504,$A182,'Resultater - Østdanmark'!H$3:H$504,"&lt;0"),0))</f>
        <v>0</v>
      </c>
      <c r="J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forbrug'!J$3,'Forbrug af biomasse'!$B$2:$B$425,$F182)</f>
        <v>0</v>
      </c>
      <c r="K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forbrug'!K$3,'Forbrug af biomasse'!$B$2:$B$425,$F182)</f>
        <v>0</v>
      </c>
      <c r="L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forbrug'!L$3,'Forbrug af biomasse'!$B$2:$B$425,$F182)</f>
        <v>0</v>
      </c>
      <c r="M182" s="94">
        <f>IF(A182&lt;&gt;"Biogas",SUMIFS('Forbrug af biomasse'!$E$2:$E$425,'Forbrug af biomasse'!$C$2:$C$425,'Resultat-Produktion &amp; forbrug'!$A182,'Forbrug af biomasse'!$D$2:$D$425,'Resultat-Produktion &amp; forbrug'!$E182,'Forbrug af biomasse'!$A$2:$A$425,'Resultat-Produktion &amp; forbrug'!M$3,'Forbrug af biomasse'!$B$2:$B$425,$F182),G182)</f>
        <v>0</v>
      </c>
      <c r="N182" s="94">
        <f>SUMIFS('Forbrug af biomasse'!E:E,'Forbrug af biomasse'!C:C,'Resultat-Produktion &amp; forbrug'!$A182,'Forbrug af biomasse'!D:D,'Resultat-Produktion &amp; forbrug'!$E182,'Forbrug af biomasse'!G:G,1,'Forbrug af biomasse'!B:B,$F182)</f>
        <v>0</v>
      </c>
      <c r="O182" s="179">
        <f t="shared" si="53"/>
        <v>346998.01962126989</v>
      </c>
      <c r="P182" s="94">
        <f t="shared" si="43"/>
        <v>0</v>
      </c>
      <c r="Q182" s="180">
        <f t="shared" si="54"/>
        <v>0</v>
      </c>
      <c r="R182">
        <f>IFERROR(VLOOKUP(A182,[1]Energiindhold!$A$2:$C$11,3,FALSE),IFERROR(VLOOKUP(A182,[1]Biogasudbytte!$A$2:$B$18,2,FALSE)*[1]Energiindhold!$C$10,0))*P182</f>
        <v>0</v>
      </c>
      <c r="S182">
        <f>IF(A182&lt;&gt;"Biogas",IFERROR(VLOOKUP(A182,[1]Biogasudbytte!$A$2:$B$18,2,FALSE)*[1]Energiindhold!$C$10,0)*K182*IFERROR(VLOOKUP(A182,Biogasanlæg!$F$3:$G$8,2,FALSE),1)+IFERROR(VLOOKUP(A182,[1]Energiindhold!$A$2:$C$11,3,FALSE),0)*M182+IF(E182&lt;&gt;År1,R182,0),0)</f>
        <v>0</v>
      </c>
      <c r="T182">
        <f>IFERROR(VLOOKUP(A182,[1]Biogasudbytte!$A$2:$B$18,2,FALSE)*[1]Energiindhold!$C$10,0)*K182*IFERROR(VLOOKUP(A182,Biogasanlæg!$F$3:$G$8,2,FALSE),1)</f>
        <v>0</v>
      </c>
      <c r="U182" s="170">
        <f t="shared" si="55"/>
        <v>0</v>
      </c>
      <c r="V182" s="169">
        <f>P182*IFERROR(VLOOKUP(A182,[1]Tørstofindhold!A$2:B$24,2,FALSE),0)</f>
        <v>0</v>
      </c>
      <c r="W182">
        <f>IF(E182=År1,Q182,SUM(P182,Q182))*IFERROR(VLOOKUP(A182,[1]Tørstofindhold!A$2:B$24,2,FALSE),0)</f>
        <v>0</v>
      </c>
      <c r="X182">
        <f>K182*IFERROR(VLOOKUP(A182,[1]Tørstofindhold!A$2:B$24,2,FALSE),0)</f>
        <v>0</v>
      </c>
      <c r="Y182" s="170">
        <f t="shared" si="56"/>
        <v>0</v>
      </c>
      <c r="Z182">
        <f t="shared" si="47"/>
        <v>0</v>
      </c>
      <c r="AA182">
        <f t="shared" si="48"/>
        <v>1</v>
      </c>
      <c r="AB182" s="94">
        <f t="shared" si="49"/>
        <v>346998.01962126989</v>
      </c>
      <c r="AC182">
        <f>AB182*D182*10000*VLOOKUP(A182,[1]kcal!$A$2:$C$49,3,FALSE)/1000000000000</f>
        <v>0</v>
      </c>
    </row>
    <row r="183" spans="1:29" x14ac:dyDescent="0.25">
      <c r="A183" t="s">
        <v>50</v>
      </c>
      <c r="B183" s="171"/>
      <c r="C183" s="171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71">
        <f t="shared" si="61"/>
        <v>0</v>
      </c>
      <c r="E183" s="171">
        <f t="shared" si="52"/>
        <v>2019</v>
      </c>
      <c r="F183" t="s">
        <v>24</v>
      </c>
      <c r="G183" s="94">
        <f>IF(F183="Vestdanmark",SUMIFS(IF(E183=År1,'Resultater - Vestdanmark'!H$3:H$504,IF(E183=År2,'Resultater - Vestdanmark'!I$3:I$504,'Resultater - Vestdanmark'!J$3:J$504)),'Resultater - Vestdanmark'!$F$3:$F$504,$A183,IF(E183=År1,'Resultater - Vestdanmark'!H$3:H$504,IF(E183=År2,'Resultater - Vestdanmark'!I$3:I$504,'Resultater - Vestdanmark'!J$3:J$504)),"&gt;0"),SUMIFS(IF(E183=År1,'Resultater - Østdanmark'!H$3:H$504,IF(E183=År2,'Resultater - Østdanmark'!I$3:I$504,'Resultater - Østdanmark'!J$3:J$504)),'Resultater - Østdanmark'!$F$3:$F$504,$A183,IF(E183=År1,'Resultater - Østdanmark'!H$3:H$504,IF(E183=År2,'Resultater - Østdanmark'!I$3:I$504,'Resultater - Østdanmark'!J$3:J$504)),"&gt;0"))</f>
        <v>192563.22613808865</v>
      </c>
      <c r="H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forbrug'!H$3,'Forbrug af biomasse'!$B$2:$B$425,$F183)</f>
        <v>0</v>
      </c>
      <c r="I183">
        <f>IF(F183="Vestdanmark",-IF(A183="Halm",SUMIFS(IF(E183=År1,'Resultater - Vestdanmark'!H$3:H$504,IF(E183=År2,'Resultater - Vestdanmark'!I$3:I$504,'Resultater - Vestdanmark'!J$3:J$504)),'Resultater - Vestdanmark'!$F$3:$F$504,$A183,'Resultater - Vestdanmark'!H$3:H$504,"&lt;0"),0),-IF(A183="Halm",SUMIFS(IF(E183=År1,'Resultater - Østdanmark'!H$3:H$504,IF(E183=År2,'Resultater - Østdanmark'!I$3:I$504,'Resultater - Østdanmark'!J$3:J$504)),'Resultater - Østdanmark'!$F$3:$F$504,$A183,'Resultater - Østdanmark'!H$3:H$504,"&lt;0"),0))</f>
        <v>0</v>
      </c>
      <c r="J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forbrug'!J$3,'Forbrug af biomasse'!$B$2:$B$425,$F183)</f>
        <v>0</v>
      </c>
      <c r="K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forbrug'!K$3,'Forbrug af biomasse'!$B$2:$B$425,$F183)</f>
        <v>0</v>
      </c>
      <c r="L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forbrug'!L$3,'Forbrug af biomasse'!$B$2:$B$425,$F183)</f>
        <v>0</v>
      </c>
      <c r="M183" s="94">
        <f>IF(A183&lt;&gt;"Biogas",SUMIFS('Forbrug af biomasse'!$E$2:$E$425,'Forbrug af biomasse'!$C$2:$C$425,'Resultat-Produktion &amp; forbrug'!$A183,'Forbrug af biomasse'!$D$2:$D$425,'Resultat-Produktion &amp; forbrug'!$E183,'Forbrug af biomasse'!$A$2:$A$425,'Resultat-Produktion &amp; forbrug'!M$3,'Forbrug af biomasse'!$B$2:$B$425,$F183),G183)</f>
        <v>0</v>
      </c>
      <c r="N183" s="94">
        <f>SUMIFS('Forbrug af biomasse'!E:E,'Forbrug af biomasse'!C:C,'Resultat-Produktion &amp; forbrug'!$A183,'Forbrug af biomasse'!D:D,'Resultat-Produktion &amp; forbrug'!$E183,'Forbrug af biomasse'!G:G,1,'Forbrug af biomasse'!B:B,$F183)</f>
        <v>192563.22613808865</v>
      </c>
      <c r="O183" s="179">
        <f t="shared" si="53"/>
        <v>0</v>
      </c>
      <c r="P183" s="94">
        <f t="shared" si="43"/>
        <v>0</v>
      </c>
      <c r="Q183" s="180">
        <f t="shared" si="54"/>
        <v>0</v>
      </c>
      <c r="R183">
        <f>IFERROR(VLOOKUP(A183,[1]Energiindhold!$A$2:$C$11,3,FALSE),IFERROR(VLOOKUP(A183,[1]Biogasudbytte!$A$2:$B$18,2,FALSE)*[1]Energiindhold!$C$10,0))*P183</f>
        <v>0</v>
      </c>
      <c r="S183">
        <f>IF(A183&lt;&gt;"Biogas",IFERROR(VLOOKUP(A183,[1]Biogasudbytte!$A$2:$B$18,2,FALSE)*[1]Energiindhold!$C$10,0)*K183*IFERROR(VLOOKUP(A183,Biogasanlæg!$F$3:$G$8,2,FALSE),1)+IFERROR(VLOOKUP(A183,[1]Energiindhold!$A$2:$C$11,3,FALSE),0)*M183+IF(E183&lt;&gt;År1,R183,0),0)</f>
        <v>0</v>
      </c>
      <c r="T183">
        <f>IFERROR(VLOOKUP(A183,[1]Biogasudbytte!$A$2:$B$18,2,FALSE)*[1]Energiindhold!$C$10,0)*K183*IFERROR(VLOOKUP(A183,Biogasanlæg!$F$3:$G$8,2,FALSE),1)</f>
        <v>0</v>
      </c>
      <c r="U183" s="170">
        <f t="shared" si="55"/>
        <v>0</v>
      </c>
      <c r="V183" s="169">
        <f>P183*IFERROR(VLOOKUP(A183,[1]Tørstofindhold!A$2:B$24,2,FALSE),0)</f>
        <v>0</v>
      </c>
      <c r="W183">
        <f>IF(E183=År1,Q183,SUM(P183,Q183))*IFERROR(VLOOKUP(A183,[1]Tørstofindhold!A$2:B$24,2,FALSE),0)</f>
        <v>0</v>
      </c>
      <c r="X183">
        <f>K183*IFERROR(VLOOKUP(A183,[1]Tørstofindhold!A$2:B$24,2,FALSE),0)</f>
        <v>0</v>
      </c>
      <c r="Y183" s="170">
        <f t="shared" si="56"/>
        <v>0</v>
      </c>
      <c r="Z183">
        <f t="shared" si="47"/>
        <v>0</v>
      </c>
      <c r="AA183">
        <f t="shared" si="48"/>
        <v>0</v>
      </c>
      <c r="AB183" s="94">
        <f t="shared" si="49"/>
        <v>192563.22613808865</v>
      </c>
      <c r="AC183">
        <f>AB183*D183*10000*VLOOKUP(A183,[1]kcal!$A$2:$C$49,3,FALSE)/1000000000000</f>
        <v>0</v>
      </c>
    </row>
    <row r="184" spans="1:29" x14ac:dyDescent="0.25">
      <c r="A184" t="s">
        <v>238</v>
      </c>
      <c r="B184" s="171"/>
      <c r="C184" s="171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0</v>
      </c>
      <c r="D184" s="171">
        <f t="shared" si="61"/>
        <v>0</v>
      </c>
      <c r="E184" s="171">
        <f t="shared" si="52"/>
        <v>2019</v>
      </c>
      <c r="F184" t="s">
        <v>24</v>
      </c>
      <c r="G184" s="94">
        <f>IF(F184="Vestdanmark",SUMIFS(IF(E184=År1,'Resultater - Vestdanmark'!H$3:H$504,IF(E184=År2,'Resultater - Vestdanmark'!I$3:I$504,'Resultater - Vestdanmark'!J$3:J$504)),'Resultater - Vestdanmark'!$F$3:$F$504,$A184,IF(E184=År1,'Resultater - Vestdanmark'!H$3:H$504,IF(E184=År2,'Resultater - Vestdanmark'!I$3:I$504,'Resultater - Vestdanmark'!J$3:J$504)),"&gt;0"),SUMIFS(IF(E184=År1,'Resultater - Østdanmark'!H$3:H$504,IF(E184=År2,'Resultater - Østdanmark'!I$3:I$504,'Resultater - Østdanmark'!J$3:J$504)),'Resultater - Østdanmark'!$F$3:$F$504,$A184,IF(E184=År1,'Resultater - Østdanmark'!H$3:H$504,IF(E184=År2,'Resultater - Østdanmark'!I$3:I$504,'Resultater - Østdanmark'!J$3:J$504)),"&gt;0"))</f>
        <v>96281.613069044324</v>
      </c>
      <c r="H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forbrug'!H$3,'Forbrug af biomasse'!$B$2:$B$425,$F184)</f>
        <v>26278.769501998373</v>
      </c>
      <c r="I184">
        <f>IF(F184="Vestdanmark",-IF(A184="Halm",SUMIFS(IF(E184=År1,'Resultater - Vestdanmark'!H$3:H$504,IF(E184=År2,'Resultater - Vestdanmark'!I$3:I$504,'Resultater - Vestdanmark'!J$3:J$504)),'Resultater - Vestdanmark'!$F$3:$F$504,$A184,'Resultater - Vestdanmark'!H$3:H$504,"&lt;0"),0),-IF(A184="Halm",SUMIFS(IF(E184=År1,'Resultater - Østdanmark'!H$3:H$504,IF(E184=År2,'Resultater - Østdanmark'!I$3:I$504,'Resultater - Østdanmark'!J$3:J$504)),'Resultater - Østdanmark'!$F$3:$F$504,$A184,'Resultater - Østdanmark'!H$3:H$504,"&lt;0"),0))</f>
        <v>0</v>
      </c>
      <c r="J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forbrug'!J$3,'Forbrug af biomasse'!$B$2:$B$425,$F184)</f>
        <v>0</v>
      </c>
      <c r="K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forbrug'!K$3,'Forbrug af biomasse'!$B$2:$B$425,$F184)</f>
        <v>0</v>
      </c>
      <c r="L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forbrug'!L$3,'Forbrug af biomasse'!$B$2:$B$425,$F184)</f>
        <v>0</v>
      </c>
      <c r="M184" s="94">
        <f>IF(A184&lt;&gt;"Biogas",SUMIFS('Forbrug af biomasse'!$E$2:$E$425,'Forbrug af biomasse'!$C$2:$C$425,'Resultat-Produktion &amp; forbrug'!$A184,'Forbrug af biomasse'!$D$2:$D$425,'Resultat-Produktion &amp; forbrug'!$E184,'Forbrug af biomasse'!$A$2:$A$425,'Resultat-Produktion &amp; forbrug'!M$3,'Forbrug af biomasse'!$B$2:$B$425,$F184),G184)</f>
        <v>0</v>
      </c>
      <c r="N184" s="94">
        <f>SUMIFS('Forbrug af biomasse'!E:E,'Forbrug af biomasse'!C:C,'Resultat-Produktion &amp; forbrug'!$A184,'Forbrug af biomasse'!D:D,'Resultat-Produktion &amp; forbrug'!$E184,'Forbrug af biomasse'!G:G,1,'Forbrug af biomasse'!B:B,$F184)</f>
        <v>0</v>
      </c>
      <c r="O184" s="179">
        <f t="shared" si="53"/>
        <v>70002.843567045958</v>
      </c>
      <c r="P184" s="94">
        <f t="shared" si="43"/>
        <v>0</v>
      </c>
      <c r="Q184" s="180">
        <f t="shared" si="54"/>
        <v>0</v>
      </c>
      <c r="R184">
        <f>IFERROR(VLOOKUP(A184,[1]Energiindhold!$A$2:$C$11,3,FALSE),IFERROR(VLOOKUP(A184,[1]Biogasudbytte!$A$2:$B$18,2,FALSE)*[1]Energiindhold!$C$10,0))*P184</f>
        <v>0</v>
      </c>
      <c r="S184">
        <f>IF(A184&lt;&gt;"Biogas",IFERROR(VLOOKUP(A184,[1]Biogasudbytte!$A$2:$B$18,2,FALSE)*[1]Energiindhold!$C$10,0)*K184*IFERROR(VLOOKUP(A184,Biogasanlæg!$F$3:$G$8,2,FALSE),1)+IFERROR(VLOOKUP(A184,[1]Energiindhold!$A$2:$C$11,3,FALSE),0)*M184+IF(E184&lt;&gt;År1,R184,0),0)</f>
        <v>0</v>
      </c>
      <c r="T184">
        <f>IFERROR(VLOOKUP(A184,[1]Biogasudbytte!$A$2:$B$18,2,FALSE)*[1]Energiindhold!$C$10,0)*K184*IFERROR(VLOOKUP(A184,Biogasanlæg!$F$3:$G$8,2,FALSE),1)</f>
        <v>0</v>
      </c>
      <c r="U184" s="170">
        <f t="shared" si="55"/>
        <v>0</v>
      </c>
      <c r="V184" s="169">
        <f>P184*IFERROR(VLOOKUP(A184,[1]Tørstofindhold!A$2:B$24,2,FALSE),0)</f>
        <v>0</v>
      </c>
      <c r="W184">
        <f>IF(E184=År1,Q184,SUM(P184,Q184))*IFERROR(VLOOKUP(A184,[1]Tørstofindhold!A$2:B$24,2,FALSE),0)</f>
        <v>0</v>
      </c>
      <c r="X184">
        <f>K184*IFERROR(VLOOKUP(A184,[1]Tørstofindhold!A$2:B$24,2,FALSE),0)</f>
        <v>0</v>
      </c>
      <c r="Y184" s="170">
        <f t="shared" si="56"/>
        <v>0</v>
      </c>
      <c r="Z184">
        <f t="shared" si="47"/>
        <v>0</v>
      </c>
      <c r="AA184">
        <f t="shared" si="48"/>
        <v>1</v>
      </c>
      <c r="AB184" s="94">
        <f t="shared" si="49"/>
        <v>70002.843567045958</v>
      </c>
      <c r="AC184">
        <f>AB184*D184*10000*VLOOKUP(A184,[1]kcal!$A$2:$C$49,3,FALSE)/1000000000000</f>
        <v>0</v>
      </c>
    </row>
    <row r="185" spans="1:29" x14ac:dyDescent="0.25">
      <c r="A185" t="s">
        <v>231</v>
      </c>
      <c r="B185" s="171" t="s">
        <v>231</v>
      </c>
      <c r="C185" s="171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71">
        <f t="shared" si="61"/>
        <v>1</v>
      </c>
      <c r="E185" s="171">
        <f t="shared" si="52"/>
        <v>2019</v>
      </c>
      <c r="F185" t="s">
        <v>24</v>
      </c>
      <c r="G185" s="94">
        <f>IF(F185="Vestdanmark",SUMIFS(IF(E185=År1,'Resultater - Vestdanmark'!H$3:H$504,IF(E185=År2,'Resultater - Vestdanmark'!I$3:I$504,'Resultater - Vestdanmark'!J$3:J$504)),'Resultater - Vestdanmark'!$F$3:$F$504,$A185,IF(E185=År1,'Resultater - Vestdanmark'!H$3:H$504,IF(E185=År2,'Resultater - Vestdanmark'!I$3:I$504,'Resultater - Vestdanmark'!J$3:J$504)),"&gt;0"),SUMIFS(IF(E185=År1,'Resultater - Østdanmark'!H$3:H$504,IF(E185=År2,'Resultater - Østdanmark'!I$3:I$504,'Resultater - Østdanmark'!J$3:J$504)),'Resultater - Østdanmark'!$F$3:$F$504,$A185,IF(E185=År1,'Resultater - Østdanmark'!H$3:H$504,IF(E185=År2,'Resultater - Østdanmark'!I$3:I$504,'Resultater - Østdanmark'!J$3:J$504)),"&gt;0"))</f>
        <v>61620.23236418837</v>
      </c>
      <c r="H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forbrug'!H$3,'Forbrug af biomasse'!$B$2:$B$425,$F185)</f>
        <v>0</v>
      </c>
      <c r="I185">
        <f>IF(F185="Vestdanmark",-IF(A185="Halm",SUMIFS(IF(E185=År1,'Resultater - Vestdanmark'!H$3:H$504,IF(E185=År2,'Resultater - Vestdanmark'!I$3:I$504,'Resultater - Vestdanmark'!J$3:J$504)),'Resultater - Vestdanmark'!$F$3:$F$504,$A185,'Resultater - Vestdanmark'!H$3:H$504,"&lt;0"),0),-IF(A185="Halm",SUMIFS(IF(E185=År1,'Resultater - Østdanmark'!H$3:H$504,IF(E185=År2,'Resultater - Østdanmark'!I$3:I$504,'Resultater - Østdanmark'!J$3:J$504)),'Resultater - Østdanmark'!$F$3:$F$504,$A185,'Resultater - Østdanmark'!H$3:H$504,"&lt;0"),0))</f>
        <v>0</v>
      </c>
      <c r="J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forbrug'!J$3,'Forbrug af biomasse'!$B$2:$B$425,$F185)</f>
        <v>0</v>
      </c>
      <c r="K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forbrug'!K$3,'Forbrug af biomasse'!$B$2:$B$425,$F185)</f>
        <v>0</v>
      </c>
      <c r="L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forbrug'!L$3,'Forbrug af biomasse'!$B$2:$B$425,$F185)</f>
        <v>0</v>
      </c>
      <c r="M185" s="94">
        <f>IF(A185&lt;&gt;"Biogas",SUMIFS('Forbrug af biomasse'!$E$2:$E$425,'Forbrug af biomasse'!$C$2:$C$425,'Resultat-Produktion &amp; forbrug'!$A185,'Forbrug af biomasse'!$D$2:$D$425,'Resultat-Produktion &amp; forbrug'!$E185,'Forbrug af biomasse'!$A$2:$A$425,'Resultat-Produktion &amp; forbrug'!M$3,'Forbrug af biomasse'!$B$2:$B$425,$F185),G185)</f>
        <v>32042.520829377954</v>
      </c>
      <c r="N185" s="94">
        <f>SUMIFS('Forbrug af biomasse'!E:E,'Forbrug af biomasse'!C:C,'Resultat-Produktion &amp; forbrug'!$A185,'Forbrug af biomasse'!D:D,'Resultat-Produktion &amp; forbrug'!$E185,'Forbrug af biomasse'!G:G,1,'Forbrug af biomasse'!B:B,$F185)</f>
        <v>29577.711534810416</v>
      </c>
      <c r="O185" s="179">
        <f t="shared" si="53"/>
        <v>0</v>
      </c>
      <c r="P185" s="94">
        <f t="shared" si="43"/>
        <v>0</v>
      </c>
      <c r="Q185" s="180">
        <f t="shared" si="54"/>
        <v>32042.520829377954</v>
      </c>
      <c r="R185">
        <f>IFERROR(VLOOKUP(A185,[1]Energiindhold!$A$2:$C$11,3,FALSE),IFERROR(VLOOKUP(A185,[1]Biogasudbytte!$A$2:$B$18,2,FALSE)*[1]Energiindhold!$C$10,0))*P185</f>
        <v>0</v>
      </c>
      <c r="S185">
        <f>IF(A185&lt;&gt;"Biogas",IFERROR(VLOOKUP(A185,[1]Biogasudbytte!$A$2:$B$18,2,FALSE)*[1]Energiindhold!$C$10,0)*K185*IFERROR(VLOOKUP(A185,Biogasanlæg!$F$3:$G$8,2,FALSE),1)+IFERROR(VLOOKUP(A185,[1]Energiindhold!$A$2:$C$11,3,FALSE),0)*M185+IF(E185&lt;&gt;År1,R185,0),0)</f>
        <v>1.1214882290282282</v>
      </c>
      <c r="T185">
        <f>IFERROR(VLOOKUP(A185,[1]Biogasudbytte!$A$2:$B$18,2,FALSE)*[1]Energiindhold!$C$10,0)*K185*IFERROR(VLOOKUP(A185,Biogasanlæg!$F$3:$G$8,2,FALSE),1)</f>
        <v>0</v>
      </c>
      <c r="U185" s="170">
        <f t="shared" si="55"/>
        <v>1.1214882290282282</v>
      </c>
      <c r="V185" s="169">
        <f>P185*IFERROR(VLOOKUP(A185,[1]Tørstofindhold!A$2:B$24,2,FALSE),0)</f>
        <v>0</v>
      </c>
      <c r="W185">
        <f>IF(E185=År1,Q185,SUM(P185,Q185))*IFERROR(VLOOKUP(A185,[1]Tørstofindhold!A$2:B$24,2,FALSE),0)</f>
        <v>0</v>
      </c>
      <c r="X185">
        <f>K185*IFERROR(VLOOKUP(A185,[1]Tørstofindhold!A$2:B$24,2,FALSE),0)</f>
        <v>0</v>
      </c>
      <c r="Y185" s="170">
        <f t="shared" si="56"/>
        <v>0</v>
      </c>
      <c r="Z185">
        <f t="shared" si="47"/>
        <v>0</v>
      </c>
      <c r="AA185">
        <f t="shared" si="48"/>
        <v>0</v>
      </c>
      <c r="AB185" s="94">
        <f t="shared" si="49"/>
        <v>61620.23236418837</v>
      </c>
      <c r="AC185">
        <f>AB185*D185*10000*VLOOKUP(A185,[1]kcal!$A$2:$C$49,3,FALSE)/1000000000000</f>
        <v>0.55458209127769531</v>
      </c>
    </row>
    <row r="186" spans="1:29" x14ac:dyDescent="0.25">
      <c r="A186" t="s">
        <v>52</v>
      </c>
      <c r="B186" s="171" t="s">
        <v>224</v>
      </c>
      <c r="C186" s="171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1</v>
      </c>
      <c r="D186" s="171">
        <f t="shared" si="61"/>
        <v>1</v>
      </c>
      <c r="E186" s="171">
        <f t="shared" si="52"/>
        <v>2019</v>
      </c>
      <c r="F186" t="s">
        <v>24</v>
      </c>
      <c r="G186" s="94">
        <f>IF(F186="Vestdanmark",SUMIFS(IF(E186=År1,'Resultater - Vestdanmark'!H$3:H$504,IF(E186=År2,'Resultater - Vestdanmark'!I$3:I$504,'Resultater - Vestdanmark'!J$3:J$504)),'Resultater - Vestdanmark'!$F$3:$F$504,$A186,IF(E186=År1,'Resultater - Vestdanmark'!H$3:H$504,IF(E186=År2,'Resultater - Vestdanmark'!I$3:I$504,'Resultater - Vestdanmark'!J$3:J$504)),"&gt;0"),SUMIFS(IF(E186=År1,'Resultater - Østdanmark'!H$3:H$504,IF(E186=År2,'Resultater - Østdanmark'!I$3:I$504,'Resultater - Østdanmark'!J$3:J$504)),'Resultater - Østdanmark'!$F$3:$F$504,$A186,IF(E186=År1,'Resultater - Østdanmark'!H$3:H$504,IF(E186=År2,'Resultater - Østdanmark'!I$3:I$504,'Resultater - Østdanmark'!J$3:J$504)),"&gt;0"))</f>
        <v>2233316.4654569654</v>
      </c>
      <c r="H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forbrug'!H$3,'Forbrug af biomasse'!$B$2:$B$425,$F186)</f>
        <v>103245.87683002709</v>
      </c>
      <c r="I186">
        <f>IF(F186="Vestdanmark",-IF(A186="Halm",SUMIFS(IF(E186=År1,'Resultater - Vestdanmark'!H$3:H$504,IF(E186=År2,'Resultater - Vestdanmark'!I$3:I$504,'Resultater - Vestdanmark'!J$3:J$504)),'Resultater - Vestdanmark'!$F$3:$F$504,$A186,'Resultater - Vestdanmark'!H$3:H$504,"&lt;0"),0),-IF(A186="Halm",SUMIFS(IF(E186=År1,'Resultater - Østdanmark'!H$3:H$504,IF(E186=År2,'Resultater - Østdanmark'!I$3:I$504,'Resultater - Østdanmark'!J$3:J$504)),'Resultater - Østdanmark'!$F$3:$F$504,$A186,'Resultater - Østdanmark'!H$3:H$504,"&lt;0"),0))</f>
        <v>0</v>
      </c>
      <c r="J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forbrug'!J$3,'Forbrug af biomasse'!$B$2:$B$425,$F186)</f>
        <v>0</v>
      </c>
      <c r="K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forbrug'!K$3,'Forbrug af biomasse'!$B$2:$B$425,$F186)</f>
        <v>24503.032029712213</v>
      </c>
      <c r="L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forbrug'!L$3,'Forbrug af biomasse'!$B$2:$B$425,$F186)</f>
        <v>0</v>
      </c>
      <c r="M186" s="94">
        <f>IF(A186&lt;&gt;"Biogas",SUMIFS('Forbrug af biomasse'!$E$2:$E$425,'Forbrug af biomasse'!$C$2:$C$425,'Resultat-Produktion &amp; forbrug'!$A186,'Forbrug af biomasse'!$D$2:$D$425,'Resultat-Produktion &amp; forbrug'!$E186,'Forbrug af biomasse'!$A$2:$A$425,'Resultat-Produktion &amp; forbrug'!M$3,'Forbrug af biomasse'!$B$2:$B$425,$F186),G186)</f>
        <v>0</v>
      </c>
      <c r="N186" s="94">
        <f>SUMIFS('Forbrug af biomasse'!E:E,'Forbrug af biomasse'!C:C,'Resultat-Produktion &amp; forbrug'!$A186,'Forbrug af biomasse'!D:D,'Resultat-Produktion &amp; forbrug'!$E186,'Forbrug af biomasse'!G:G,1,'Forbrug af biomasse'!B:B,$F186)</f>
        <v>0</v>
      </c>
      <c r="O186" s="179">
        <f t="shared" si="53"/>
        <v>2105567.5565972263</v>
      </c>
      <c r="P186" s="94">
        <f t="shared" si="43"/>
        <v>1637775.5474174484</v>
      </c>
      <c r="Q186" s="180">
        <f t="shared" si="54"/>
        <v>24503.032029712213</v>
      </c>
      <c r="R186">
        <f>IFERROR(VLOOKUP(A186,[1]Energiindhold!$A$2:$C$11,3,FALSE),IFERROR(VLOOKUP(A186,[1]Biogasudbytte!$A$2:$B$18,2,FALSE)*[1]Energiindhold!$C$10,0))*P186</f>
        <v>4.4449883467128517</v>
      </c>
      <c r="S186">
        <f>IF(A186&lt;&gt;"Biogas",IFERROR(VLOOKUP(A186,[1]Biogasudbytte!$A$2:$B$18,2,FALSE)*[1]Energiindhold!$C$10,0)*K186*IFERROR(VLOOKUP(A186,Biogasanlæg!$F$3:$G$8,2,FALSE),1)+IFERROR(VLOOKUP(A186,[1]Energiindhold!$A$2:$C$11,3,FALSE),0)*M186+IF(E186&lt;&gt;År1,R186,0),0)</f>
        <v>6.650220904992013E-2</v>
      </c>
      <c r="T186">
        <f>IFERROR(VLOOKUP(A186,[1]Biogasudbytte!$A$2:$B$18,2,FALSE)*[1]Energiindhold!$C$10,0)*K186*IFERROR(VLOOKUP(A186,Biogasanlæg!$F$3:$G$8,2,FALSE),1)</f>
        <v>6.650220904992013E-2</v>
      </c>
      <c r="U186" s="170">
        <f t="shared" si="55"/>
        <v>0</v>
      </c>
      <c r="V186" s="169">
        <f>P186*IFERROR(VLOOKUP(A186,[1]Tørstofindhold!A$2:B$24,2,FALSE),0)</f>
        <v>327555.10948348971</v>
      </c>
      <c r="W186">
        <f>IF(E186=År1,Q186,SUM(P186,Q186))*IFERROR(VLOOKUP(A186,[1]Tørstofindhold!A$2:B$24,2,FALSE),0)</f>
        <v>4900.6064059424425</v>
      </c>
      <c r="X186">
        <f>K186*IFERROR(VLOOKUP(A186,[1]Tørstofindhold!A$2:B$24,2,FALSE),0)</f>
        <v>4900.6064059424425</v>
      </c>
      <c r="Y186" s="170">
        <f t="shared" si="56"/>
        <v>0</v>
      </c>
      <c r="Z186">
        <f t="shared" si="47"/>
        <v>0</v>
      </c>
      <c r="AA186">
        <f t="shared" si="48"/>
        <v>1</v>
      </c>
      <c r="AB186" s="94">
        <f t="shared" si="49"/>
        <v>2105567.5565972263</v>
      </c>
      <c r="AC186">
        <f>AB186*D186*10000*VLOOKUP(A186,[1]kcal!$A$2:$C$49,3,FALSE)/1000000000000</f>
        <v>0.63167026697916784</v>
      </c>
    </row>
    <row r="187" spans="1:29" x14ac:dyDescent="0.25">
      <c r="A187" t="s">
        <v>121</v>
      </c>
      <c r="B187" s="171"/>
      <c r="C187" s="171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71">
        <f t="shared" si="61"/>
        <v>0</v>
      </c>
      <c r="E187" s="171">
        <f t="shared" si="52"/>
        <v>2019</v>
      </c>
      <c r="F187" t="s">
        <v>24</v>
      </c>
      <c r="G187" s="94">
        <f>IF(F187="Vestdanmark",SUMIFS(IF(E187=År1,'Resultater - Vestdanmark'!H$3:H$504,IF(E187=År2,'Resultater - Vestdanmark'!I$3:I$504,'Resultater - Vestdanmark'!J$3:J$504)),'Resultater - Vestdanmark'!$F$3:$F$504,$A187,IF(E187=År1,'Resultater - Vestdanmark'!H$3:H$504,IF(E187=År2,'Resultater - Vestdanmark'!I$3:I$504,'Resultater - Vestdanmark'!J$3:J$504)),"&gt;0"),SUMIFS(IF(E187=År1,'Resultater - Østdanmark'!H$3:H$504,IF(E187=År2,'Resultater - Østdanmark'!I$3:I$504,'Resultater - Østdanmark'!J$3:J$504)),'Resultater - Østdanmark'!$F$3:$F$504,$A187,IF(E187=År1,'Resultater - Østdanmark'!H$3:H$504,IF(E187=År2,'Resultater - Østdanmark'!I$3:I$504,'Resultater - Østdanmark'!J$3:J$504)),"&gt;0"))</f>
        <v>23179.475218292017</v>
      </c>
      <c r="H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forbrug'!H$3,'Forbrug af biomasse'!$B$2:$B$425,$F187)</f>
        <v>0</v>
      </c>
      <c r="I187">
        <f>IF(F187="Vestdanmark",-IF(A187="Halm",SUMIFS(IF(E187=År1,'Resultater - Vestdanmark'!H$3:H$504,IF(E187=År2,'Resultater - Vestdanmark'!I$3:I$504,'Resultater - Vestdanmark'!J$3:J$504)),'Resultater - Vestdanmark'!$F$3:$F$504,$A187,'Resultater - Vestdanmark'!H$3:H$504,"&lt;0"),0),-IF(A187="Halm",SUMIFS(IF(E187=År1,'Resultater - Østdanmark'!H$3:H$504,IF(E187=År2,'Resultater - Østdanmark'!I$3:I$504,'Resultater - Østdanmark'!J$3:J$504)),'Resultater - Østdanmark'!$F$3:$F$504,$A187,'Resultater - Østdanmark'!H$3:H$504,"&lt;0"),0))</f>
        <v>0</v>
      </c>
      <c r="J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forbrug'!J$3,'Forbrug af biomasse'!$B$2:$B$425,$F187)</f>
        <v>0</v>
      </c>
      <c r="K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forbrug'!K$3,'Forbrug af biomasse'!$B$2:$B$425,$F187)</f>
        <v>0</v>
      </c>
      <c r="L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forbrug'!L$3,'Forbrug af biomasse'!$B$2:$B$425,$F187)</f>
        <v>0</v>
      </c>
      <c r="M187" s="94">
        <f>IF(A187&lt;&gt;"Biogas",SUMIFS('Forbrug af biomasse'!$E$2:$E$425,'Forbrug af biomasse'!$C$2:$C$425,'Resultat-Produktion &amp; forbrug'!$A187,'Forbrug af biomasse'!$D$2:$D$425,'Resultat-Produktion &amp; forbrug'!$E187,'Forbrug af biomasse'!$A$2:$A$425,'Resultat-Produktion &amp; forbrug'!M$3,'Forbrug af biomasse'!$B$2:$B$425,$F187),G187)</f>
        <v>0</v>
      </c>
      <c r="N187" s="94">
        <f>SUMIFS('Forbrug af biomasse'!E:E,'Forbrug af biomasse'!C:C,'Resultat-Produktion &amp; forbrug'!$A187,'Forbrug af biomasse'!D:D,'Resultat-Produktion &amp; forbrug'!$E187,'Forbrug af biomasse'!G:G,1,'Forbrug af biomasse'!B:B,$F187)</f>
        <v>0</v>
      </c>
      <c r="O187" s="179">
        <f t="shared" si="53"/>
        <v>23179.475218292017</v>
      </c>
      <c r="P187" s="94">
        <f t="shared" si="43"/>
        <v>0</v>
      </c>
      <c r="Q187" s="180">
        <f t="shared" si="54"/>
        <v>0</v>
      </c>
      <c r="R187">
        <f>IFERROR(VLOOKUP(A187,[1]Energiindhold!$A$2:$C$11,3,FALSE),IFERROR(VLOOKUP(A187,[1]Biogasudbytte!$A$2:$B$18,2,FALSE)*[1]Energiindhold!$C$10,0))*P187</f>
        <v>0</v>
      </c>
      <c r="S187">
        <f>IF(A187&lt;&gt;"Biogas",IFERROR(VLOOKUP(A187,[1]Biogasudbytte!$A$2:$B$18,2,FALSE)*[1]Energiindhold!$C$10,0)*K187*IFERROR(VLOOKUP(A187,Biogasanlæg!$F$3:$G$8,2,FALSE),1)+IFERROR(VLOOKUP(A187,[1]Energiindhold!$A$2:$C$11,3,FALSE),0)*M187+IF(E187&lt;&gt;År1,R187,0),0)</f>
        <v>0</v>
      </c>
      <c r="T187">
        <f>IFERROR(VLOOKUP(A187,[1]Biogasudbytte!$A$2:$B$18,2,FALSE)*[1]Energiindhold!$C$10,0)*K187*IFERROR(VLOOKUP(A187,Biogasanlæg!$F$3:$G$8,2,FALSE),1)</f>
        <v>0</v>
      </c>
      <c r="U187" s="170">
        <f t="shared" si="55"/>
        <v>0</v>
      </c>
      <c r="V187" s="169">
        <f>P187*IFERROR(VLOOKUP(A187,[1]Tørstofindhold!A$2:B$24,2,FALSE),0)</f>
        <v>0</v>
      </c>
      <c r="W187">
        <f>IF(E187=År1,Q187,SUM(P187,Q187))*IFERROR(VLOOKUP(A187,[1]Tørstofindhold!A$2:B$24,2,FALSE),0)</f>
        <v>0</v>
      </c>
      <c r="X187">
        <f>K187*IFERROR(VLOOKUP(A187,[1]Tørstofindhold!A$2:B$24,2,FALSE),0)</f>
        <v>0</v>
      </c>
      <c r="Y187" s="170">
        <f t="shared" si="56"/>
        <v>0</v>
      </c>
      <c r="Z187">
        <f t="shared" si="47"/>
        <v>0</v>
      </c>
      <c r="AA187">
        <f t="shared" si="48"/>
        <v>1</v>
      </c>
      <c r="AB187" s="94">
        <f t="shared" si="49"/>
        <v>23179.475218292017</v>
      </c>
      <c r="AC187">
        <f>AB187*D187*10000*VLOOKUP(A187,[1]kcal!$A$2:$C$49,3,FALSE)/1000000000000</f>
        <v>0</v>
      </c>
    </row>
    <row r="188" spans="1:29" x14ac:dyDescent="0.25">
      <c r="A188" t="s">
        <v>107</v>
      </c>
      <c r="B188" s="171"/>
      <c r="C188" s="171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0</v>
      </c>
      <c r="D188" s="171">
        <f t="shared" si="61"/>
        <v>0</v>
      </c>
      <c r="E188" s="171">
        <f t="shared" si="52"/>
        <v>2019</v>
      </c>
      <c r="F188" t="s">
        <v>24</v>
      </c>
      <c r="G188" s="94">
        <f>IF(F188="Vestdanmark",SUMIFS(IF(E188=År1,'Resultater - Vestdanmark'!H$3:H$504,IF(E188=År2,'Resultater - Vestdanmark'!I$3:I$504,'Resultater - Vestdanmark'!J$3:J$504)),'Resultater - Vestdanmark'!$F$3:$F$504,$A188,IF(E188=År1,'Resultater - Vestdanmark'!H$3:H$504,IF(E188=År2,'Resultater - Vestdanmark'!I$3:I$504,'Resultater - Vestdanmark'!J$3:J$504)),"&gt;0"),SUMIFS(IF(E188=År1,'Resultater - Østdanmark'!H$3:H$504,IF(E188=År2,'Resultater - Østdanmark'!I$3:I$504,'Resultater - Østdanmark'!J$3:J$504)),'Resultater - Østdanmark'!$F$3:$F$504,$A188,IF(E188=År1,'Resultater - Østdanmark'!H$3:H$504,IF(E188=År2,'Resultater - Østdanmark'!I$3:I$504,'Resultater - Østdanmark'!J$3:J$504)),"&gt;0"))</f>
        <v>18923.903166389329</v>
      </c>
      <c r="H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forbrug'!H$3,'Forbrug af biomasse'!$B$2:$B$425,$F188)</f>
        <v>4837.9324606189475</v>
      </c>
      <c r="I188">
        <f>IF(F188="Vestdanmark",-IF(A188="Halm",SUMIFS(IF(E188=År1,'Resultater - Vestdanmark'!H$3:H$504,IF(E188=År2,'Resultater - Vestdanmark'!I$3:I$504,'Resultater - Vestdanmark'!J$3:J$504)),'Resultater - Vestdanmark'!$F$3:$F$504,$A188,'Resultater - Vestdanmark'!H$3:H$504,"&lt;0"),0),-IF(A188="Halm",SUMIFS(IF(E188=År1,'Resultater - Østdanmark'!H$3:H$504,IF(E188=År2,'Resultater - Østdanmark'!I$3:I$504,'Resultater - Østdanmark'!J$3:J$504)),'Resultater - Østdanmark'!$F$3:$F$504,$A188,'Resultater - Østdanmark'!H$3:H$504,"&lt;0"),0))</f>
        <v>0</v>
      </c>
      <c r="J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forbrug'!J$3,'Forbrug af biomasse'!$B$2:$B$425,$F188)</f>
        <v>0</v>
      </c>
      <c r="K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forbrug'!K$3,'Forbrug af biomasse'!$B$2:$B$425,$F188)</f>
        <v>0</v>
      </c>
      <c r="L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forbrug'!L$3,'Forbrug af biomasse'!$B$2:$B$425,$F188)</f>
        <v>0</v>
      </c>
      <c r="M188" s="94">
        <f>IF(A188&lt;&gt;"Biogas",SUMIFS('Forbrug af biomasse'!$E$2:$E$425,'Forbrug af biomasse'!$C$2:$C$425,'Resultat-Produktion &amp; forbrug'!$A188,'Forbrug af biomasse'!$D$2:$D$425,'Resultat-Produktion &amp; forbrug'!$E188,'Forbrug af biomasse'!$A$2:$A$425,'Resultat-Produktion &amp; forbrug'!M$3,'Forbrug af biomasse'!$B$2:$B$425,$F188),G188)</f>
        <v>0</v>
      </c>
      <c r="N188" s="94">
        <f>SUMIFS('Forbrug af biomasse'!E:E,'Forbrug af biomasse'!C:C,'Resultat-Produktion &amp; forbrug'!$A188,'Forbrug af biomasse'!D:D,'Resultat-Produktion &amp; forbrug'!$E188,'Forbrug af biomasse'!G:G,1,'Forbrug af biomasse'!B:B,$F188)</f>
        <v>0</v>
      </c>
      <c r="O188" s="179">
        <f t="shared" si="53"/>
        <v>14085.970705770382</v>
      </c>
      <c r="P188" s="94">
        <f t="shared" si="43"/>
        <v>0</v>
      </c>
      <c r="Q188" s="180">
        <f t="shared" si="54"/>
        <v>0</v>
      </c>
      <c r="R188">
        <f>IFERROR(VLOOKUP(A188,[1]Energiindhold!$A$2:$C$11,3,FALSE),IFERROR(VLOOKUP(A188,[1]Biogasudbytte!$A$2:$B$18,2,FALSE)*[1]Energiindhold!$C$10,0))*P188</f>
        <v>0</v>
      </c>
      <c r="S188">
        <f>IF(A188&lt;&gt;"Biogas",IFERROR(VLOOKUP(A188,[1]Biogasudbytte!$A$2:$B$18,2,FALSE)*[1]Energiindhold!$C$10,0)*K188*IFERROR(VLOOKUP(A188,Biogasanlæg!$F$3:$G$8,2,FALSE),1)+IFERROR(VLOOKUP(A188,[1]Energiindhold!$A$2:$C$11,3,FALSE),0)*M188+IF(E188&lt;&gt;År1,R188,0),0)</f>
        <v>0</v>
      </c>
      <c r="T188">
        <f>IFERROR(VLOOKUP(A188,[1]Biogasudbytte!$A$2:$B$18,2,FALSE)*[1]Energiindhold!$C$10,0)*K188*IFERROR(VLOOKUP(A188,Biogasanlæg!$F$3:$G$8,2,FALSE),1)</f>
        <v>0</v>
      </c>
      <c r="U188" s="170">
        <f t="shared" si="55"/>
        <v>0</v>
      </c>
      <c r="V188" s="169">
        <f>P188*IFERROR(VLOOKUP(A188,[1]Tørstofindhold!A$2:B$24,2,FALSE),0)</f>
        <v>0</v>
      </c>
      <c r="W188">
        <f>IF(E188=År1,Q188,SUM(P188,Q188))*IFERROR(VLOOKUP(A188,[1]Tørstofindhold!A$2:B$24,2,FALSE),0)</f>
        <v>0</v>
      </c>
      <c r="X188">
        <f>K188*IFERROR(VLOOKUP(A188,[1]Tørstofindhold!A$2:B$24,2,FALSE),0)</f>
        <v>0</v>
      </c>
      <c r="Y188" s="170">
        <f t="shared" si="56"/>
        <v>0</v>
      </c>
      <c r="Z188">
        <f t="shared" si="47"/>
        <v>0</v>
      </c>
      <c r="AA188">
        <f t="shared" si="48"/>
        <v>1</v>
      </c>
      <c r="AB188" s="94">
        <f t="shared" si="49"/>
        <v>14085.970705770382</v>
      </c>
      <c r="AC188">
        <f>AB188*D188*10000*VLOOKUP(A188,[1]kcal!$A$2:$C$49,3,FALSE)/1000000000000</f>
        <v>0</v>
      </c>
    </row>
    <row r="189" spans="1:29" x14ac:dyDescent="0.25">
      <c r="A189" s="171" t="s">
        <v>140</v>
      </c>
      <c r="B189" s="171" t="s">
        <v>230</v>
      </c>
      <c r="C189" s="171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71">
        <f t="shared" si="61"/>
        <v>0</v>
      </c>
      <c r="E189" s="171">
        <f t="shared" si="52"/>
        <v>2019</v>
      </c>
      <c r="F189" t="s">
        <v>24</v>
      </c>
      <c r="G189" s="94">
        <f>IF(F189="Vestdanmark",SUMIFS(IF(E189=År1,'Resultater - Vestdanmark'!H$3:H$504,IF(E189=År2,'Resultater - Vestdanmark'!I$3:I$504,'Resultater - Vestdanmark'!J$3:J$504)),'Resultater - Vestdanmark'!$F$3:$F$504,$A189,IF(E189=År1,'Resultater - Vestdanmark'!H$3:H$504,IF(E189=År2,'Resultater - Vestdanmark'!I$3:I$504,'Resultater - Vestdanmark'!J$3:J$504)),"&gt;0"),SUMIFS(IF(E189=År1,'Resultater - Østdanmark'!H$3:H$504,IF(E189=År2,'Resultater - Østdanmark'!I$3:I$504,'Resultater - Østdanmark'!J$3:J$504)),'Resultater - Østdanmark'!$F$3:$F$504,$A189,IF(E189=År1,'Resultater - Østdanmark'!H$3:H$504,IF(E189=År2,'Resultater - Østdanmark'!I$3:I$504,'Resultater - Østdanmark'!J$3:J$504)),"&gt;0"))</f>
        <v>3186961.3614372411</v>
      </c>
      <c r="H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forbrug'!H$3,'Forbrug af biomasse'!$B$2:$B$425,$F189)</f>
        <v>0</v>
      </c>
      <c r="I189">
        <f>IF(F189="Vestdanmark",-IF(A189="Halm",SUMIFS(IF(E189=År1,'Resultater - Vestdanmark'!H$3:H$504,IF(E189=År2,'Resultater - Vestdanmark'!I$3:I$504,'Resultater - Vestdanmark'!J$3:J$504)),'Resultater - Vestdanmark'!$F$3:$F$504,$A189,'Resultater - Vestdanmark'!H$3:H$504,"&lt;0"),0),-IF(A189="Halm",SUMIFS(IF(E189=År1,'Resultater - Østdanmark'!H$3:H$504,IF(E189=År2,'Resultater - Østdanmark'!I$3:I$504,'Resultater - Østdanmark'!J$3:J$504)),'Resultater - Østdanmark'!$F$3:$F$504,$A189,'Resultater - Østdanmark'!H$3:H$504,"&lt;0"),0))</f>
        <v>0</v>
      </c>
      <c r="J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forbrug'!J$3,'Forbrug af biomasse'!$B$2:$B$425,$F189)</f>
        <v>0</v>
      </c>
      <c r="K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forbrug'!K$3,'Forbrug af biomasse'!$B$2:$B$425,$F189)</f>
        <v>1208651.4125341829</v>
      </c>
      <c r="L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forbrug'!L$3,'Forbrug af biomasse'!$B$2:$B$425,$F189)</f>
        <v>0</v>
      </c>
      <c r="M189" s="94">
        <f>IF(A189&lt;&gt;"Biogas",SUMIFS('Forbrug af biomasse'!$E$2:$E$425,'Forbrug af biomasse'!$C$2:$C$425,'Resultat-Produktion &amp; forbrug'!$A189,'Forbrug af biomasse'!$D$2:$D$425,'Resultat-Produktion &amp; forbrug'!$E189,'Forbrug af biomasse'!$A$2:$A$425,'Resultat-Produktion &amp; forbrug'!M$3,'Forbrug af biomasse'!$B$2:$B$425,$F189),G189)</f>
        <v>0</v>
      </c>
      <c r="N189" s="94">
        <f>SUMIFS('Forbrug af biomasse'!E:E,'Forbrug af biomasse'!C:C,'Resultat-Produktion &amp; forbrug'!$A189,'Forbrug af biomasse'!D:D,'Resultat-Produktion &amp; forbrug'!$E189,'Forbrug af biomasse'!G:G,1,'Forbrug af biomasse'!B:B,$F189)</f>
        <v>0</v>
      </c>
      <c r="O189" s="179">
        <f t="shared" si="53"/>
        <v>1978309.9489030582</v>
      </c>
      <c r="P189" s="94">
        <f t="shared" si="43"/>
        <v>1978309.9489030582</v>
      </c>
      <c r="Q189" s="180">
        <f t="shared" si="54"/>
        <v>1208651.4125341829</v>
      </c>
      <c r="R189">
        <f>IFERROR(VLOOKUP(A189,[1]Energiindhold!$A$2:$C$11,3,FALSE),IFERROR(VLOOKUP(A189,[1]Biogasudbytte!$A$2:$B$18,2,FALSE)*[1]Energiindhold!$C$10,0))*P189</f>
        <v>0.98719644760211522</v>
      </c>
      <c r="S189">
        <f>IF(A189&lt;&gt;"Biogas",IFERROR(VLOOKUP(A189,[1]Biogasudbytte!$A$2:$B$18,2,FALSE)*[1]Energiindhold!$C$10,0)*K189*IFERROR(VLOOKUP(A189,Biogasanlæg!$F$3:$G$8,2,FALSE),1)+IFERROR(VLOOKUP(A189,[1]Energiindhold!$A$2:$C$11,3,FALSE),0)*M189+IF(E189&lt;&gt;År1,R189,0),0)</f>
        <v>0.60312914136868268</v>
      </c>
      <c r="T189">
        <f>IFERROR(VLOOKUP(A189,[1]Biogasudbytte!$A$2:$B$18,2,FALSE)*[1]Energiindhold!$C$10,0)*K189*IFERROR(VLOOKUP(A189,Biogasanlæg!$F$3:$G$8,2,FALSE),1)</f>
        <v>0.60312914136868268</v>
      </c>
      <c r="U189" s="170">
        <f t="shared" si="55"/>
        <v>0</v>
      </c>
      <c r="V189" s="169">
        <f>P189*IFERROR(VLOOKUP(A189,[1]Tørstofindhold!A$2:B$24,2,FALSE),0)</f>
        <v>118698.59693418349</v>
      </c>
      <c r="W189">
        <f>IF(E189=År1,Q189,SUM(P189,Q189))*IFERROR(VLOOKUP(A189,[1]Tørstofindhold!A$2:B$24,2,FALSE),0)</f>
        <v>72519.084752050971</v>
      </c>
      <c r="X189">
        <f>K189*IFERROR(VLOOKUP(A189,[1]Tørstofindhold!A$2:B$24,2,FALSE),0)</f>
        <v>72519.084752050971</v>
      </c>
      <c r="Y189" s="170">
        <f t="shared" si="56"/>
        <v>0</v>
      </c>
      <c r="Z189">
        <f t="shared" si="47"/>
        <v>0</v>
      </c>
      <c r="AA189">
        <f t="shared" si="48"/>
        <v>1</v>
      </c>
      <c r="AB189" s="94">
        <f t="shared" si="49"/>
        <v>1978309.9489030582</v>
      </c>
      <c r="AC189">
        <f>AB189*D189*10000*VLOOKUP(A189,[1]kcal!$A$2:$C$49,3,FALSE)/1000000000000</f>
        <v>0</v>
      </c>
    </row>
    <row r="190" spans="1:29" x14ac:dyDescent="0.25">
      <c r="A190" s="171" t="s">
        <v>135</v>
      </c>
      <c r="B190" s="171" t="s">
        <v>222</v>
      </c>
      <c r="C190" s="171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1</v>
      </c>
      <c r="D190" s="171">
        <f t="shared" si="61"/>
        <v>0</v>
      </c>
      <c r="E190" s="171">
        <f t="shared" si="52"/>
        <v>2019</v>
      </c>
      <c r="F190" t="s">
        <v>24</v>
      </c>
      <c r="G190" s="94">
        <f>IF(F190="Vestdanmark",SUMIFS(IF(E190=År1,'Resultater - Vestdanmark'!H$3:H$504,IF(E190=År2,'Resultater - Vestdanmark'!I$3:I$504,'Resultater - Vestdanmark'!J$3:J$504)),'Resultater - Vestdanmark'!$F$3:$F$504,$A190,IF(E190=År1,'Resultater - Vestdanmark'!H$3:H$504,IF(E190=År2,'Resultater - Vestdanmark'!I$3:I$504,'Resultater - Vestdanmark'!J$3:J$504)),"&gt;0"),SUMIFS(IF(E190=År1,'Resultater - Østdanmark'!H$3:H$504,IF(E190=År2,'Resultater - Østdanmark'!I$3:I$504,'Resultater - Østdanmark'!J$3:J$504)),'Resultater - Østdanmark'!$F$3:$F$504,$A190,IF(E190=År1,'Resultater - Østdanmark'!H$3:H$504,IF(E190=År2,'Resultater - Østdanmark'!I$3:I$504,'Resultater - Østdanmark'!J$3:J$504)),"&gt;0"))</f>
        <v>2304461.4931079326</v>
      </c>
      <c r="H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forbrug'!H$3,'Forbrug af biomasse'!$B$2:$B$425,$F190)</f>
        <v>0</v>
      </c>
      <c r="I190">
        <f>IF(F190="Vestdanmark",-IF(A190="Halm",SUMIFS(IF(E190=År1,'Resultater - Vestdanmark'!H$3:H$504,IF(E190=År2,'Resultater - Vestdanmark'!I$3:I$504,'Resultater - Vestdanmark'!J$3:J$504)),'Resultater - Vestdanmark'!$F$3:$F$504,$A190,'Resultater - Vestdanmark'!H$3:H$504,"&lt;0"),0),-IF(A190="Halm",SUMIFS(IF(E190=År1,'Resultater - Østdanmark'!H$3:H$504,IF(E190=År2,'Resultater - Østdanmark'!I$3:I$504,'Resultater - Østdanmark'!J$3:J$504)),'Resultater - Østdanmark'!$F$3:$F$504,$A190,'Resultater - Østdanmark'!H$3:H$504,"&lt;0"),0))</f>
        <v>0</v>
      </c>
      <c r="J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forbrug'!J$3,'Forbrug af biomasse'!$B$2:$B$425,$F190)</f>
        <v>0</v>
      </c>
      <c r="K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forbrug'!K$3,'Forbrug af biomasse'!$B$2:$B$425,$F190)</f>
        <v>380427.26035611134</v>
      </c>
      <c r="L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forbrug'!L$3,'Forbrug af biomasse'!$B$2:$B$425,$F190)</f>
        <v>1924034.2327518209</v>
      </c>
      <c r="M190" s="94">
        <f>IF(A190&lt;&gt;"Biogas",SUMIFS('Forbrug af biomasse'!$E$2:$E$425,'Forbrug af biomasse'!$C$2:$C$425,'Resultat-Produktion &amp; forbrug'!$A190,'Forbrug af biomasse'!$D$2:$D$425,'Resultat-Produktion &amp; forbrug'!$E190,'Forbrug af biomasse'!$A$2:$A$425,'Resultat-Produktion &amp; forbrug'!M$3,'Forbrug af biomasse'!$B$2:$B$425,$F190),G190)</f>
        <v>0</v>
      </c>
      <c r="N190" s="94">
        <f>SUMIFS('Forbrug af biomasse'!E:E,'Forbrug af biomasse'!C:C,'Resultat-Produktion &amp; forbrug'!$A190,'Forbrug af biomasse'!D:D,'Resultat-Produktion &amp; forbrug'!$E190,'Forbrug af biomasse'!G:G,1,'Forbrug af biomasse'!B:B,$F190)</f>
        <v>0</v>
      </c>
      <c r="O190" s="179">
        <f t="shared" si="53"/>
        <v>0</v>
      </c>
      <c r="P190" s="94">
        <f t="shared" si="43"/>
        <v>0</v>
      </c>
      <c r="Q190" s="180">
        <f t="shared" si="54"/>
        <v>380427.26035611134</v>
      </c>
      <c r="R190">
        <f>IFERROR(VLOOKUP(A190,[1]Energiindhold!$A$2:$C$11,3,FALSE),IFERROR(VLOOKUP(A190,[1]Biogasudbytte!$A$2:$B$18,2,FALSE)*[1]Energiindhold!$C$10,0))*P190</f>
        <v>0</v>
      </c>
      <c r="S190">
        <f>IF(A190&lt;&gt;"Biogas",IFERROR(VLOOKUP(A190,[1]Biogasudbytte!$A$2:$B$18,2,FALSE)*[1]Energiindhold!$C$10,0)*K190*IFERROR(VLOOKUP(A190,Biogasanlæg!$F$3:$G$8,2,FALSE),1)+IFERROR(VLOOKUP(A190,[1]Energiindhold!$A$2:$C$11,3,FALSE),0)*M190+IF(E190&lt;&gt;År1,R190,0),0)</f>
        <v>0.16388806376141279</v>
      </c>
      <c r="T190">
        <f>IFERROR(VLOOKUP(A190,[1]Biogasudbytte!$A$2:$B$18,2,FALSE)*[1]Energiindhold!$C$10,0)*K190*IFERROR(VLOOKUP(A190,Biogasanlæg!$F$3:$G$8,2,FALSE),1)</f>
        <v>0.16388806376141279</v>
      </c>
      <c r="U190" s="170">
        <f t="shared" si="55"/>
        <v>0</v>
      </c>
      <c r="V190" s="169">
        <f>P190*IFERROR(VLOOKUP(A190,[1]Tørstofindhold!A$2:B$24,2,FALSE),0)</f>
        <v>0</v>
      </c>
      <c r="W190">
        <f>IF(E190=År1,Q190,SUM(P190,Q190))*IFERROR(VLOOKUP(A190,[1]Tørstofindhold!A$2:B$24,2,FALSE),0)</f>
        <v>19021.363017805568</v>
      </c>
      <c r="X190">
        <f>K190*IFERROR(VLOOKUP(A190,[1]Tørstofindhold!A$2:B$24,2,FALSE),0)</f>
        <v>19021.363017805568</v>
      </c>
      <c r="Y190" s="170">
        <f t="shared" si="56"/>
        <v>0</v>
      </c>
      <c r="Z190">
        <f t="shared" si="47"/>
        <v>0</v>
      </c>
      <c r="AA190">
        <f t="shared" si="48"/>
        <v>0</v>
      </c>
      <c r="AB190" s="94">
        <f t="shared" si="49"/>
        <v>0</v>
      </c>
      <c r="AC190">
        <f>AB190*D190*10000*VLOOKUP(A190,[1]kcal!$A$2:$C$49,3,FALSE)/1000000000000</f>
        <v>0</v>
      </c>
    </row>
    <row r="191" spans="1:29" x14ac:dyDescent="0.25">
      <c r="A191" s="171" t="s">
        <v>13</v>
      </c>
      <c r="B191" s="171"/>
      <c r="C191" s="171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0</v>
      </c>
      <c r="D191" s="171">
        <f t="shared" si="61"/>
        <v>1</v>
      </c>
      <c r="E191" s="171">
        <f t="shared" si="52"/>
        <v>2019</v>
      </c>
      <c r="F191" t="s">
        <v>24</v>
      </c>
      <c r="G191" s="94">
        <f>IF(F191="Vestdanmark",SUMIFS(IF(E191=År1,'Resultater - Vestdanmark'!H$3:H$504,IF(E191=År2,'Resultater - Vestdanmark'!I$3:I$504,'Resultater - Vestdanmark'!J$3:J$504)),'Resultater - Vestdanmark'!$F$3:$F$504,$A191,IF(E191=År1,'Resultater - Vestdanmark'!H$3:H$504,IF(E191=År2,'Resultater - Vestdanmark'!I$3:I$504,'Resultater - Vestdanmark'!J$3:J$504)),"&gt;0"),SUMIFS(IF(E191=År1,'Resultater - Østdanmark'!H$3:H$504,IF(E191=År2,'Resultater - Østdanmark'!I$3:I$504,'Resultater - Østdanmark'!J$3:J$504)),'Resultater - Østdanmark'!$F$3:$F$504,$A191,IF(E191=År1,'Resultater - Østdanmark'!H$3:H$504,IF(E191=År2,'Resultater - Østdanmark'!I$3:I$504,'Resultater - Østdanmark'!J$3:J$504)),"&gt;0"))</f>
        <v>206750.71206041813</v>
      </c>
      <c r="H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forbrug'!H$3,'Forbrug af biomasse'!$B$2:$B$425,$F191)</f>
        <v>0</v>
      </c>
      <c r="I191">
        <f>IF(F191="Vestdanmark",-IF(A191="Halm",SUMIFS(IF(E191=År1,'Resultater - Vestdanmark'!H$3:H$504,IF(E191=År2,'Resultater - Vestdanmark'!I$3:I$504,'Resultater - Vestdanmark'!J$3:J$504)),'Resultater - Vestdanmark'!$F$3:$F$504,$A191,'Resultater - Vestdanmark'!H$3:H$504,"&lt;0"),0),-IF(A191="Halm",SUMIFS(IF(E191=År1,'Resultater - Østdanmark'!H$3:H$504,IF(E191=År2,'Resultater - Østdanmark'!I$3:I$504,'Resultater - Østdanmark'!J$3:J$504)),'Resultater - Østdanmark'!$F$3:$F$504,$A191,'Resultater - Østdanmark'!H$3:H$504,"&lt;0"),0))</f>
        <v>0</v>
      </c>
      <c r="J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forbrug'!J$3,'Forbrug af biomasse'!$B$2:$B$425,$F191)</f>
        <v>100555.62853170674</v>
      </c>
      <c r="K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forbrug'!K$3,'Forbrug af biomasse'!$B$2:$B$425,$F191)</f>
        <v>0</v>
      </c>
      <c r="L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forbrug'!L$3,'Forbrug af biomasse'!$B$2:$B$425,$F191)</f>
        <v>0</v>
      </c>
      <c r="M191" s="94">
        <f>IF(A191&lt;&gt;"Biogas",SUMIFS('Forbrug af biomasse'!$E$2:$E$425,'Forbrug af biomasse'!$C$2:$C$425,'Resultat-Produktion &amp; forbrug'!$A191,'Forbrug af biomasse'!$D$2:$D$425,'Resultat-Produktion &amp; forbrug'!$E191,'Forbrug af biomasse'!$A$2:$A$425,'Resultat-Produktion &amp; forbrug'!M$3,'Forbrug af biomasse'!$B$2:$B$425,$F191),G191)</f>
        <v>0</v>
      </c>
      <c r="N191" s="94">
        <f>SUMIFS('Forbrug af biomasse'!E:E,'Forbrug af biomasse'!C:C,'Resultat-Produktion &amp; forbrug'!$A191,'Forbrug af biomasse'!D:D,'Resultat-Produktion &amp; forbrug'!$E191,'Forbrug af biomasse'!G:G,1,'Forbrug af biomasse'!B:B,$F191)</f>
        <v>0</v>
      </c>
      <c r="O191" s="179">
        <f t="shared" si="53"/>
        <v>106195.08352871139</v>
      </c>
      <c r="P191" s="94">
        <f t="shared" si="43"/>
        <v>0</v>
      </c>
      <c r="Q191" s="180">
        <f t="shared" si="54"/>
        <v>0</v>
      </c>
      <c r="R191">
        <f>IFERROR(VLOOKUP(A191,[1]Energiindhold!$A$2:$C$11,3,FALSE),IFERROR(VLOOKUP(A191,[1]Biogasudbytte!$A$2:$B$18,2,FALSE)*[1]Energiindhold!$C$10,0))*P191</f>
        <v>0</v>
      </c>
      <c r="S191">
        <f>IF(A191&lt;&gt;"Biogas",IFERROR(VLOOKUP(A191,[1]Biogasudbytte!$A$2:$B$18,2,FALSE)*[1]Energiindhold!$C$10,0)*K191*IFERROR(VLOOKUP(A191,Biogasanlæg!$F$3:$G$8,2,FALSE),1)+IFERROR(VLOOKUP(A191,[1]Energiindhold!$A$2:$C$11,3,FALSE),0)*M191+IF(E191&lt;&gt;År1,R191,0),0)</f>
        <v>0</v>
      </c>
      <c r="T191">
        <f>IFERROR(VLOOKUP(A191,[1]Biogasudbytte!$A$2:$B$18,2,FALSE)*[1]Energiindhold!$C$10,0)*K191*IFERROR(VLOOKUP(A191,Biogasanlæg!$F$3:$G$8,2,FALSE),1)</f>
        <v>0</v>
      </c>
      <c r="U191" s="170">
        <f t="shared" si="55"/>
        <v>0</v>
      </c>
      <c r="V191" s="169">
        <f>P191*IFERROR(VLOOKUP(A191,[1]Tørstofindhold!A$2:B$24,2,FALSE),0)</f>
        <v>0</v>
      </c>
      <c r="W191">
        <f>IF(E191=År1,Q191,SUM(P191,Q191))*IFERROR(VLOOKUP(A191,[1]Tørstofindhold!A$2:B$24,2,FALSE),0)</f>
        <v>0</v>
      </c>
      <c r="X191">
        <f>K191*IFERROR(VLOOKUP(A191,[1]Tørstofindhold!A$2:B$24,2,FALSE),0)</f>
        <v>0</v>
      </c>
      <c r="Y191" s="170">
        <f t="shared" si="56"/>
        <v>0</v>
      </c>
      <c r="Z191">
        <f t="shared" si="47"/>
        <v>0</v>
      </c>
      <c r="AA191">
        <f t="shared" si="48"/>
        <v>1</v>
      </c>
      <c r="AB191" s="94">
        <f t="shared" si="49"/>
        <v>206750.71206041813</v>
      </c>
      <c r="AC191">
        <f>AB191*D191*10000*VLOOKUP(A191,[1]kcal!$A$2:$C$49,3,FALSE)/1000000000000</f>
        <v>0.40316388851781537</v>
      </c>
    </row>
    <row r="192" spans="1:29" x14ac:dyDescent="0.25">
      <c r="A192" s="171" t="s">
        <v>99</v>
      </c>
      <c r="B192" s="171" t="s">
        <v>226</v>
      </c>
      <c r="C192" s="171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71">
        <f t="shared" si="61"/>
        <v>1</v>
      </c>
      <c r="E192" s="171">
        <f t="shared" si="52"/>
        <v>2019</v>
      </c>
      <c r="F192" t="s">
        <v>24</v>
      </c>
      <c r="G192" s="94">
        <f>IF(F192="Vestdanmark",SUMIFS(IF(E192=År1,'Resultater - Vestdanmark'!H$3:H$504,IF(E192=År2,'Resultater - Vestdanmark'!I$3:I$504,'Resultater - Vestdanmark'!J$3:J$504)),'Resultater - Vestdanmark'!$F$3:$F$504,$A192,IF(E192=År1,'Resultater - Vestdanmark'!H$3:H$504,IF(E192=År2,'Resultater - Vestdanmark'!I$3:I$504,'Resultater - Vestdanmark'!J$3:J$504)),"&gt;0"),SUMIFS(IF(E192=År1,'Resultater - Østdanmark'!H$3:H$504,IF(E192=År2,'Resultater - Østdanmark'!I$3:I$504,'Resultater - Østdanmark'!J$3:J$504)),'Resultater - Østdanmark'!$F$3:$F$504,$A192,IF(E192=År1,'Resultater - Østdanmark'!H$3:H$504,IF(E192=År2,'Resultater - Østdanmark'!I$3:I$504,'Resultater - Østdanmark'!J$3:J$504)),"&gt;0"))</f>
        <v>0</v>
      </c>
      <c r="H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forbrug'!H$3,'Forbrug af biomasse'!$B$2:$B$425,$F192)</f>
        <v>0</v>
      </c>
      <c r="I192">
        <f>IF(F192="Vestdanmark",-IF(A192="Halm",SUMIFS(IF(E192=År1,'Resultater - Vestdanmark'!H$3:H$504,IF(E192=År2,'Resultater - Vestdanmark'!I$3:I$504,'Resultater - Vestdanmark'!J$3:J$504)),'Resultater - Vestdanmark'!$F$3:$F$504,$A192,'Resultater - Vestdanmark'!H$3:H$504,"&lt;0"),0),-IF(A192="Halm",SUMIFS(IF(E192=År1,'Resultater - Østdanmark'!H$3:H$504,IF(E192=År2,'Resultater - Østdanmark'!I$3:I$504,'Resultater - Østdanmark'!J$3:J$504)),'Resultater - Østdanmark'!$F$3:$F$504,$A192,'Resultater - Østdanmark'!H$3:H$504,"&lt;0"),0))</f>
        <v>0</v>
      </c>
      <c r="J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forbrug'!J$3,'Forbrug af biomasse'!$B$2:$B$425,$F192)</f>
        <v>0</v>
      </c>
      <c r="K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forbrug'!K$3,'Forbrug af biomasse'!$B$2:$B$425,$F192)</f>
        <v>0</v>
      </c>
      <c r="L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forbrug'!L$3,'Forbrug af biomasse'!$B$2:$B$425,$F192)</f>
        <v>0</v>
      </c>
      <c r="M192" s="94">
        <f>IF(A192&lt;&gt;"Biogas",SUMIFS('Forbrug af biomasse'!$E$2:$E$425,'Forbrug af biomasse'!$C$2:$C$425,'Resultat-Produktion &amp; forbrug'!$A192,'Forbrug af biomasse'!$D$2:$D$425,'Resultat-Produktion &amp; forbrug'!$E192,'Forbrug af biomasse'!$A$2:$A$425,'Resultat-Produktion &amp; forbrug'!M$3,'Forbrug af biomasse'!$B$2:$B$425,$F192),G192)</f>
        <v>0</v>
      </c>
      <c r="N192" s="94">
        <f>SUMIFS('Forbrug af biomasse'!E:E,'Forbrug af biomasse'!C:C,'Resultat-Produktion &amp; forbrug'!$A192,'Forbrug af biomasse'!D:D,'Resultat-Produktion &amp; forbrug'!$E192,'Forbrug af biomasse'!G:G,1,'Forbrug af biomasse'!B:B,$F192)</f>
        <v>0</v>
      </c>
      <c r="O192" s="179">
        <f t="shared" si="53"/>
        <v>0</v>
      </c>
      <c r="P192" s="94">
        <f t="shared" si="43"/>
        <v>0</v>
      </c>
      <c r="Q192" s="180">
        <f t="shared" si="54"/>
        <v>0</v>
      </c>
      <c r="R192">
        <f>IFERROR(VLOOKUP(A192,[1]Energiindhold!$A$2:$C$11,3,FALSE),IFERROR(VLOOKUP(A192,[1]Biogasudbytte!$A$2:$B$18,2,FALSE)*[1]Energiindhold!$C$10,0))*P192</f>
        <v>0</v>
      </c>
      <c r="S192">
        <f>IF(A192&lt;&gt;"Biogas",IFERROR(VLOOKUP(A192,[1]Biogasudbytte!$A$2:$B$18,2,FALSE)*[1]Energiindhold!$C$10,0)*K192*IFERROR(VLOOKUP(A192,Biogasanlæg!$F$3:$G$8,2,FALSE),1)+IFERROR(VLOOKUP(A192,[1]Energiindhold!$A$2:$C$11,3,FALSE),0)*M192+IF(E192&lt;&gt;År1,R192,0),0)</f>
        <v>0</v>
      </c>
      <c r="T192">
        <f>IFERROR(VLOOKUP(A192,[1]Biogasudbytte!$A$2:$B$18,2,FALSE)*[1]Energiindhold!$C$10,0)*K192*IFERROR(VLOOKUP(A192,Biogasanlæg!$F$3:$G$8,2,FALSE),1)</f>
        <v>0</v>
      </c>
      <c r="U192" s="170">
        <f t="shared" si="55"/>
        <v>0</v>
      </c>
      <c r="V192" s="169">
        <f>P192*IFERROR(VLOOKUP(A192,[1]Tørstofindhold!A$2:B$24,2,FALSE),0)</f>
        <v>0</v>
      </c>
      <c r="W192">
        <f>IF(E192=År1,Q192,SUM(P192,Q192))*IFERROR(VLOOKUP(A192,[1]Tørstofindhold!A$2:B$24,2,FALSE),0)</f>
        <v>0</v>
      </c>
      <c r="X192">
        <f>K192*IFERROR(VLOOKUP(A192,[1]Tørstofindhold!A$2:B$24,2,FALSE),0)</f>
        <v>0</v>
      </c>
      <c r="Y192" s="170">
        <f t="shared" si="56"/>
        <v>0</v>
      </c>
      <c r="Z192">
        <f t="shared" si="47"/>
        <v>0</v>
      </c>
      <c r="AA192">
        <f t="shared" si="48"/>
        <v>1</v>
      </c>
      <c r="AB192" s="94">
        <f t="shared" si="49"/>
        <v>0</v>
      </c>
      <c r="AC192">
        <f>AB192*D192*10000*VLOOKUP(A192,[1]kcal!$A$2:$C$49,3,FALSE)/1000000000000</f>
        <v>0</v>
      </c>
    </row>
    <row r="193" spans="1:29" x14ac:dyDescent="0.25">
      <c r="A193" s="171" t="s">
        <v>104</v>
      </c>
      <c r="B193" s="171"/>
      <c r="C193" s="171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71">
        <f t="shared" si="61"/>
        <v>0</v>
      </c>
      <c r="E193" s="171">
        <f t="shared" si="52"/>
        <v>2019</v>
      </c>
      <c r="F193" t="s">
        <v>24</v>
      </c>
      <c r="G193" s="94">
        <f>IF(F193="Vestdanmark",SUMIFS(IF(E193=År1,'Resultater - Vestdanmark'!H$3:H$504,IF(E193=År2,'Resultater - Vestdanmark'!I$3:I$504,'Resultater - Vestdanmark'!J$3:J$504)),'Resultater - Vestdanmark'!$F$3:$F$504,$A193,IF(E193=År1,'Resultater - Vestdanmark'!H$3:H$504,IF(E193=År2,'Resultater - Vestdanmark'!I$3:I$504,'Resultater - Vestdanmark'!J$3:J$504)),"&gt;0"),SUMIFS(IF(E193=År1,'Resultater - Østdanmark'!H$3:H$504,IF(E193=År2,'Resultater - Østdanmark'!I$3:I$504,'Resultater - Østdanmark'!J$3:J$504)),'Resultater - Østdanmark'!$F$3:$F$504,$A193,IF(E193=År1,'Resultater - Østdanmark'!H$3:H$504,IF(E193=År2,'Resultater - Østdanmark'!I$3:I$504,'Resultater - Østdanmark'!J$3:J$504)),"&gt;0"))</f>
        <v>0</v>
      </c>
      <c r="H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forbrug'!H$3,'Forbrug af biomasse'!$B$2:$B$425,$F193)</f>
        <v>0</v>
      </c>
      <c r="I193">
        <f>IF(F193="Vestdanmark",-IF(A193="Halm",SUMIFS(IF(E193=År1,'Resultater - Vestdanmark'!H$3:H$504,IF(E193=År2,'Resultater - Vestdanmark'!I$3:I$504,'Resultater - Vestdanmark'!J$3:J$504)),'Resultater - Vestdanmark'!$F$3:$F$504,$A193,'Resultater - Vestdanmark'!H$3:H$504,"&lt;0"),0),-IF(A193="Halm",SUMIFS(IF(E193=År1,'Resultater - Østdanmark'!H$3:H$504,IF(E193=År2,'Resultater - Østdanmark'!I$3:I$504,'Resultater - Østdanmark'!J$3:J$504)),'Resultater - Østdanmark'!$F$3:$F$504,$A193,'Resultater - Østdanmark'!H$3:H$504,"&lt;0"),0))</f>
        <v>0</v>
      </c>
      <c r="J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forbrug'!J$3,'Forbrug af biomasse'!$B$2:$B$425,$F193)</f>
        <v>0</v>
      </c>
      <c r="K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forbrug'!K$3,'Forbrug af biomasse'!$B$2:$B$425,$F193)</f>
        <v>0</v>
      </c>
      <c r="L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forbrug'!L$3,'Forbrug af biomasse'!$B$2:$B$425,$F193)</f>
        <v>0</v>
      </c>
      <c r="M193" s="94">
        <f>IF(A193&lt;&gt;"Biogas",SUMIFS('Forbrug af biomasse'!$E$2:$E$425,'Forbrug af biomasse'!$C$2:$C$425,'Resultat-Produktion &amp; forbrug'!$A193,'Forbrug af biomasse'!$D$2:$D$425,'Resultat-Produktion &amp; forbrug'!$E193,'Forbrug af biomasse'!$A$2:$A$425,'Resultat-Produktion &amp; forbrug'!M$3,'Forbrug af biomasse'!$B$2:$B$425,$F193),G193)</f>
        <v>0</v>
      </c>
      <c r="N193" s="94">
        <f>SUMIFS('Forbrug af biomasse'!E:E,'Forbrug af biomasse'!C:C,'Resultat-Produktion &amp; forbrug'!$A193,'Forbrug af biomasse'!D:D,'Resultat-Produktion &amp; forbrug'!$E193,'Forbrug af biomasse'!G:G,1,'Forbrug af biomasse'!B:B,$F193)</f>
        <v>0</v>
      </c>
      <c r="O193" s="179">
        <f t="shared" si="53"/>
        <v>0</v>
      </c>
      <c r="P193" s="94">
        <f t="shared" si="43"/>
        <v>0</v>
      </c>
      <c r="Q193" s="180">
        <f t="shared" si="54"/>
        <v>0</v>
      </c>
      <c r="R193">
        <f>IFERROR(VLOOKUP(A193,[1]Energiindhold!$A$2:$C$11,3,FALSE),IFERROR(VLOOKUP(A193,[1]Biogasudbytte!$A$2:$B$18,2,FALSE)*[1]Energiindhold!$C$10,0))*P193</f>
        <v>0</v>
      </c>
      <c r="S193">
        <f>IF(A193&lt;&gt;"Biogas",IFERROR(VLOOKUP(A193,[1]Biogasudbytte!$A$2:$B$18,2,FALSE)*[1]Energiindhold!$C$10,0)*K193*IFERROR(VLOOKUP(A193,Biogasanlæg!$F$3:$G$8,2,FALSE),1)+IFERROR(VLOOKUP(A193,[1]Energiindhold!$A$2:$C$11,3,FALSE),0)*M193+IF(E193&lt;&gt;År1,R193,0),0)</f>
        <v>0</v>
      </c>
      <c r="T193">
        <f>IFERROR(VLOOKUP(A193,[1]Biogasudbytte!$A$2:$B$18,2,FALSE)*[1]Energiindhold!$C$10,0)*K193*IFERROR(VLOOKUP(A193,Biogasanlæg!$F$3:$G$8,2,FALSE),1)</f>
        <v>0</v>
      </c>
      <c r="U193" s="170">
        <f t="shared" si="55"/>
        <v>0</v>
      </c>
      <c r="V193" s="169">
        <f>P193*IFERROR(VLOOKUP(A193,[1]Tørstofindhold!A$2:B$24,2,FALSE),0)</f>
        <v>0</v>
      </c>
      <c r="W193">
        <f>IF(E193=År1,Q193,SUM(P193,Q193))*IFERROR(VLOOKUP(A193,[1]Tørstofindhold!A$2:B$24,2,FALSE),0)</f>
        <v>0</v>
      </c>
      <c r="X193">
        <f>K193*IFERROR(VLOOKUP(A193,[1]Tørstofindhold!A$2:B$24,2,FALSE),0)</f>
        <v>0</v>
      </c>
      <c r="Y193" s="170">
        <f t="shared" si="56"/>
        <v>0</v>
      </c>
      <c r="Z193">
        <f t="shared" si="47"/>
        <v>0</v>
      </c>
      <c r="AA193">
        <f t="shared" si="48"/>
        <v>0</v>
      </c>
      <c r="AB193" s="94">
        <f t="shared" si="49"/>
        <v>0</v>
      </c>
      <c r="AC193">
        <f>AB193*D193*10000*VLOOKUP(A193,[1]kcal!$A$2:$C$49,3,FALSE)/1000000000000</f>
        <v>0</v>
      </c>
    </row>
    <row r="194" spans="1:29" x14ac:dyDescent="0.25">
      <c r="A194" s="171" t="s">
        <v>119</v>
      </c>
      <c r="B194" s="171" t="s">
        <v>225</v>
      </c>
      <c r="C194" s="171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1</v>
      </c>
      <c r="D194" s="171">
        <f t="shared" si="61"/>
        <v>0</v>
      </c>
      <c r="E194" s="171">
        <f t="shared" si="52"/>
        <v>2019</v>
      </c>
      <c r="F194" t="s">
        <v>24</v>
      </c>
      <c r="G194" s="94">
        <f ca="1">IF(F194="Vestdanmark",SUMIFS(IF(E194=År1,'Resultater - Vestdanmark'!H$3:H$504,IF(E194=År2,'Resultater - Vestdanmark'!I$3:I$504,'Resultater - Vestdanmark'!J$3:J$504)),'Resultater - Vestdanmark'!$F$3:$F$504,$A194,IF(E194=År1,'Resultater - Vestdanmark'!H$3:H$504,IF(E194=År2,'Resultater - Vestdanmark'!I$3:I$504,'Resultater - Vestdanmark'!J$3:J$504)),"&gt;0"),SUMIFS(IF(E194=År1,'Resultater - Østdanmark'!H$3:H$504,IF(E194=År2,'Resultater - Østdanmark'!I$3:I$504,'Resultater - Østdanmark'!J$3:J$504)),'Resultater - Østdanmark'!$F$3:$F$504,$A194,IF(E194=År1,'Resultater - Østdanmark'!H$3:H$504,IF(E194=År2,'Resultater - Østdanmark'!I$3:I$504,'Resultater - Østdanmark'!J$3:J$504)),"&gt;0"))</f>
        <v>681614.98381741357</v>
      </c>
      <c r="H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forbrug'!H$3,'Forbrug af biomasse'!$B$2:$B$425,$F194)</f>
        <v>0</v>
      </c>
      <c r="I194">
        <f>IF(F194="Vestdanmark",-IF(A194="Halm",SUMIFS(IF(E194=År1,'Resultater - Vestdanmark'!H$3:H$504,IF(E194=År2,'Resultater - Vestdanmark'!I$3:I$504,'Resultater - Vestdanmark'!J$3:J$504)),'Resultater - Vestdanmark'!$F$3:$F$504,$A194,'Resultater - Vestdanmark'!H$3:H$504,"&lt;0"),0),-IF(A194="Halm",SUMIFS(IF(E194=År1,'Resultater - Østdanmark'!H$3:H$504,IF(E194=År2,'Resultater - Østdanmark'!I$3:I$504,'Resultater - Østdanmark'!J$3:J$504)),'Resultater - Østdanmark'!$F$3:$F$504,$A194,'Resultater - Østdanmark'!H$3:H$504,"&lt;0"),0))</f>
        <v>0</v>
      </c>
      <c r="J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forbrug'!J$3,'Forbrug af biomasse'!$B$2:$B$425,$F194)</f>
        <v>0</v>
      </c>
      <c r="K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forbrug'!K$3,'Forbrug af biomasse'!$B$2:$B$425,$F194)</f>
        <v>0</v>
      </c>
      <c r="L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forbrug'!L$3,'Forbrug af biomasse'!$B$2:$B$425,$F194)</f>
        <v>0</v>
      </c>
      <c r="M194" s="94">
        <f ca="1">IF(A194&lt;&gt;"Biogas",SUMIFS('Forbrug af biomasse'!$E$2:$E$425,'Forbrug af biomasse'!$C$2:$C$425,'Resultat-Produktion &amp; forbrug'!$A194,'Forbrug af biomasse'!$D$2:$D$425,'Resultat-Produktion &amp; forbrug'!$E194,'Forbrug af biomasse'!$A$2:$A$425,'Resultat-Produktion &amp; forbrug'!M$3,'Forbrug af biomasse'!$B$2:$B$425,$F194),G194)</f>
        <v>681614.98381741357</v>
      </c>
      <c r="N194" s="94">
        <f>SUMIFS('Forbrug af biomasse'!E:E,'Forbrug af biomasse'!C:C,'Resultat-Produktion &amp; forbrug'!$A194,'Forbrug af biomasse'!D:D,'Resultat-Produktion &amp; forbrug'!$E194,'Forbrug af biomasse'!G:G,1,'Forbrug af biomasse'!B:B,$F194)</f>
        <v>0</v>
      </c>
      <c r="O194" s="179">
        <f t="shared" ca="1" si="53"/>
        <v>0</v>
      </c>
      <c r="P194" s="94">
        <f t="shared" ca="1" si="43"/>
        <v>0</v>
      </c>
      <c r="Q194" s="180">
        <f t="shared" ca="1" si="54"/>
        <v>681614.98381741357</v>
      </c>
      <c r="R194">
        <f ca="1">IFERROR(VLOOKUP(A194,[1]Energiindhold!$A$2:$C$11,3,FALSE),IFERROR(VLOOKUP(A194,[1]Biogasudbytte!$A$2:$B$18,2,FALSE)*[1]Energiindhold!$C$10,0))*P194</f>
        <v>0</v>
      </c>
      <c r="S194">
        <f ca="1">IF(A194&lt;&gt;"Biogas",IFERROR(VLOOKUP(A194,[1]Biogasudbytte!$A$2:$B$18,2,FALSE)*[1]Energiindhold!$C$10,0)*K194*IFERROR(VLOOKUP(A194,Biogasanlæg!$F$3:$G$8,2,FALSE),1)+IFERROR(VLOOKUP(A194,[1]Energiindhold!$A$2:$C$11,3,FALSE),0)*M194+IF(E194&lt;&gt;År1,R194,0),0)</f>
        <v>9.8790337317585379</v>
      </c>
      <c r="T194">
        <f>IFERROR(VLOOKUP(A194,[1]Biogasudbytte!$A$2:$B$18,2,FALSE)*[1]Energiindhold!$C$10,0)*K194*IFERROR(VLOOKUP(A194,Biogasanlæg!$F$3:$G$8,2,FALSE),1)</f>
        <v>0</v>
      </c>
      <c r="U194" s="170">
        <f t="shared" ca="1" si="55"/>
        <v>9.8790337317585379</v>
      </c>
      <c r="V194" s="169">
        <f ca="1">P194*IFERROR(VLOOKUP(A194,[1]Tørstofindhold!A$2:B$24,2,FALSE),0)</f>
        <v>0</v>
      </c>
      <c r="W194">
        <f ca="1">IF(E194=År1,Q194,SUM(P194,Q194))*IFERROR(VLOOKUP(A194,[1]Tørstofindhold!A$2:B$24,2,FALSE),0)</f>
        <v>337115.41074636247</v>
      </c>
      <c r="X194">
        <f>K194*IFERROR(VLOOKUP(A194,[1]Tørstofindhold!A$2:B$24,2,FALSE),0)</f>
        <v>0</v>
      </c>
      <c r="Y194" s="170">
        <f t="shared" ca="1" si="56"/>
        <v>337115.41074636247</v>
      </c>
      <c r="Z194">
        <f t="shared" ca="1" si="47"/>
        <v>0</v>
      </c>
      <c r="AA194">
        <f t="shared" ca="1" si="48"/>
        <v>0</v>
      </c>
      <c r="AB194" s="94">
        <f t="shared" ca="1" si="49"/>
        <v>681614.98381741357</v>
      </c>
      <c r="AC194">
        <f ca="1">AB194*D194*10000*VLOOKUP(A194,[1]kcal!$A$2:$C$49,3,FALSE)/1000000000000</f>
        <v>0</v>
      </c>
    </row>
    <row r="195" spans="1:29" x14ac:dyDescent="0.25">
      <c r="A195" s="171" t="s">
        <v>118</v>
      </c>
      <c r="B195" s="171"/>
      <c r="C195" s="171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71">
        <f t="shared" si="61"/>
        <v>0</v>
      </c>
      <c r="E195" s="171">
        <f t="shared" si="52"/>
        <v>2019</v>
      </c>
      <c r="F195" t="s">
        <v>24</v>
      </c>
      <c r="G195" s="94">
        <f ca="1">IF(F195="Vestdanmark",SUMIFS(IF(E195=År1,'Resultater - Vestdanmark'!H$3:H$504,IF(E195=År2,'Resultater - Vestdanmark'!I$3:I$504,'Resultater - Vestdanmark'!J$3:J$504)),'Resultater - Vestdanmark'!$F$3:$F$504,$A195,IF(E195=År1,'Resultater - Vestdanmark'!H$3:H$504,IF(E195=År2,'Resultater - Vestdanmark'!I$3:I$504,'Resultater - Vestdanmark'!J$3:J$504)),"&gt;0"),SUMIFS(IF(E195=År1,'Resultater - Østdanmark'!H$3:H$504,IF(E195=År2,'Resultater - Østdanmark'!I$3:I$504,'Resultater - Østdanmark'!J$3:J$504)),'Resultater - Østdanmark'!$F$3:$F$504,$A195,IF(E195=År1,'Resultater - Østdanmark'!H$3:H$504,IF(E195=År2,'Resultater - Østdanmark'!I$3:I$504,'Resultater - Østdanmark'!J$3:J$504)),"&gt;0"))</f>
        <v>187416.40966897184</v>
      </c>
      <c r="H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forbrug'!H$3,'Forbrug af biomasse'!$B$2:$B$425,$F195)</f>
        <v>0</v>
      </c>
      <c r="I195">
        <f>IF(F195="Vestdanmark",-IF(A195="Halm",SUMIFS(IF(E195=År1,'Resultater - Vestdanmark'!H$3:H$504,IF(E195=År2,'Resultater - Vestdanmark'!I$3:I$504,'Resultater - Vestdanmark'!J$3:J$504)),'Resultater - Vestdanmark'!$F$3:$F$504,$A195,'Resultater - Vestdanmark'!H$3:H$504,"&lt;0"),0),-IF(A195="Halm",SUMIFS(IF(E195=År1,'Resultater - Østdanmark'!H$3:H$504,IF(E195=År2,'Resultater - Østdanmark'!I$3:I$504,'Resultater - Østdanmark'!J$3:J$504)),'Resultater - Østdanmark'!$F$3:$F$504,$A195,'Resultater - Østdanmark'!H$3:H$504,"&lt;0"),0))</f>
        <v>0</v>
      </c>
      <c r="J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forbrug'!J$3,'Forbrug af biomasse'!$B$2:$B$425,$F195)</f>
        <v>0</v>
      </c>
      <c r="K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forbrug'!K$3,'Forbrug af biomasse'!$B$2:$B$425,$F195)</f>
        <v>0</v>
      </c>
      <c r="L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forbrug'!L$3,'Forbrug af biomasse'!$B$2:$B$425,$F195)</f>
        <v>0</v>
      </c>
      <c r="M195" s="94">
        <f>IF(A195&lt;&gt;"Biogas",SUMIFS('Forbrug af biomasse'!$E$2:$E$425,'Forbrug af biomasse'!$C$2:$C$425,'Resultat-Produktion &amp; forbrug'!$A195,'Forbrug af biomasse'!$D$2:$D$425,'Resultat-Produktion &amp; forbrug'!$E195,'Forbrug af biomasse'!$A$2:$A$425,'Resultat-Produktion &amp; forbrug'!M$3,'Forbrug af biomasse'!$B$2:$B$425,$F195),G195)</f>
        <v>0</v>
      </c>
      <c r="N195" s="94">
        <f ca="1">SUMIFS('Forbrug af biomasse'!E:E,'Forbrug af biomasse'!C:C,'Resultat-Produktion &amp; forbrug'!$A195,'Forbrug af biomasse'!D:D,'Resultat-Produktion &amp; forbrug'!$E195,'Forbrug af biomasse'!G:G,1,'Forbrug af biomasse'!B:B,$F195)</f>
        <v>187416.40966897184</v>
      </c>
      <c r="O195" s="179">
        <f t="shared" ca="1" si="53"/>
        <v>0</v>
      </c>
      <c r="P195" s="94">
        <f t="shared" si="43"/>
        <v>0</v>
      </c>
      <c r="Q195" s="180">
        <f t="shared" si="54"/>
        <v>0</v>
      </c>
      <c r="R195">
        <f>IFERROR(VLOOKUP(A195,[1]Energiindhold!$A$2:$C$11,3,FALSE),IFERROR(VLOOKUP(A195,[1]Biogasudbytte!$A$2:$B$18,2,FALSE)*[1]Energiindhold!$C$10,0))*P195</f>
        <v>0</v>
      </c>
      <c r="S195">
        <f>IF(A195&lt;&gt;"Biogas",IFERROR(VLOOKUP(A195,[1]Biogasudbytte!$A$2:$B$18,2,FALSE)*[1]Energiindhold!$C$10,0)*K195*IFERROR(VLOOKUP(A195,Biogasanlæg!$F$3:$G$8,2,FALSE),1)+IFERROR(VLOOKUP(A195,[1]Energiindhold!$A$2:$C$11,3,FALSE),0)*M195+IF(E195&lt;&gt;År1,R195,0),0)</f>
        <v>0</v>
      </c>
      <c r="T195">
        <f>IFERROR(VLOOKUP(A195,[1]Biogasudbytte!$A$2:$B$18,2,FALSE)*[1]Energiindhold!$C$10,0)*K195*IFERROR(VLOOKUP(A195,Biogasanlæg!$F$3:$G$8,2,FALSE),1)</f>
        <v>0</v>
      </c>
      <c r="U195" s="170">
        <f t="shared" si="55"/>
        <v>0</v>
      </c>
      <c r="V195" s="169">
        <f>P195*IFERROR(VLOOKUP(A195,[1]Tørstofindhold!A$2:B$24,2,FALSE),0)</f>
        <v>0</v>
      </c>
      <c r="W195">
        <f>IF(E195=År1,Q195,SUM(P195,Q195))*IFERROR(VLOOKUP(A195,[1]Tørstofindhold!A$2:B$24,2,FALSE),0)</f>
        <v>0</v>
      </c>
      <c r="X195">
        <f>K195*IFERROR(VLOOKUP(A195,[1]Tørstofindhold!A$2:B$24,2,FALSE),0)</f>
        <v>0</v>
      </c>
      <c r="Y195" s="170">
        <f t="shared" si="56"/>
        <v>0</v>
      </c>
      <c r="Z195">
        <f t="shared" ca="1" si="47"/>
        <v>0</v>
      </c>
      <c r="AA195">
        <f t="shared" ca="1" si="48"/>
        <v>0</v>
      </c>
      <c r="AB195" s="94">
        <f t="shared" ca="1" si="49"/>
        <v>187416.40966897184</v>
      </c>
      <c r="AC195">
        <f ca="1">AB195*D195*10000*VLOOKUP(A195,[1]kcal!$A$2:$C$49,3,FALSE)/1000000000000</f>
        <v>0</v>
      </c>
    </row>
    <row r="196" spans="1:29" x14ac:dyDescent="0.25">
      <c r="A196" s="171" t="str">
        <f t="shared" ref="A196:A227" si="62">A148</f>
        <v>Æg</v>
      </c>
      <c r="B196" s="171" t="str">
        <f t="shared" ref="B196:B227" si="63">IF(B148&lt;&gt;"",B148,"")</f>
        <v/>
      </c>
      <c r="C196" s="171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71">
        <f t="shared" si="61"/>
        <v>1</v>
      </c>
      <c r="E196" s="171">
        <f t="shared" ref="E196:E243" si="64">År2</f>
        <v>2030</v>
      </c>
      <c r="F196" t="s">
        <v>24</v>
      </c>
      <c r="G196" s="94">
        <f>IF(F196="Vestdanmark",SUMIFS(IF(E196=År1,'Resultater - Vestdanmark'!H$3:H$504,IF(E196=År2,'Resultater - Vestdanmark'!I$3:I$504,'Resultater - Vestdanmark'!J$3:J$504)),'Resultater - Vestdanmark'!$F$3:$F$504,$A196,IF(E196=År1,'Resultater - Vestdanmark'!H$3:H$504,IF(E196=År2,'Resultater - Vestdanmark'!I$3:I$504,'Resultater - Vestdanmark'!J$3:J$504)),"&gt;0"),SUMIFS(IF(E196=År1,'Resultater - Østdanmark'!H$3:H$504,IF(E196=År2,'Resultater - Østdanmark'!I$3:I$504,'Resultater - Østdanmark'!J$3:J$504)),'Resultater - Østdanmark'!$F$3:$F$504,$A196,IF(E196=År1,'Resultater - Østdanmark'!H$3:H$504,IF(E196=År2,'Resultater - Østdanmark'!I$3:I$504,'Resultater - Østdanmark'!J$3:J$504)),"&gt;0"))</f>
        <v>11522.620478108267</v>
      </c>
      <c r="H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forbrug'!H$3,'Forbrug af biomasse'!$B$2:$B$425,$F196)</f>
        <v>0</v>
      </c>
      <c r="I196">
        <f>IF(F196="Vestdanmark",-IF(A196="Halm",SUMIFS(IF(E196=År1,'Resultater - Vestdanmark'!H$3:H$504,IF(E196=År2,'Resultater - Vestdanmark'!I$3:I$504,'Resultater - Vestdanmark'!J$3:J$504)),'Resultater - Vestdanmark'!$F$3:$F$504,$A196,'Resultater - Vestdanmark'!H$3:H$504,"&lt;0"),0),-IF(A196="Halm",SUMIFS(IF(E196=År1,'Resultater - Østdanmark'!H$3:H$504,IF(E196=År2,'Resultater - Østdanmark'!I$3:I$504,'Resultater - Østdanmark'!J$3:J$504)),'Resultater - Østdanmark'!$F$3:$F$504,$A196,'Resultater - Østdanmark'!H$3:H$504,"&lt;0"),0))</f>
        <v>0</v>
      </c>
      <c r="J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forbrug'!J$3,'Forbrug af biomasse'!$B$2:$B$425,$F196)</f>
        <v>28209.340124628539</v>
      </c>
      <c r="K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forbrug'!K$3,'Forbrug af biomasse'!$B$2:$B$425,$F196)</f>
        <v>0</v>
      </c>
      <c r="L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forbrug'!L$3,'Forbrug af biomasse'!$B$2:$B$425,$F196)</f>
        <v>0</v>
      </c>
      <c r="M196" s="94">
        <f>IF(A196&lt;&gt;"Biogas",SUMIFS('Forbrug af biomasse'!$E$2:$E$425,'Forbrug af biomasse'!$C$2:$C$425,'Resultat-Produktion &amp; forbrug'!$A196,'Forbrug af biomasse'!$D$2:$D$425,'Resultat-Produktion &amp; forbrug'!$E196,'Forbrug af biomasse'!$A$2:$A$425,'Resultat-Produktion &amp; forbrug'!M$3,'Forbrug af biomasse'!$B$2:$B$425,$F196),G196)</f>
        <v>0</v>
      </c>
      <c r="N196" s="94">
        <f>SUMIFS('Forbrug af biomasse'!E:E,'Forbrug af biomasse'!C:C,'Resultat-Produktion &amp; forbrug'!$A196,'Forbrug af biomasse'!D:D,'Resultat-Produktion &amp; forbrug'!$E196,'Forbrug af biomasse'!G:G,1,'Forbrug af biomasse'!B:B,$F196)</f>
        <v>0</v>
      </c>
      <c r="O196" s="179">
        <f t="shared" si="53"/>
        <v>-16686.719646520272</v>
      </c>
      <c r="P196" s="94">
        <f t="shared" ref="P196:P259" si="65">IF(C196=1,IF(O196+IF(SUMIFS($O$4:$O$291,$A$4:$A$291,A196,$E$4:$E$291,E196,$F$4:$F$291,"&lt;&gt;"&amp;F196)&lt;0,SUMIFS($O$4:$O$291,$A$4:$A$291,A196,$E$4:$E$291,E196,$F$4:$F$291,"&lt;&gt;"&amp;F196),0)&gt;0,O196+IF(SUMIFS($O$4:$O$291,$A$4:$A$291,A196,$E$4:$E$291,E196,$F$4:$F$291,"&lt;&gt;"&amp;F196)&lt;0,SUMIFS($O$4:$O$291,$A$4:$A$291,A196,$E$4:$E$291,E196,$F$4:$F$291,"&lt;&gt;"&amp;F196),0),0),0)</f>
        <v>0</v>
      </c>
      <c r="Q196" s="180">
        <f t="shared" si="54"/>
        <v>0</v>
      </c>
      <c r="R196">
        <f>IFERROR(VLOOKUP(A196,[1]Energiindhold!$A$2:$C$11,3,FALSE),IFERROR(VLOOKUP(A196,[1]Biogasudbytte!$A$2:$B$18,2,FALSE)*[1]Energiindhold!$C$10,0))*P196</f>
        <v>0</v>
      </c>
      <c r="S196">
        <f>IF(A196&lt;&gt;"Biogas",IFERROR(VLOOKUP(A196,[1]Biogasudbytte!$A$2:$B$18,2,FALSE)*[1]Energiindhold!$C$10,0)*K196*IFERROR(VLOOKUP(A196,Biogasanlæg!$F$3:$G$8,2,FALSE),1)+IFERROR(VLOOKUP(A196,[1]Energiindhold!$A$2:$C$11,3,FALSE),0)*M196+IF(E196&lt;&gt;År1,R196,0),0)</f>
        <v>0</v>
      </c>
      <c r="T196">
        <f>IFERROR(VLOOKUP(A196,[1]Biogasudbytte!$A$2:$B$18,2,FALSE)*[1]Energiindhold!$C$10,0)*K196*IFERROR(VLOOKUP(A196,Biogasanlæg!$F$3:$G$8,2,FALSE),1)</f>
        <v>0</v>
      </c>
      <c r="U196" s="170">
        <f t="shared" si="55"/>
        <v>0</v>
      </c>
      <c r="V196" s="169">
        <f>P196*IFERROR(VLOOKUP(A196,[1]Tørstofindhold!A$2:B$24,2,FALSE),0)</f>
        <v>0</v>
      </c>
      <c r="W196">
        <f>IF(E196=År1,Q196,SUM(P196,Q196))*IFERROR(VLOOKUP(A196,[1]Tørstofindhold!A$2:B$24,2,FALSE),0)</f>
        <v>0</v>
      </c>
      <c r="X196">
        <f>K196*IFERROR(VLOOKUP(A196,[1]Tørstofindhold!A$2:B$24,2,FALSE),0)</f>
        <v>0</v>
      </c>
      <c r="Y196" s="170">
        <f t="shared" si="56"/>
        <v>0</v>
      </c>
      <c r="Z196">
        <f t="shared" ref="Z196:Z259" si="66">IF(SUMIFS($O$4:$O$291,$A$4:$A$291,A196,$E$4:$E$291,E196)&lt;0,1,0)</f>
        <v>0</v>
      </c>
      <c r="AA196">
        <f t="shared" ref="AA196:AA259" si="67">IF(SUMIFS($O$4:$O$291,$A$4:$A$291,A196,$E$4:$E$291,E196)&gt;0,1,0)</f>
        <v>1</v>
      </c>
      <c r="AB196" s="94">
        <f t="shared" si="49"/>
        <v>11522.620478108267</v>
      </c>
      <c r="AC196">
        <f>AB196*D196*10000*VLOOKUP(A196,[1]kcal!$A$2:$C$49,3,FALSE)/1000000000000</f>
        <v>1.5901216259789408E-2</v>
      </c>
    </row>
    <row r="197" spans="1:29" x14ac:dyDescent="0.25">
      <c r="A197" s="171" t="str">
        <f t="shared" si="62"/>
        <v>Bælgsæd</v>
      </c>
      <c r="B197" s="171" t="str">
        <f t="shared" si="63"/>
        <v/>
      </c>
      <c r="C197" s="171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0</v>
      </c>
      <c r="D197" s="171">
        <f t="shared" si="61"/>
        <v>1</v>
      </c>
      <c r="E197" s="171">
        <f t="shared" si="64"/>
        <v>2030</v>
      </c>
      <c r="F197" t="s">
        <v>24</v>
      </c>
      <c r="G197" s="94">
        <f>IF(F197="Vestdanmark",SUMIFS(IF(E197=År1,'Resultater - Vestdanmark'!H$3:H$504,IF(E197=År2,'Resultater - Vestdanmark'!I$3:I$504,'Resultater - Vestdanmark'!J$3:J$504)),'Resultater - Vestdanmark'!$F$3:$F$504,$A197,IF(E197=År1,'Resultater - Vestdanmark'!H$3:H$504,IF(E197=År2,'Resultater - Vestdanmark'!I$3:I$504,'Resultater - Vestdanmark'!J$3:J$504)),"&gt;0"),SUMIFS(IF(E197=År1,'Resultater - Østdanmark'!H$3:H$504,IF(E197=År2,'Resultater - Østdanmark'!I$3:I$504,'Resultater - Østdanmark'!J$3:J$504)),'Resultater - Østdanmark'!$F$3:$F$504,$A197,IF(E197=År1,'Resultater - Østdanmark'!H$3:H$504,IF(E197=År2,'Resultater - Østdanmark'!I$3:I$504,'Resultater - Østdanmark'!J$3:J$504)),"&gt;0"))</f>
        <v>239056.41929509072</v>
      </c>
      <c r="H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forbrug'!H$3,'Forbrug af biomasse'!$B$2:$B$425,$F197)</f>
        <v>5329.6233117734955</v>
      </c>
      <c r="I197">
        <f>IF(F197="Vestdanmark",-IF(A197="Halm",SUMIFS(IF(E197=År1,'Resultater - Vestdanmark'!H$3:H$504,IF(E197=År2,'Resultater - Vestdanmark'!I$3:I$504,'Resultater - Vestdanmark'!J$3:J$504)),'Resultater - Vestdanmark'!$F$3:$F$504,$A197,'Resultater - Vestdanmark'!H$3:H$504,"&lt;0"),0),-IF(A197="Halm",SUMIFS(IF(E197=År1,'Resultater - Østdanmark'!H$3:H$504,IF(E197=År2,'Resultater - Østdanmark'!I$3:I$504,'Resultater - Østdanmark'!J$3:J$504)),'Resultater - Østdanmark'!$F$3:$F$504,$A197,'Resultater - Østdanmark'!H$3:H$504,"&lt;0"),0))</f>
        <v>0</v>
      </c>
      <c r="J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forbrug'!J$3,'Forbrug af biomasse'!$B$2:$B$425,$F197)</f>
        <v>0</v>
      </c>
      <c r="K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forbrug'!K$3,'Forbrug af biomasse'!$B$2:$B$425,$F197)</f>
        <v>0</v>
      </c>
      <c r="L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forbrug'!L$3,'Forbrug af biomasse'!$B$2:$B$425,$F197)</f>
        <v>0</v>
      </c>
      <c r="M197" s="94">
        <f>IF(A197&lt;&gt;"Biogas",SUMIFS('Forbrug af biomasse'!$E$2:$E$425,'Forbrug af biomasse'!$C$2:$C$425,'Resultat-Produktion &amp; forbrug'!$A197,'Forbrug af biomasse'!$D$2:$D$425,'Resultat-Produktion &amp; forbrug'!$E197,'Forbrug af biomasse'!$A$2:$A$425,'Resultat-Produktion &amp; forbrug'!M$3,'Forbrug af biomasse'!$B$2:$B$425,$F197),G197)</f>
        <v>0</v>
      </c>
      <c r="N197" s="94">
        <f>SUMIFS('Forbrug af biomasse'!E:E,'Forbrug af biomasse'!C:C,'Resultat-Produktion &amp; forbrug'!$A197,'Forbrug af biomasse'!D:D,'Resultat-Produktion &amp; forbrug'!$E197,'Forbrug af biomasse'!G:G,1,'Forbrug af biomasse'!B:B,$F197)</f>
        <v>0</v>
      </c>
      <c r="O197" s="179">
        <f t="shared" si="53"/>
        <v>233726.79598331722</v>
      </c>
      <c r="P197" s="94">
        <f t="shared" si="65"/>
        <v>0</v>
      </c>
      <c r="Q197" s="180">
        <f t="shared" si="54"/>
        <v>0</v>
      </c>
      <c r="R197">
        <f>IFERROR(VLOOKUP(A197,[1]Energiindhold!$A$2:$C$11,3,FALSE),IFERROR(VLOOKUP(A197,[1]Biogasudbytte!$A$2:$B$18,2,FALSE)*[1]Energiindhold!$C$10,0))*P197</f>
        <v>0</v>
      </c>
      <c r="S197">
        <f>IF(A197&lt;&gt;"Biogas",IFERROR(VLOOKUP(A197,[1]Biogasudbytte!$A$2:$B$18,2,FALSE)*[1]Energiindhold!$C$10,0)*K197*IFERROR(VLOOKUP(A197,Biogasanlæg!$F$3:$G$8,2,FALSE),1)+IFERROR(VLOOKUP(A197,[1]Energiindhold!$A$2:$C$11,3,FALSE),0)*M197+IF(E197&lt;&gt;År1,R197,0),0)</f>
        <v>0</v>
      </c>
      <c r="T197">
        <f>IFERROR(VLOOKUP(A197,[1]Biogasudbytte!$A$2:$B$18,2,FALSE)*[1]Energiindhold!$C$10,0)*K197*IFERROR(VLOOKUP(A197,Biogasanlæg!$F$3:$G$8,2,FALSE),1)</f>
        <v>0</v>
      </c>
      <c r="U197" s="170">
        <f t="shared" si="55"/>
        <v>0</v>
      </c>
      <c r="V197" s="169">
        <f>P197*IFERROR(VLOOKUP(A197,[1]Tørstofindhold!A$2:B$24,2,FALSE),0)</f>
        <v>0</v>
      </c>
      <c r="W197">
        <f>IF(E197=År1,Q197,SUM(P197,Q197))*IFERROR(VLOOKUP(A197,[1]Tørstofindhold!A$2:B$24,2,FALSE),0)</f>
        <v>0</v>
      </c>
      <c r="X197">
        <f>K197*IFERROR(VLOOKUP(A197,[1]Tørstofindhold!A$2:B$24,2,FALSE),0)</f>
        <v>0</v>
      </c>
      <c r="Y197" s="170">
        <f t="shared" si="56"/>
        <v>0</v>
      </c>
      <c r="Z197">
        <f t="shared" si="66"/>
        <v>0</v>
      </c>
      <c r="AA197">
        <f t="shared" si="67"/>
        <v>1</v>
      </c>
      <c r="AB197" s="94">
        <f t="shared" ref="AB197:AB260" si="68">G197-SUMPRODUCT($H$2:$N$2,H197:N197)</f>
        <v>233726.79598331722</v>
      </c>
      <c r="AC197">
        <f>AB197*D197*10000*VLOOKUP(A197,[1]kcal!$A$2:$C$49,3,FALSE)/1000000000000</f>
        <v>1.6232325981041382</v>
      </c>
    </row>
    <row r="198" spans="1:29" x14ac:dyDescent="0.25">
      <c r="A198" s="171" t="str">
        <f t="shared" si="62"/>
        <v>Bioaffald</v>
      </c>
      <c r="B198" s="171" t="str">
        <f t="shared" si="63"/>
        <v>Bionedbrydeligt affald</v>
      </c>
      <c r="C198" s="171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71">
        <f t="shared" si="61"/>
        <v>0</v>
      </c>
      <c r="E198" s="171">
        <f t="shared" si="64"/>
        <v>2030</v>
      </c>
      <c r="F198" t="s">
        <v>24</v>
      </c>
      <c r="G198" s="94">
        <f ca="1">IF(F198="Vestdanmark",SUMIFS(IF(E198=År1,'Resultater - Vestdanmark'!H$3:H$504,IF(E198=År2,'Resultater - Vestdanmark'!I$3:I$504,'Resultater - Vestdanmark'!J$3:J$504)),'Resultater - Vestdanmark'!$F$3:$F$504,$A198,IF(E198=År1,'Resultater - Vestdanmark'!H$3:H$504,IF(E198=År2,'Resultater - Vestdanmark'!I$3:I$504,'Resultater - Vestdanmark'!J$3:J$504)),"&gt;0"),SUMIFS(IF(E198=År1,'Resultater - Østdanmark'!H$3:H$504,IF(E198=År2,'Resultater - Østdanmark'!I$3:I$504,'Resultater - Østdanmark'!J$3:J$504)),'Resultater - Østdanmark'!$F$3:$F$504,$A198,IF(E198=År1,'Resultater - Østdanmark'!H$3:H$504,IF(E198=År2,'Resultater - Østdanmark'!I$3:I$504,'Resultater - Østdanmark'!J$3:J$504)),"&gt;0"))</f>
        <v>168912.745758362</v>
      </c>
      <c r="H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forbrug'!H$3,'Forbrug af biomasse'!$B$2:$B$425,$F198)</f>
        <v>0</v>
      </c>
      <c r="I198">
        <f>IF(F198="Vestdanmark",-IF(A198="Halm",SUMIFS(IF(E198=År1,'Resultater - Vestdanmark'!H$3:H$504,IF(E198=År2,'Resultater - Vestdanmark'!I$3:I$504,'Resultater - Vestdanmark'!J$3:J$504)),'Resultater - Vestdanmark'!$F$3:$F$504,$A198,'Resultater - Vestdanmark'!H$3:H$504,"&lt;0"),0),-IF(A198="Halm",SUMIFS(IF(E198=År1,'Resultater - Østdanmark'!H$3:H$504,IF(E198=År2,'Resultater - Østdanmark'!I$3:I$504,'Resultater - Østdanmark'!J$3:J$504)),'Resultater - Østdanmark'!$F$3:$F$504,$A198,'Resultater - Østdanmark'!H$3:H$504,"&lt;0"),0))</f>
        <v>0</v>
      </c>
      <c r="J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forbrug'!J$3,'Forbrug af biomasse'!$B$2:$B$425,$F198)</f>
        <v>0</v>
      </c>
      <c r="K198" s="94">
        <f ca="1">SUMIFS('Forbrug af biomasse'!$E$2:$E$425,'Forbrug af biomasse'!$C$2:$C$425,'Resultat-Produktion &amp; forbrug'!$A198,'Forbrug af biomasse'!$D$2:$D$425,'Resultat-Produktion &amp; forbrug'!$E198,'Forbrug af biomasse'!$A$2:$A$425,'Resultat-Produktion &amp; forbrug'!K$3,'Forbrug af biomasse'!$B$2:$B$425,$F198)</f>
        <v>0</v>
      </c>
      <c r="L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forbrug'!L$3,'Forbrug af biomasse'!$B$2:$B$425,$F198)</f>
        <v>0</v>
      </c>
      <c r="M198" s="94">
        <f ca="1">IF(A198&lt;&gt;"Biogas",SUMIFS('Forbrug af biomasse'!$E$2:$E$425,'Forbrug af biomasse'!$C$2:$C$425,'Resultat-Produktion &amp; forbrug'!$A198,'Forbrug af biomasse'!$D$2:$D$425,'Resultat-Produktion &amp; forbrug'!$E198,'Forbrug af biomasse'!$A$2:$A$425,'Resultat-Produktion &amp; forbrug'!M$3,'Forbrug af biomasse'!$B$2:$B$425,$F198),G198)</f>
        <v>168912.745758362</v>
      </c>
      <c r="N198" s="94">
        <f ca="1">SUMIFS('Forbrug af biomasse'!E:E,'Forbrug af biomasse'!C:C,'Resultat-Produktion &amp; forbrug'!$A198,'Forbrug af biomasse'!D:D,'Resultat-Produktion &amp; forbrug'!$E198,'Forbrug af biomasse'!G:G,1,'Forbrug af biomasse'!B:B,$F198)</f>
        <v>0</v>
      </c>
      <c r="O198" s="179">
        <f t="shared" ca="1" si="53"/>
        <v>0</v>
      </c>
      <c r="P198" s="94">
        <f t="shared" ca="1" si="65"/>
        <v>0</v>
      </c>
      <c r="Q198" s="180">
        <f t="shared" ca="1" si="54"/>
        <v>168912.745758362</v>
      </c>
      <c r="R198">
        <f ca="1">IFERROR(VLOOKUP(A198,[1]Energiindhold!$A$2:$C$11,3,FALSE),IFERROR(VLOOKUP(A198,[1]Biogasudbytte!$A$2:$B$18,2,FALSE)*[1]Energiindhold!$C$10,0))*P198</f>
        <v>0</v>
      </c>
      <c r="S198">
        <f ca="1">IF(A198&lt;&gt;"Biogas",IFERROR(VLOOKUP(A198,[1]Biogasudbytte!$A$2:$B$18,2,FALSE)*[1]Energiindhold!$C$10,0)*K198*IFERROR(VLOOKUP(A198,Biogasanlæg!$F$3:$G$8,2,FALSE),1)+IFERROR(VLOOKUP(A198,[1]Energiindhold!$A$2:$C$11,3,FALSE),0)*M198+IF(E198&lt;&gt;År1,R198,0),0)</f>
        <v>3.0154675860307889</v>
      </c>
      <c r="T198">
        <f ca="1">IFERROR(VLOOKUP(A198,[1]Biogasudbytte!$A$2:$B$18,2,FALSE)*[1]Energiindhold!$C$10,0)*K198*IFERROR(VLOOKUP(A198,Biogasanlæg!$F$3:$G$8,2,FALSE),1)</f>
        <v>0</v>
      </c>
      <c r="U198" s="170">
        <f t="shared" ca="1" si="55"/>
        <v>3.0154675860307889</v>
      </c>
      <c r="V198" s="169">
        <f ca="1">P198*IFERROR(VLOOKUP(A198,[1]Tørstofindhold!A$2:B$24,2,FALSE),0)</f>
        <v>0</v>
      </c>
      <c r="W198">
        <f ca="1">IF(E198=År1,Q198,SUM(P198,Q198))*IFERROR(VLOOKUP(A198,[1]Tørstofindhold!A$2:B$24,2,FALSE),0)</f>
        <v>47295.568812341364</v>
      </c>
      <c r="X198">
        <f ca="1">K198*IFERROR(VLOOKUP(A198,[1]Tørstofindhold!A$2:B$24,2,FALSE),0)</f>
        <v>0</v>
      </c>
      <c r="Y198" s="170">
        <f t="shared" ca="1" si="56"/>
        <v>47295.568812341364</v>
      </c>
      <c r="Z198">
        <f t="shared" ca="1" si="66"/>
        <v>0</v>
      </c>
      <c r="AA198">
        <f t="shared" ca="1" si="67"/>
        <v>0</v>
      </c>
      <c r="AB198" s="94">
        <f t="shared" ca="1" si="68"/>
        <v>168912.745758362</v>
      </c>
      <c r="AC198">
        <f ca="1">AB198*D198*10000*VLOOKUP(A198,[1]kcal!$A$2:$C$49,3,FALSE)/1000000000000</f>
        <v>0</v>
      </c>
    </row>
    <row r="199" spans="1:29" x14ac:dyDescent="0.25">
      <c r="A199" s="171" t="str">
        <f t="shared" si="62"/>
        <v>Biogas</v>
      </c>
      <c r="B199" s="171" t="str">
        <f t="shared" si="63"/>
        <v/>
      </c>
      <c r="C199" s="171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1</v>
      </c>
      <c r="D199" s="171">
        <f t="shared" si="61"/>
        <v>0</v>
      </c>
      <c r="E199" s="171">
        <f t="shared" si="64"/>
        <v>2030</v>
      </c>
      <c r="F199" t="s">
        <v>24</v>
      </c>
      <c r="G199" s="94">
        <f ca="1">IF(F199="Vestdanmark",SUMIFS(IF(E199=År1,'Resultater - Vestdanmark'!H$3:H$504,IF(E199=År2,'Resultater - Vestdanmark'!I$3:I$504,'Resultater - Vestdanmark'!J$3:J$504)),'Resultater - Vestdanmark'!$F$3:$F$504,$A199,IF(E199=År1,'Resultater - Vestdanmark'!H$3:H$504,IF(E199=År2,'Resultater - Vestdanmark'!I$3:I$504,'Resultater - Vestdanmark'!J$3:J$504)),"&gt;0"),SUMIFS(IF(E199=År1,'Resultater - Østdanmark'!H$3:H$504,IF(E199=År2,'Resultater - Østdanmark'!I$3:I$504,'Resultater - Østdanmark'!J$3:J$504)),'Resultater - Østdanmark'!$F$3:$F$504,$A199,IF(E199=År1,'Resultater - Østdanmark'!H$3:H$504,IF(E199=År2,'Resultater - Østdanmark'!I$3:I$504,'Resultater - Østdanmark'!J$3:J$504)),"&gt;0"))</f>
        <v>93239749.064297408</v>
      </c>
      <c r="H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forbrug'!H$3,'Forbrug af biomasse'!$B$2:$B$425,$F199)</f>
        <v>0</v>
      </c>
      <c r="I199">
        <f>IF(F199="Vestdanmark",-IF(A199="Halm",SUMIFS(IF(E199=År1,'Resultater - Vestdanmark'!H$3:H$504,IF(E199=År2,'Resultater - Vestdanmark'!I$3:I$504,'Resultater - Vestdanmark'!J$3:J$504)),'Resultater - Vestdanmark'!$F$3:$F$504,$A199,'Resultater - Vestdanmark'!H$3:H$504,"&lt;0"),0),-IF(A199="Halm",SUMIFS(IF(E199=År1,'Resultater - Østdanmark'!H$3:H$504,IF(E199=År2,'Resultater - Østdanmark'!I$3:I$504,'Resultater - Østdanmark'!J$3:J$504)),'Resultater - Østdanmark'!$F$3:$F$504,$A199,'Resultater - Østdanmark'!H$3:H$504,"&lt;0"),0))</f>
        <v>0</v>
      </c>
      <c r="J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forbrug'!J$3,'Forbrug af biomasse'!$B$2:$B$425,$F199)</f>
        <v>0</v>
      </c>
      <c r="K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forbrug'!K$3,'Forbrug af biomasse'!$B$2:$B$425,$F199)</f>
        <v>0</v>
      </c>
      <c r="L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forbrug'!L$3,'Forbrug af biomasse'!$B$2:$B$425,$F199)</f>
        <v>0</v>
      </c>
      <c r="M199" s="94">
        <f ca="1">IF(A199&lt;&gt;"Biogas",SUMIFS('Forbrug af biomasse'!$E$2:$E$425,'Forbrug af biomasse'!$C$2:$C$425,'Resultat-Produktion &amp; forbrug'!$A199,'Forbrug af biomasse'!$D$2:$D$425,'Resultat-Produktion &amp; forbrug'!$E199,'Forbrug af biomasse'!$A$2:$A$425,'Resultat-Produktion &amp; forbrug'!M$3,'Forbrug af biomasse'!$B$2:$B$425,$F199),G199)</f>
        <v>93239749.064297408</v>
      </c>
      <c r="N199" s="94">
        <f>SUMIFS('Forbrug af biomasse'!E:E,'Forbrug af biomasse'!C:C,'Resultat-Produktion &amp; forbrug'!$A199,'Forbrug af biomasse'!D:D,'Resultat-Produktion &amp; forbrug'!$E199,'Forbrug af biomasse'!G:G,1,'Forbrug af biomasse'!B:B,$F199)</f>
        <v>0</v>
      </c>
      <c r="O199" s="179">
        <f t="shared" ca="1" si="53"/>
        <v>0</v>
      </c>
      <c r="P199" s="94">
        <f t="shared" ca="1" si="65"/>
        <v>0</v>
      </c>
      <c r="Q199" s="180">
        <f t="shared" ca="1" si="54"/>
        <v>93239749.064297408</v>
      </c>
      <c r="R199">
        <f ca="1">IFERROR(VLOOKUP(A199,[1]Energiindhold!$A$2:$C$11,3,FALSE),IFERROR(VLOOKUP(A199,[1]Biogasudbytte!$A$2:$B$18,2,FALSE)*[1]Energiindhold!$C$10,0))*P199</f>
        <v>0</v>
      </c>
      <c r="S199">
        <f>IF(A199&lt;&gt;"Biogas",IFERROR(VLOOKUP(A199,[1]Biogasudbytte!$A$2:$B$18,2,FALSE)*[1]Energiindhold!$C$10,0)*K199*IFERROR(VLOOKUP(A199,Biogasanlæg!$F$3:$G$8,2,FALSE),1)+IFERROR(VLOOKUP(A199,[1]Energiindhold!$A$2:$C$11,3,FALSE),0)*M199+IF(E199&lt;&gt;År1,R199,0),0)</f>
        <v>0</v>
      </c>
      <c r="T199">
        <f>IFERROR(VLOOKUP(A199,[1]Biogasudbytte!$A$2:$B$18,2,FALSE)*[1]Energiindhold!$C$10,0)*K199*IFERROR(VLOOKUP(A199,Biogasanlæg!$F$3:$G$8,2,FALSE),1)</f>
        <v>0</v>
      </c>
      <c r="U199" s="170">
        <f t="shared" si="55"/>
        <v>0</v>
      </c>
      <c r="V199" s="169">
        <f ca="1">P199*IFERROR(VLOOKUP(A199,[1]Tørstofindhold!A$2:B$24,2,FALSE),0)</f>
        <v>0</v>
      </c>
      <c r="W199">
        <f ca="1">IF(E199=År1,Q199,SUM(P199,Q199))*IFERROR(VLOOKUP(A199,[1]Tørstofindhold!A$2:B$24,2,FALSE),0)</f>
        <v>0</v>
      </c>
      <c r="X199">
        <f>K199*IFERROR(VLOOKUP(A199,[1]Tørstofindhold!A$2:B$24,2,FALSE),0)</f>
        <v>0</v>
      </c>
      <c r="Y199" s="170">
        <f t="shared" ca="1" si="56"/>
        <v>0</v>
      </c>
      <c r="Z199">
        <f t="shared" ca="1" si="66"/>
        <v>0</v>
      </c>
      <c r="AA199">
        <f t="shared" ca="1" si="67"/>
        <v>0</v>
      </c>
      <c r="AB199" s="94">
        <f t="shared" ca="1" si="68"/>
        <v>93239749.064297408</v>
      </c>
      <c r="AC199">
        <f ca="1">AB199*D199*10000*VLOOKUP(A199,[1]kcal!$A$2:$C$49,3,FALSE)/1000000000000</f>
        <v>0</v>
      </c>
    </row>
    <row r="200" spans="1:29" x14ac:dyDescent="0.25">
      <c r="A200" s="171" t="str">
        <f t="shared" si="62"/>
        <v>Biogasgylle</v>
      </c>
      <c r="B200" s="171" t="str">
        <f t="shared" si="63"/>
        <v/>
      </c>
      <c r="C200" s="171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0</v>
      </c>
      <c r="D200" s="171">
        <f t="shared" si="61"/>
        <v>0</v>
      </c>
      <c r="E200" s="171">
        <f t="shared" si="64"/>
        <v>2030</v>
      </c>
      <c r="F200" t="s">
        <v>24</v>
      </c>
      <c r="G200" s="94">
        <f ca="1">IF(F200="Vestdanmark",SUMIFS(IF(E200=År1,'Resultater - Vestdanmark'!H$3:H$504,IF(E200=År2,'Resultater - Vestdanmark'!I$3:I$504,'Resultater - Vestdanmark'!J$3:J$504)),'Resultater - Vestdanmark'!$F$3:$F$504,$A200,IF(E200=År1,'Resultater - Vestdanmark'!H$3:H$504,IF(E200=År2,'Resultater - Vestdanmark'!I$3:I$504,'Resultater - Vestdanmark'!J$3:J$504)),"&gt;0"),SUMIFS(IF(E200=År1,'Resultater - Østdanmark'!H$3:H$504,IF(E200=År2,'Resultater - Østdanmark'!I$3:I$504,'Resultater - Østdanmark'!J$3:J$504)),'Resultater - Østdanmark'!$F$3:$F$504,$A200,IF(E200=År1,'Resultater - Østdanmark'!H$3:H$504,IF(E200=År2,'Resultater - Østdanmark'!I$3:I$504,'Resultater - Østdanmark'!J$3:J$504)),"&gt;0"))</f>
        <v>3926338.169828245</v>
      </c>
      <c r="H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forbrug'!H$3,'Forbrug af biomasse'!$B$2:$B$425,$F200)</f>
        <v>0</v>
      </c>
      <c r="I200">
        <f>IF(F200="Vestdanmark",-IF(A200="Halm",SUMIFS(IF(E200=År1,'Resultater - Vestdanmark'!H$3:H$504,IF(E200=År2,'Resultater - Vestdanmark'!I$3:I$504,'Resultater - Vestdanmark'!J$3:J$504)),'Resultater - Vestdanmark'!$F$3:$F$504,$A200,'Resultater - Vestdanmark'!H$3:H$504,"&lt;0"),0),-IF(A200="Halm",SUMIFS(IF(E200=År1,'Resultater - Østdanmark'!H$3:H$504,IF(E200=År2,'Resultater - Østdanmark'!I$3:I$504,'Resultater - Østdanmark'!J$3:J$504)),'Resultater - Østdanmark'!$F$3:$F$504,$A200,'Resultater - Østdanmark'!H$3:H$504,"&lt;0"),0))</f>
        <v>0</v>
      </c>
      <c r="J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forbrug'!J$3,'Forbrug af biomasse'!$B$2:$B$425,$F200)</f>
        <v>0</v>
      </c>
      <c r="K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forbrug'!K$3,'Forbrug af biomasse'!$B$2:$B$425,$F200)</f>
        <v>0</v>
      </c>
      <c r="L200" s="94">
        <f ca="1">SUMIFS('Forbrug af biomasse'!$E$2:$E$425,'Forbrug af biomasse'!$C$2:$C$425,'Resultat-Produktion &amp; forbrug'!$A200,'Forbrug af biomasse'!$D$2:$D$425,'Resultat-Produktion &amp; forbrug'!$E200,'Forbrug af biomasse'!$A$2:$A$425,'Resultat-Produktion &amp; forbrug'!L$3,'Forbrug af biomasse'!$B$2:$B$425,$F200)</f>
        <v>2691211.5260409825</v>
      </c>
      <c r="M200" s="94">
        <f>IF(A200&lt;&gt;"Biogas",SUMIFS('Forbrug af biomasse'!$E$2:$E$425,'Forbrug af biomasse'!$C$2:$C$425,'Resultat-Produktion &amp; forbrug'!$A200,'Forbrug af biomasse'!$D$2:$D$425,'Resultat-Produktion &amp; forbrug'!$E200,'Forbrug af biomasse'!$A$2:$A$425,'Resultat-Produktion &amp; forbrug'!M$3,'Forbrug af biomasse'!$B$2:$B$425,$F200),G200)</f>
        <v>0</v>
      </c>
      <c r="N200" s="94">
        <f>SUMIFS('Forbrug af biomasse'!E:E,'Forbrug af biomasse'!C:C,'Resultat-Produktion &amp; forbrug'!$A200,'Forbrug af biomasse'!D:D,'Resultat-Produktion &amp; forbrug'!$E200,'Forbrug af biomasse'!G:G,1,'Forbrug af biomasse'!B:B,$F200)</f>
        <v>0</v>
      </c>
      <c r="O200" s="179">
        <f t="shared" ca="1" si="53"/>
        <v>1235126.6437872625</v>
      </c>
      <c r="P200" s="94">
        <f t="shared" si="65"/>
        <v>0</v>
      </c>
      <c r="Q200" s="180">
        <f t="shared" si="54"/>
        <v>0</v>
      </c>
      <c r="R200">
        <f>IFERROR(VLOOKUP(A200,[1]Energiindhold!$A$2:$C$11,3,FALSE),IFERROR(VLOOKUP(A200,[1]Biogasudbytte!$A$2:$B$18,2,FALSE)*[1]Energiindhold!$C$10,0))*P200</f>
        <v>0</v>
      </c>
      <c r="S200">
        <f>IF(A200&lt;&gt;"Biogas",IFERROR(VLOOKUP(A200,[1]Biogasudbytte!$A$2:$B$18,2,FALSE)*[1]Energiindhold!$C$10,0)*K200*IFERROR(VLOOKUP(A200,Biogasanlæg!$F$3:$G$8,2,FALSE),1)+IFERROR(VLOOKUP(A200,[1]Energiindhold!$A$2:$C$11,3,FALSE),0)*M200+IF(E200&lt;&gt;År1,R200,0),0)</f>
        <v>0</v>
      </c>
      <c r="T200">
        <f>IFERROR(VLOOKUP(A200,[1]Biogasudbytte!$A$2:$B$18,2,FALSE)*[1]Energiindhold!$C$10,0)*K200*IFERROR(VLOOKUP(A200,Biogasanlæg!$F$3:$G$8,2,FALSE),1)</f>
        <v>0</v>
      </c>
      <c r="U200" s="170">
        <f t="shared" si="55"/>
        <v>0</v>
      </c>
      <c r="V200" s="169">
        <f>P200*IFERROR(VLOOKUP(A200,[1]Tørstofindhold!A$2:B$24,2,FALSE),0)</f>
        <v>0</v>
      </c>
      <c r="W200">
        <f>IF(E200=År1,Q200,SUM(P200,Q200))*IFERROR(VLOOKUP(A200,[1]Tørstofindhold!A$2:B$24,2,FALSE),0)</f>
        <v>0</v>
      </c>
      <c r="X200">
        <f>K200*IFERROR(VLOOKUP(A200,[1]Tørstofindhold!A$2:B$24,2,FALSE),0)</f>
        <v>0</v>
      </c>
      <c r="Y200" s="170">
        <f t="shared" si="56"/>
        <v>0</v>
      </c>
      <c r="Z200">
        <f t="shared" ca="1" si="66"/>
        <v>0</v>
      </c>
      <c r="AA200">
        <f t="shared" ca="1" si="67"/>
        <v>1</v>
      </c>
      <c r="AB200" s="94">
        <f t="shared" ca="1" si="68"/>
        <v>1235126.6437872625</v>
      </c>
      <c r="AC200">
        <f ca="1">AB200*D200*10000*VLOOKUP(A200,[1]kcal!$A$2:$C$49,3,FALSE)/1000000000000</f>
        <v>0</v>
      </c>
    </row>
    <row r="201" spans="1:29" x14ac:dyDescent="0.25">
      <c r="A201" s="171" t="str">
        <f t="shared" si="62"/>
        <v>Brun saft</v>
      </c>
      <c r="B201" s="171" t="str">
        <f t="shared" si="63"/>
        <v>Bionedbrydeligt affald</v>
      </c>
      <c r="C201" s="171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71">
        <f t="shared" si="61"/>
        <v>0</v>
      </c>
      <c r="E201" s="171">
        <f t="shared" si="64"/>
        <v>2030</v>
      </c>
      <c r="F201" t="s">
        <v>24</v>
      </c>
      <c r="G201" s="94">
        <f>IF(F201="Vestdanmark",SUMIFS(IF(E201=År1,'Resultater - Vestdanmark'!H$3:H$504,IF(E201=År2,'Resultater - Vestdanmark'!I$3:I$504,'Resultater - Vestdanmark'!J$3:J$504)),'Resultater - Vestdanmark'!$F$3:$F$504,$A201,IF(E201=År1,'Resultater - Vestdanmark'!H$3:H$504,IF(E201=År2,'Resultater - Vestdanmark'!I$3:I$504,'Resultater - Vestdanmark'!J$3:J$504)),"&gt;0"),SUMIFS(IF(E201=År1,'Resultater - Østdanmark'!H$3:H$504,IF(E201=År2,'Resultater - Østdanmark'!I$3:I$504,'Resultater - Østdanmark'!J$3:J$504)),'Resultater - Østdanmark'!$F$3:$F$504,$A201,IF(E201=År1,'Resultater - Østdanmark'!H$3:H$504,IF(E201=År2,'Resultater - Østdanmark'!I$3:I$504,'Resultater - Østdanmark'!J$3:J$504)),"&gt;0"))</f>
        <v>0</v>
      </c>
      <c r="H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forbrug'!H$3,'Forbrug af biomasse'!$B$2:$B$425,$F201)</f>
        <v>0</v>
      </c>
      <c r="I201">
        <f>IF(F201="Vestdanmark",-IF(A201="Halm",SUMIFS(IF(E201=År1,'Resultater - Vestdanmark'!H$3:H$504,IF(E201=År2,'Resultater - Vestdanmark'!I$3:I$504,'Resultater - Vestdanmark'!J$3:J$504)),'Resultater - Vestdanmark'!$F$3:$F$504,$A201,'Resultater - Vestdanmark'!H$3:H$504,"&lt;0"),0),-IF(A201="Halm",SUMIFS(IF(E201=År1,'Resultater - Østdanmark'!H$3:H$504,IF(E201=År2,'Resultater - Østdanmark'!I$3:I$504,'Resultater - Østdanmark'!J$3:J$504)),'Resultater - Østdanmark'!$F$3:$F$504,$A201,'Resultater - Østdanmark'!H$3:H$504,"&lt;0"),0))</f>
        <v>0</v>
      </c>
      <c r="J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forbrug'!J$3,'Forbrug af biomasse'!$B$2:$B$425,$F201)</f>
        <v>0</v>
      </c>
      <c r="K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forbrug'!K$3,'Forbrug af biomasse'!$B$2:$B$425,$F201)</f>
        <v>0</v>
      </c>
      <c r="L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forbrug'!L$3,'Forbrug af biomasse'!$B$2:$B$425,$F201)</f>
        <v>0</v>
      </c>
      <c r="M201" s="94">
        <f>IF(A201&lt;&gt;"Biogas",SUMIFS('Forbrug af biomasse'!$E$2:$E$425,'Forbrug af biomasse'!$C$2:$C$425,'Resultat-Produktion &amp; forbrug'!$A201,'Forbrug af biomasse'!$D$2:$D$425,'Resultat-Produktion &amp; forbrug'!$E201,'Forbrug af biomasse'!$A$2:$A$425,'Resultat-Produktion &amp; forbrug'!M$3,'Forbrug af biomasse'!$B$2:$B$425,$F201),G201)</f>
        <v>0</v>
      </c>
      <c r="N201" s="94">
        <f>SUMIFS('Forbrug af biomasse'!E:E,'Forbrug af biomasse'!C:C,'Resultat-Produktion &amp; forbrug'!$A201,'Forbrug af biomasse'!D:D,'Resultat-Produktion &amp; forbrug'!$E201,'Forbrug af biomasse'!G:G,1,'Forbrug af biomasse'!B:B,$F201)</f>
        <v>0</v>
      </c>
      <c r="O201" s="179">
        <f t="shared" si="53"/>
        <v>0</v>
      </c>
      <c r="P201" s="94">
        <f t="shared" si="65"/>
        <v>0</v>
      </c>
      <c r="Q201" s="180">
        <f t="shared" si="54"/>
        <v>0</v>
      </c>
      <c r="R201">
        <f>IFERROR(VLOOKUP(A201,[1]Energiindhold!$A$2:$C$11,3,FALSE),IFERROR(VLOOKUP(A201,[1]Biogasudbytte!$A$2:$B$18,2,FALSE)*[1]Energiindhold!$C$10,0))*P201</f>
        <v>0</v>
      </c>
      <c r="S201">
        <f>IF(A201&lt;&gt;"Biogas",IFERROR(VLOOKUP(A201,[1]Biogasudbytte!$A$2:$B$18,2,FALSE)*[1]Energiindhold!$C$10,0)*K201*IFERROR(VLOOKUP(A201,Biogasanlæg!$F$3:$G$8,2,FALSE),1)+IFERROR(VLOOKUP(A201,[1]Energiindhold!$A$2:$C$11,3,FALSE),0)*M201+IF(E201&lt;&gt;År1,R201,0),0)</f>
        <v>0</v>
      </c>
      <c r="T201">
        <f>IFERROR(VLOOKUP(A201,[1]Biogasudbytte!$A$2:$B$18,2,FALSE)*[1]Energiindhold!$C$10,0)*K201*IFERROR(VLOOKUP(A201,Biogasanlæg!$F$3:$G$8,2,FALSE),1)</f>
        <v>0</v>
      </c>
      <c r="U201" s="170">
        <f t="shared" si="55"/>
        <v>0</v>
      </c>
      <c r="V201" s="169">
        <f>P201*IFERROR(VLOOKUP(A201,[1]Tørstofindhold!A$2:B$24,2,FALSE),0)</f>
        <v>0</v>
      </c>
      <c r="W201">
        <f>IF(E201=År1,Q201,SUM(P201,Q201))*IFERROR(VLOOKUP(A201,[1]Tørstofindhold!A$2:B$24,2,FALSE),0)</f>
        <v>0</v>
      </c>
      <c r="X201">
        <f>K201*IFERROR(VLOOKUP(A201,[1]Tørstofindhold!A$2:B$24,2,FALSE),0)</f>
        <v>0</v>
      </c>
      <c r="Y201" s="170">
        <f t="shared" si="56"/>
        <v>0</v>
      </c>
      <c r="Z201">
        <f t="shared" si="66"/>
        <v>0</v>
      </c>
      <c r="AA201">
        <f t="shared" si="67"/>
        <v>0</v>
      </c>
      <c r="AB201" s="94">
        <f t="shared" si="68"/>
        <v>0</v>
      </c>
      <c r="AC201">
        <f>AB201*D201*10000*VLOOKUP(A201,[1]kcal!$A$2:$C$49,3,FALSE)/1000000000000</f>
        <v>0</v>
      </c>
    </row>
    <row r="202" spans="1:29" x14ac:dyDescent="0.25">
      <c r="A202" s="171" t="str">
        <f t="shared" si="62"/>
        <v>Dybstrøelse</v>
      </c>
      <c r="B202" s="171" t="str">
        <f t="shared" si="63"/>
        <v>Husdyrgødning</v>
      </c>
      <c r="C202" s="171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1</v>
      </c>
      <c r="D202" s="171">
        <f t="shared" si="61"/>
        <v>0</v>
      </c>
      <c r="E202" s="171">
        <f t="shared" si="64"/>
        <v>2030</v>
      </c>
      <c r="F202" t="s">
        <v>24</v>
      </c>
      <c r="G202" s="94">
        <f>IF(F202="Vestdanmark",SUMIFS(IF(E202=År1,'Resultater - Vestdanmark'!H$3:H$504,IF(E202=År2,'Resultater - Vestdanmark'!I$3:I$504,'Resultater - Vestdanmark'!J$3:J$504)),'Resultater - Vestdanmark'!$F$3:$F$504,$A202,IF(E202=År1,'Resultater - Vestdanmark'!H$3:H$504,IF(E202=År2,'Resultater - Vestdanmark'!I$3:I$504,'Resultater - Vestdanmark'!J$3:J$504)),"&gt;0"),SUMIFS(IF(E202=År1,'Resultater - Østdanmark'!H$3:H$504,IF(E202=År2,'Resultater - Østdanmark'!I$3:I$504,'Resultater - Østdanmark'!J$3:J$504)),'Resultater - Østdanmark'!$F$3:$F$504,$A202,IF(E202=År1,'Resultater - Østdanmark'!H$3:H$504,IF(E202=År2,'Resultater - Østdanmark'!I$3:I$504,'Resultater - Østdanmark'!J$3:J$504)),"&gt;0"))</f>
        <v>342788.14875582355</v>
      </c>
      <c r="H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forbrug'!H$3,'Forbrug af biomasse'!$B$2:$B$425,$F202)</f>
        <v>0</v>
      </c>
      <c r="I202">
        <f>IF(F202="Vestdanmark",-IF(A202="Halm",SUMIFS(IF(E202=År1,'Resultater - Vestdanmark'!H$3:H$504,IF(E202=År2,'Resultater - Vestdanmark'!I$3:I$504,'Resultater - Vestdanmark'!J$3:J$504)),'Resultater - Vestdanmark'!$F$3:$F$504,$A202,'Resultater - Vestdanmark'!H$3:H$504,"&lt;0"),0),-IF(A202="Halm",SUMIFS(IF(E202=År1,'Resultater - Østdanmark'!H$3:H$504,IF(E202=År2,'Resultater - Østdanmark'!I$3:I$504,'Resultater - Østdanmark'!J$3:J$504)),'Resultater - Østdanmark'!$F$3:$F$504,$A202,'Resultater - Østdanmark'!H$3:H$504,"&lt;0"),0))</f>
        <v>0</v>
      </c>
      <c r="J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forbrug'!J$3,'Forbrug af biomasse'!$B$2:$B$425,$F202)</f>
        <v>0</v>
      </c>
      <c r="K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forbrug'!K$3,'Forbrug af biomasse'!$B$2:$B$425,$F202)</f>
        <v>257091.11156686768</v>
      </c>
      <c r="L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forbrug'!L$3,'Forbrug af biomasse'!$B$2:$B$425,$F202)</f>
        <v>32442.449792961874</v>
      </c>
      <c r="M202" s="94">
        <f>IF(A202&lt;&gt;"Biogas",SUMIFS('Forbrug af biomasse'!$E$2:$E$425,'Forbrug af biomasse'!$C$2:$C$425,'Resultat-Produktion &amp; forbrug'!$A202,'Forbrug af biomasse'!$D$2:$D$425,'Resultat-Produktion &amp; forbrug'!$E202,'Forbrug af biomasse'!$A$2:$A$425,'Resultat-Produktion &amp; forbrug'!M$3,'Forbrug af biomasse'!$B$2:$B$425,$F202),G202)</f>
        <v>0</v>
      </c>
      <c r="N202" s="94">
        <f>SUMIFS('Forbrug af biomasse'!E:E,'Forbrug af biomasse'!C:C,'Resultat-Produktion &amp; forbrug'!$A202,'Forbrug af biomasse'!D:D,'Resultat-Produktion &amp; forbrug'!$E202,'Forbrug af biomasse'!G:G,1,'Forbrug af biomasse'!B:B,$F202)</f>
        <v>0</v>
      </c>
      <c r="O202" s="179">
        <f t="shared" si="53"/>
        <v>53254.587395993993</v>
      </c>
      <c r="P202" s="94">
        <f t="shared" si="65"/>
        <v>53254.587395993993</v>
      </c>
      <c r="Q202" s="180">
        <f t="shared" si="54"/>
        <v>257091.11156686768</v>
      </c>
      <c r="R202">
        <f>IFERROR(VLOOKUP(A202,[1]Energiindhold!$A$2:$C$11,3,FALSE),IFERROR(VLOOKUP(A202,[1]Biogasudbytte!$A$2:$B$18,2,FALSE)*[1]Energiindhold!$C$10,0))*P202</f>
        <v>0.11471038125097106</v>
      </c>
      <c r="S202">
        <f>IF(A202&lt;&gt;"Biogas",IFERROR(VLOOKUP(A202,[1]Biogasudbytte!$A$2:$B$18,2,FALSE)*[1]Energiindhold!$C$10,0)*K202*IFERROR(VLOOKUP(A202,Biogasanlæg!$F$3:$G$8,2,FALSE),1)+IFERROR(VLOOKUP(A202,[1]Energiindhold!$A$2:$C$11,3,FALSE),0)*M202+IF(E202&lt;&gt;År1,R202,0),0)</f>
        <v>0.66848463556600413</v>
      </c>
      <c r="T202">
        <f>IFERROR(VLOOKUP(A202,[1]Biogasudbytte!$A$2:$B$18,2,FALSE)*[1]Energiindhold!$C$10,0)*K202*IFERROR(VLOOKUP(A202,Biogasanlæg!$F$3:$G$8,2,FALSE),1)</f>
        <v>0.55377425431503302</v>
      </c>
      <c r="U202" s="170">
        <f t="shared" si="55"/>
        <v>0.11471038125097111</v>
      </c>
      <c r="V202" s="169">
        <f>P202*IFERROR(VLOOKUP(A202,[1]Tørstofindhold!A$2:B$24,2,FALSE),0)</f>
        <v>15976.376218798197</v>
      </c>
      <c r="W202">
        <f>IF(E202=År1,Q202,SUM(P202,Q202))*IFERROR(VLOOKUP(A202,[1]Tørstofindhold!A$2:B$24,2,FALSE),0)</f>
        <v>93103.709688858493</v>
      </c>
      <c r="X202">
        <f>K202*IFERROR(VLOOKUP(A202,[1]Tørstofindhold!A$2:B$24,2,FALSE),0)</f>
        <v>77127.333470060301</v>
      </c>
      <c r="Y202" s="170">
        <f t="shared" si="56"/>
        <v>15976.376218798192</v>
      </c>
      <c r="Z202">
        <f t="shared" si="66"/>
        <v>0</v>
      </c>
      <c r="AA202">
        <f t="shared" si="67"/>
        <v>1</v>
      </c>
      <c r="AB202" s="94">
        <f t="shared" si="68"/>
        <v>53254.587395993993</v>
      </c>
      <c r="AC202">
        <f>AB202*D202*10000*VLOOKUP(A202,[1]kcal!$A$2:$C$49,3,FALSE)/1000000000000</f>
        <v>0</v>
      </c>
    </row>
    <row r="203" spans="1:29" x14ac:dyDescent="0.25">
      <c r="A203" s="171" t="str">
        <f t="shared" si="62"/>
        <v>Fiberfraktion</v>
      </c>
      <c r="B203" s="171" t="str">
        <f t="shared" si="63"/>
        <v/>
      </c>
      <c r="C203" s="171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0</v>
      </c>
      <c r="D203" s="171">
        <f t="shared" si="61"/>
        <v>0</v>
      </c>
      <c r="E203" s="171">
        <f t="shared" si="64"/>
        <v>2030</v>
      </c>
      <c r="F203" t="s">
        <v>24</v>
      </c>
      <c r="G203" s="94">
        <f>IF(F203="Vestdanmark",SUMIFS(IF(E203=År1,'Resultater - Vestdanmark'!H$3:H$504,IF(E203=År2,'Resultater - Vestdanmark'!I$3:I$504,'Resultater - Vestdanmark'!J$3:J$504)),'Resultater - Vestdanmark'!$F$3:$F$504,$A203,IF(E203=År1,'Resultater - Vestdanmark'!H$3:H$504,IF(E203=År2,'Resultater - Vestdanmark'!I$3:I$504,'Resultater - Vestdanmark'!J$3:J$504)),"&gt;0"),SUMIFS(IF(E203=År1,'Resultater - Østdanmark'!H$3:H$504,IF(E203=År2,'Resultater - Østdanmark'!I$3:I$504,'Resultater - Østdanmark'!J$3:J$504)),'Resultater - Østdanmark'!$F$3:$F$504,$A203,IF(E203=År1,'Resultater - Østdanmark'!H$3:H$504,IF(E203=År2,'Resultater - Østdanmark'!I$3:I$504,'Resultater - Østdanmark'!J$3:J$504)),"&gt;0"))</f>
        <v>0</v>
      </c>
      <c r="H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forbrug'!H$3,'Forbrug af biomasse'!$B$2:$B$425,$F203)</f>
        <v>0</v>
      </c>
      <c r="I203">
        <f>IF(F203="Vestdanmark",-IF(A203="Halm",SUMIFS(IF(E203=År1,'Resultater - Vestdanmark'!H$3:H$504,IF(E203=År2,'Resultater - Vestdanmark'!I$3:I$504,'Resultater - Vestdanmark'!J$3:J$504)),'Resultater - Vestdanmark'!$F$3:$F$504,$A203,'Resultater - Vestdanmark'!H$3:H$504,"&lt;0"),0),-IF(A203="Halm",SUMIFS(IF(E203=År1,'Resultater - Østdanmark'!H$3:H$504,IF(E203=År2,'Resultater - Østdanmark'!I$3:I$504,'Resultater - Østdanmark'!J$3:J$504)),'Resultater - Østdanmark'!$F$3:$F$504,$A203,'Resultater - Østdanmark'!H$3:H$504,"&lt;0"),0))</f>
        <v>0</v>
      </c>
      <c r="J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forbrug'!J$3,'Forbrug af biomasse'!$B$2:$B$425,$F203)</f>
        <v>0</v>
      </c>
      <c r="K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forbrug'!K$3,'Forbrug af biomasse'!$B$2:$B$425,$F203)</f>
        <v>0</v>
      </c>
      <c r="L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forbrug'!L$3,'Forbrug af biomasse'!$B$2:$B$425,$F203)</f>
        <v>0</v>
      </c>
      <c r="M203" s="94">
        <f>IF(A203&lt;&gt;"Biogas",SUMIFS('Forbrug af biomasse'!$E$2:$E$425,'Forbrug af biomasse'!$C$2:$C$425,'Resultat-Produktion &amp; forbrug'!$A203,'Forbrug af biomasse'!$D$2:$D$425,'Resultat-Produktion &amp; forbrug'!$E203,'Forbrug af biomasse'!$A$2:$A$425,'Resultat-Produktion &amp; forbrug'!M$3,'Forbrug af biomasse'!$B$2:$B$425,$F203),G203)</f>
        <v>0</v>
      </c>
      <c r="N203" s="94">
        <f>SUMIFS('Forbrug af biomasse'!E:E,'Forbrug af biomasse'!C:C,'Resultat-Produktion &amp; forbrug'!$A203,'Forbrug af biomasse'!D:D,'Resultat-Produktion &amp; forbrug'!$E203,'Forbrug af biomasse'!G:G,1,'Forbrug af biomasse'!B:B,$F203)</f>
        <v>0</v>
      </c>
      <c r="O203" s="179">
        <f t="shared" si="53"/>
        <v>0</v>
      </c>
      <c r="P203" s="94">
        <f t="shared" si="65"/>
        <v>0</v>
      </c>
      <c r="Q203" s="180">
        <f t="shared" si="54"/>
        <v>0</v>
      </c>
      <c r="R203">
        <f>IFERROR(VLOOKUP(A203,[1]Energiindhold!$A$2:$C$11,3,FALSE),IFERROR(VLOOKUP(A203,[1]Biogasudbytte!$A$2:$B$18,2,FALSE)*[1]Energiindhold!$C$10,0))*P203</f>
        <v>0</v>
      </c>
      <c r="S203">
        <f>IF(A203&lt;&gt;"Biogas",IFERROR(VLOOKUP(A203,[1]Biogasudbytte!$A$2:$B$18,2,FALSE)*[1]Energiindhold!$C$10,0)*K203*IFERROR(VLOOKUP(A203,Biogasanlæg!$F$3:$G$8,2,FALSE),1)+IFERROR(VLOOKUP(A203,[1]Energiindhold!$A$2:$C$11,3,FALSE),0)*M203+IF(E203&lt;&gt;År1,R203,0),0)</f>
        <v>0</v>
      </c>
      <c r="T203">
        <f>IFERROR(VLOOKUP(A203,[1]Biogasudbytte!$A$2:$B$18,2,FALSE)*[1]Energiindhold!$C$10,0)*K203*IFERROR(VLOOKUP(A203,Biogasanlæg!$F$3:$G$8,2,FALSE),1)</f>
        <v>0</v>
      </c>
      <c r="U203" s="170">
        <f t="shared" si="55"/>
        <v>0</v>
      </c>
      <c r="V203" s="169">
        <f>P203*IFERROR(VLOOKUP(A203,[1]Tørstofindhold!A$2:B$24,2,FALSE),0)</f>
        <v>0</v>
      </c>
      <c r="W203">
        <f>IF(E203=År1,Q203,SUM(P203,Q203))*IFERROR(VLOOKUP(A203,[1]Tørstofindhold!A$2:B$24,2,FALSE),0)</f>
        <v>0</v>
      </c>
      <c r="X203">
        <f>K203*IFERROR(VLOOKUP(A203,[1]Tørstofindhold!A$2:B$24,2,FALSE),0)</f>
        <v>0</v>
      </c>
      <c r="Y203" s="170">
        <f t="shared" si="56"/>
        <v>0</v>
      </c>
      <c r="Z203">
        <f t="shared" si="66"/>
        <v>0</v>
      </c>
      <c r="AA203">
        <f t="shared" si="67"/>
        <v>0</v>
      </c>
      <c r="AB203" s="94">
        <f t="shared" si="68"/>
        <v>0</v>
      </c>
      <c r="AC203">
        <f>AB203*D203*10000*VLOOKUP(A203,[1]kcal!$A$2:$C$49,3,FALSE)/1000000000000</f>
        <v>0</v>
      </c>
    </row>
    <row r="204" spans="1:29" x14ac:dyDescent="0.25">
      <c r="A204" s="171" t="str">
        <f t="shared" si="62"/>
        <v>Fjerkrægylle</v>
      </c>
      <c r="B204" s="171" t="str">
        <f t="shared" si="63"/>
        <v>Husdyrgødning</v>
      </c>
      <c r="C204" s="171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1</v>
      </c>
      <c r="D204" s="171">
        <f t="shared" si="61"/>
        <v>0</v>
      </c>
      <c r="E204" s="171">
        <f t="shared" si="64"/>
        <v>2030</v>
      </c>
      <c r="F204" t="s">
        <v>24</v>
      </c>
      <c r="G204" s="94">
        <f>IF(F204="Vestdanmark",SUMIFS(IF(E204=År1,'Resultater - Vestdanmark'!H$3:H$504,IF(E204=År2,'Resultater - Vestdanmark'!I$3:I$504,'Resultater - Vestdanmark'!J$3:J$504)),'Resultater - Vestdanmark'!$F$3:$F$504,$A204,IF(E204=År1,'Resultater - Vestdanmark'!H$3:H$504,IF(E204=År2,'Resultater - Vestdanmark'!I$3:I$504,'Resultater - Vestdanmark'!J$3:J$504)),"&gt;0"),SUMIFS(IF(E204=År1,'Resultater - Østdanmark'!H$3:H$504,IF(E204=År2,'Resultater - Østdanmark'!I$3:I$504,'Resultater - Østdanmark'!J$3:J$504)),'Resultater - Østdanmark'!$F$3:$F$504,$A204,IF(E204=År1,'Resultater - Østdanmark'!H$3:H$504,IF(E204=År2,'Resultater - Østdanmark'!I$3:I$504,'Resultater - Østdanmark'!J$3:J$504)),"&gt;0"))</f>
        <v>678.5291555114477</v>
      </c>
      <c r="H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forbrug'!H$3,'Forbrug af biomasse'!$B$2:$B$425,$F204)</f>
        <v>0</v>
      </c>
      <c r="I204">
        <f>IF(F204="Vestdanmark",-IF(A204="Halm",SUMIFS(IF(E204=År1,'Resultater - Vestdanmark'!H$3:H$504,IF(E204=År2,'Resultater - Vestdanmark'!I$3:I$504,'Resultater - Vestdanmark'!J$3:J$504)),'Resultater - Vestdanmark'!$F$3:$F$504,$A204,'Resultater - Vestdanmark'!H$3:H$504,"&lt;0"),0),-IF(A204="Halm",SUMIFS(IF(E204=År1,'Resultater - Østdanmark'!H$3:H$504,IF(E204=År2,'Resultater - Østdanmark'!I$3:I$504,'Resultater - Østdanmark'!J$3:J$504)),'Resultater - Østdanmark'!$F$3:$F$504,$A204,'Resultater - Østdanmark'!H$3:H$504,"&lt;0"),0))</f>
        <v>0</v>
      </c>
      <c r="J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forbrug'!J$3,'Forbrug af biomasse'!$B$2:$B$425,$F204)</f>
        <v>0</v>
      </c>
      <c r="K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forbrug'!K$3,'Forbrug af biomasse'!$B$2:$B$425,$F204)</f>
        <v>508.89686663358577</v>
      </c>
      <c r="L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forbrug'!L$3,'Forbrug af biomasse'!$B$2:$B$425,$F204)</f>
        <v>169.63228887786195</v>
      </c>
      <c r="M204" s="94">
        <f>IF(A204&lt;&gt;"Biogas",SUMIFS('Forbrug af biomasse'!$E$2:$E$425,'Forbrug af biomasse'!$C$2:$C$425,'Resultat-Produktion &amp; forbrug'!$A204,'Forbrug af biomasse'!$D$2:$D$425,'Resultat-Produktion &amp; forbrug'!$E204,'Forbrug af biomasse'!$A$2:$A$425,'Resultat-Produktion &amp; forbrug'!M$3,'Forbrug af biomasse'!$B$2:$B$425,$F204),G204)</f>
        <v>0</v>
      </c>
      <c r="N204" s="94">
        <f>SUMIFS('Forbrug af biomasse'!E:E,'Forbrug af biomasse'!C:C,'Resultat-Produktion &amp; forbrug'!$A204,'Forbrug af biomasse'!D:D,'Resultat-Produktion &amp; forbrug'!$E204,'Forbrug af biomasse'!G:G,1,'Forbrug af biomasse'!B:B,$F204)</f>
        <v>0</v>
      </c>
      <c r="O204" s="179">
        <f t="shared" si="53"/>
        <v>0</v>
      </c>
      <c r="P204" s="94">
        <f t="shared" si="65"/>
        <v>0</v>
      </c>
      <c r="Q204" s="180">
        <f t="shared" si="54"/>
        <v>508.89686663358577</v>
      </c>
      <c r="R204">
        <f>IFERROR(VLOOKUP(A204,[1]Energiindhold!$A$2:$C$11,3,FALSE),IFERROR(VLOOKUP(A204,[1]Biogasudbytte!$A$2:$B$18,2,FALSE)*[1]Energiindhold!$C$10,0))*P204</f>
        <v>0</v>
      </c>
      <c r="S204">
        <f>IF(A204&lt;&gt;"Biogas",IFERROR(VLOOKUP(A204,[1]Biogasudbytte!$A$2:$B$18,2,FALSE)*[1]Energiindhold!$C$10,0)*K204*IFERROR(VLOOKUP(A204,Biogasanlæg!$F$3:$G$8,2,FALSE),1)+IFERROR(VLOOKUP(A204,[1]Energiindhold!$A$2:$C$11,3,FALSE),0)*M204+IF(E204&lt;&gt;År1,R204,0),0)</f>
        <v>2.3932910740910907E-4</v>
      </c>
      <c r="T204">
        <f>IFERROR(VLOOKUP(A204,[1]Biogasudbytte!$A$2:$B$18,2,FALSE)*[1]Energiindhold!$C$10,0)*K204*IFERROR(VLOOKUP(A204,Biogasanlæg!$F$3:$G$8,2,FALSE),1)</f>
        <v>2.3932910740910907E-4</v>
      </c>
      <c r="U204" s="170">
        <f t="shared" si="55"/>
        <v>0</v>
      </c>
      <c r="V204" s="169">
        <f>P204*IFERROR(VLOOKUP(A204,[1]Tørstofindhold!A$2:B$24,2,FALSE),0)</f>
        <v>0</v>
      </c>
      <c r="W204">
        <f>IF(E204=År1,Q204,SUM(P204,Q204))*IFERROR(VLOOKUP(A204,[1]Tørstofindhold!A$2:B$24,2,FALSE),0)</f>
        <v>32.060502597915907</v>
      </c>
      <c r="X204">
        <f>K204*IFERROR(VLOOKUP(A204,[1]Tørstofindhold!A$2:B$24,2,FALSE),0)</f>
        <v>32.060502597915907</v>
      </c>
      <c r="Y204" s="170">
        <f t="shared" si="56"/>
        <v>0</v>
      </c>
      <c r="Z204">
        <f t="shared" si="66"/>
        <v>0</v>
      </c>
      <c r="AA204">
        <f t="shared" si="67"/>
        <v>0</v>
      </c>
      <c r="AB204" s="94">
        <f t="shared" si="68"/>
        <v>0</v>
      </c>
      <c r="AC204">
        <f>AB204*D204*10000*VLOOKUP(A204,[1]kcal!$A$2:$C$49,3,FALSE)/1000000000000</f>
        <v>0</v>
      </c>
    </row>
    <row r="205" spans="1:29" x14ac:dyDescent="0.25">
      <c r="A205" s="171" t="str">
        <f t="shared" si="62"/>
        <v>Fjerkrækød</v>
      </c>
      <c r="B205" s="171" t="str">
        <f t="shared" si="63"/>
        <v/>
      </c>
      <c r="C205" s="171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71">
        <f t="shared" si="61"/>
        <v>1</v>
      </c>
      <c r="E205" s="171">
        <f t="shared" si="64"/>
        <v>2030</v>
      </c>
      <c r="F205" t="s">
        <v>24</v>
      </c>
      <c r="G205" s="94">
        <f>IF(F205="Vestdanmark",SUMIFS(IF(E205=År1,'Resultater - Vestdanmark'!H$3:H$504,IF(E205=År2,'Resultater - Vestdanmark'!I$3:I$504,'Resultater - Vestdanmark'!J$3:J$504)),'Resultater - Vestdanmark'!$F$3:$F$504,$A205,IF(E205=År1,'Resultater - Vestdanmark'!H$3:H$504,IF(E205=År2,'Resultater - Vestdanmark'!I$3:I$504,'Resultater - Vestdanmark'!J$3:J$504)),"&gt;0"),SUMIFS(IF(E205=År1,'Resultater - Østdanmark'!H$3:H$504,IF(E205=År2,'Resultater - Østdanmark'!I$3:I$504,'Resultater - Østdanmark'!J$3:J$504)),'Resultater - Østdanmark'!$F$3:$F$504,$A205,IF(E205=År1,'Resultater - Østdanmark'!H$3:H$504,IF(E205=År2,'Resultater - Østdanmark'!I$3:I$504,'Resultater - Østdanmark'!J$3:J$504)),"&gt;0"))</f>
        <v>8276.4182574830029</v>
      </c>
      <c r="H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forbrug'!H$3,'Forbrug af biomasse'!$B$2:$B$425,$F205)</f>
        <v>0</v>
      </c>
      <c r="I205">
        <f>IF(F205="Vestdanmark",-IF(A205="Halm",SUMIFS(IF(E205=År1,'Resultater - Vestdanmark'!H$3:H$504,IF(E205=År2,'Resultater - Vestdanmark'!I$3:I$504,'Resultater - Vestdanmark'!J$3:J$504)),'Resultater - Vestdanmark'!$F$3:$F$504,$A205,'Resultater - Vestdanmark'!H$3:H$504,"&lt;0"),0),-IF(A205="Halm",SUMIFS(IF(E205=År1,'Resultater - Østdanmark'!H$3:H$504,IF(E205=År2,'Resultater - Østdanmark'!I$3:I$504,'Resultater - Østdanmark'!J$3:J$504)),'Resultater - Østdanmark'!$F$3:$F$504,$A205,'Resultater - Østdanmark'!H$3:H$504,"&lt;0"),0))</f>
        <v>0</v>
      </c>
      <c r="J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forbrug'!J$3,'Forbrug af biomasse'!$B$2:$B$425,$F205)</f>
        <v>30560.118468347584</v>
      </c>
      <c r="K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forbrug'!K$3,'Forbrug af biomasse'!$B$2:$B$425,$F205)</f>
        <v>0</v>
      </c>
      <c r="L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forbrug'!L$3,'Forbrug af biomasse'!$B$2:$B$425,$F205)</f>
        <v>0</v>
      </c>
      <c r="M205" s="94">
        <f>IF(A205&lt;&gt;"Biogas",SUMIFS('Forbrug af biomasse'!$E$2:$E$425,'Forbrug af biomasse'!$C$2:$C$425,'Resultat-Produktion &amp; forbrug'!$A205,'Forbrug af biomasse'!$D$2:$D$425,'Resultat-Produktion &amp; forbrug'!$E205,'Forbrug af biomasse'!$A$2:$A$425,'Resultat-Produktion &amp; forbrug'!M$3,'Forbrug af biomasse'!$B$2:$B$425,$F205),G205)</f>
        <v>0</v>
      </c>
      <c r="N205" s="94">
        <f>SUMIFS('Forbrug af biomasse'!E:E,'Forbrug af biomasse'!C:C,'Resultat-Produktion &amp; forbrug'!$A205,'Forbrug af biomasse'!D:D,'Resultat-Produktion &amp; forbrug'!$E205,'Forbrug af biomasse'!G:G,1,'Forbrug af biomasse'!B:B,$F205)</f>
        <v>0</v>
      </c>
      <c r="O205" s="179">
        <f t="shared" si="53"/>
        <v>-22283.700210864583</v>
      </c>
      <c r="P205" s="94">
        <f t="shared" si="65"/>
        <v>0</v>
      </c>
      <c r="Q205" s="180">
        <f t="shared" si="54"/>
        <v>0</v>
      </c>
      <c r="R205">
        <f>IFERROR(VLOOKUP(A205,[1]Energiindhold!$A$2:$C$11,3,FALSE),IFERROR(VLOOKUP(A205,[1]Biogasudbytte!$A$2:$B$18,2,FALSE)*[1]Energiindhold!$C$10,0))*P205</f>
        <v>0</v>
      </c>
      <c r="S205">
        <f>IF(A205&lt;&gt;"Biogas",IFERROR(VLOOKUP(A205,[1]Biogasudbytte!$A$2:$B$18,2,FALSE)*[1]Energiindhold!$C$10,0)*K205*IFERROR(VLOOKUP(A205,Biogasanlæg!$F$3:$G$8,2,FALSE),1)+IFERROR(VLOOKUP(A205,[1]Energiindhold!$A$2:$C$11,3,FALSE),0)*M205+IF(E205&lt;&gt;År1,R205,0),0)</f>
        <v>0</v>
      </c>
      <c r="T205">
        <f>IFERROR(VLOOKUP(A205,[1]Biogasudbytte!$A$2:$B$18,2,FALSE)*[1]Energiindhold!$C$10,0)*K205*IFERROR(VLOOKUP(A205,Biogasanlæg!$F$3:$G$8,2,FALSE),1)</f>
        <v>0</v>
      </c>
      <c r="U205" s="170">
        <f t="shared" si="55"/>
        <v>0</v>
      </c>
      <c r="V205" s="169">
        <f>P205*IFERROR(VLOOKUP(A205,[1]Tørstofindhold!A$2:B$24,2,FALSE),0)</f>
        <v>0</v>
      </c>
      <c r="W205">
        <f>IF(E205=År1,Q205,SUM(P205,Q205))*IFERROR(VLOOKUP(A205,[1]Tørstofindhold!A$2:B$24,2,FALSE),0)</f>
        <v>0</v>
      </c>
      <c r="X205">
        <f>K205*IFERROR(VLOOKUP(A205,[1]Tørstofindhold!A$2:B$24,2,FALSE),0)</f>
        <v>0</v>
      </c>
      <c r="Y205" s="170">
        <f t="shared" si="56"/>
        <v>0</v>
      </c>
      <c r="Z205">
        <f t="shared" si="66"/>
        <v>0</v>
      </c>
      <c r="AA205">
        <f t="shared" si="67"/>
        <v>1</v>
      </c>
      <c r="AB205" s="94">
        <f t="shared" si="68"/>
        <v>8276.4182574830029</v>
      </c>
      <c r="AC205">
        <f>AB205*D205*10000*VLOOKUP(A205,[1]kcal!$A$2:$C$49,3,FALSE)/1000000000000</f>
        <v>1.2580155751374165E-2</v>
      </c>
    </row>
    <row r="206" spans="1:29" x14ac:dyDescent="0.25">
      <c r="A206" s="171" t="str">
        <f t="shared" si="62"/>
        <v>Frø</v>
      </c>
      <c r="B206" s="171" t="str">
        <f t="shared" si="63"/>
        <v/>
      </c>
      <c r="C206" s="171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71">
        <f t="shared" si="61"/>
        <v>0</v>
      </c>
      <c r="E206" s="171">
        <f t="shared" si="64"/>
        <v>2030</v>
      </c>
      <c r="F206" t="s">
        <v>24</v>
      </c>
      <c r="G206" s="94">
        <f>IF(F206="Vestdanmark",SUMIFS(IF(E206=År1,'Resultater - Vestdanmark'!H$3:H$504,IF(E206=År2,'Resultater - Vestdanmark'!I$3:I$504,'Resultater - Vestdanmark'!J$3:J$504)),'Resultater - Vestdanmark'!$F$3:$F$504,$A206,IF(E206=År1,'Resultater - Vestdanmark'!H$3:H$504,IF(E206=År2,'Resultater - Vestdanmark'!I$3:I$504,'Resultater - Vestdanmark'!J$3:J$504)),"&gt;0"),SUMIFS(IF(E206=År1,'Resultater - Østdanmark'!H$3:H$504,IF(E206=År2,'Resultater - Østdanmark'!I$3:I$504,'Resultater - Østdanmark'!J$3:J$504)),'Resultater - Østdanmark'!$F$3:$F$504,$A206,IF(E206=År1,'Resultater - Østdanmark'!H$3:H$504,IF(E206=År2,'Resultater - Østdanmark'!I$3:I$504,'Resultater - Østdanmark'!J$3:J$504)),"&gt;0"))</f>
        <v>333442.78659773892</v>
      </c>
      <c r="H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forbrug'!H$3,'Forbrug af biomasse'!$B$2:$B$425,$F206)</f>
        <v>0</v>
      </c>
      <c r="I206">
        <f>IF(F206="Vestdanmark",-IF(A206="Halm",SUMIFS(IF(E206=År1,'Resultater - Vestdanmark'!H$3:H$504,IF(E206=År2,'Resultater - Vestdanmark'!I$3:I$504,'Resultater - Vestdanmark'!J$3:J$504)),'Resultater - Vestdanmark'!$F$3:$F$504,$A206,'Resultater - Vestdanmark'!H$3:H$504,"&lt;0"),0),-IF(A206="Halm",SUMIFS(IF(E206=År1,'Resultater - Østdanmark'!H$3:H$504,IF(E206=År2,'Resultater - Østdanmark'!I$3:I$504,'Resultater - Østdanmark'!J$3:J$504)),'Resultater - Østdanmark'!$F$3:$F$504,$A206,'Resultater - Østdanmark'!H$3:H$504,"&lt;0"),0))</f>
        <v>0</v>
      </c>
      <c r="J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forbrug'!J$3,'Forbrug af biomasse'!$B$2:$B$425,$F206)</f>
        <v>0</v>
      </c>
      <c r="K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forbrug'!K$3,'Forbrug af biomasse'!$B$2:$B$425,$F206)</f>
        <v>0</v>
      </c>
      <c r="L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forbrug'!L$3,'Forbrug af biomasse'!$B$2:$B$425,$F206)</f>
        <v>0</v>
      </c>
      <c r="M206" s="94">
        <f>IF(A206&lt;&gt;"Biogas",SUMIFS('Forbrug af biomasse'!$E$2:$E$425,'Forbrug af biomasse'!$C$2:$C$425,'Resultat-Produktion &amp; forbrug'!$A206,'Forbrug af biomasse'!$D$2:$D$425,'Resultat-Produktion &amp; forbrug'!$E206,'Forbrug af biomasse'!$A$2:$A$425,'Resultat-Produktion &amp; forbrug'!M$3,'Forbrug af biomasse'!$B$2:$B$425,$F206),G206)</f>
        <v>0</v>
      </c>
      <c r="N206" s="94">
        <f>SUMIFS('Forbrug af biomasse'!E:E,'Forbrug af biomasse'!C:C,'Resultat-Produktion &amp; forbrug'!$A206,'Forbrug af biomasse'!D:D,'Resultat-Produktion &amp; forbrug'!$E206,'Forbrug af biomasse'!G:G,1,'Forbrug af biomasse'!B:B,$F206)</f>
        <v>0</v>
      </c>
      <c r="O206" s="179">
        <f t="shared" si="53"/>
        <v>333442.78659773892</v>
      </c>
      <c r="P206" s="94">
        <f t="shared" si="65"/>
        <v>0</v>
      </c>
      <c r="Q206" s="180">
        <f t="shared" si="54"/>
        <v>0</v>
      </c>
      <c r="R206">
        <f>IFERROR(VLOOKUP(A206,[1]Energiindhold!$A$2:$C$11,3,FALSE),IFERROR(VLOOKUP(A206,[1]Biogasudbytte!$A$2:$B$18,2,FALSE)*[1]Energiindhold!$C$10,0))*P206</f>
        <v>0</v>
      </c>
      <c r="S206">
        <f>IF(A206&lt;&gt;"Biogas",IFERROR(VLOOKUP(A206,[1]Biogasudbytte!$A$2:$B$18,2,FALSE)*[1]Energiindhold!$C$10,0)*K206*IFERROR(VLOOKUP(A206,Biogasanlæg!$F$3:$G$8,2,FALSE),1)+IFERROR(VLOOKUP(A206,[1]Energiindhold!$A$2:$C$11,3,FALSE),0)*M206+IF(E206&lt;&gt;År1,R206,0),0)</f>
        <v>0</v>
      </c>
      <c r="T206">
        <f>IFERROR(VLOOKUP(A206,[1]Biogasudbytte!$A$2:$B$18,2,FALSE)*[1]Energiindhold!$C$10,0)*K206*IFERROR(VLOOKUP(A206,Biogasanlæg!$F$3:$G$8,2,FALSE),1)</f>
        <v>0</v>
      </c>
      <c r="U206" s="170">
        <f t="shared" si="55"/>
        <v>0</v>
      </c>
      <c r="V206" s="169">
        <f>P206*IFERROR(VLOOKUP(A206,[1]Tørstofindhold!A$2:B$24,2,FALSE),0)</f>
        <v>0</v>
      </c>
      <c r="W206">
        <f>IF(E206=År1,Q206,SUM(P206,Q206))*IFERROR(VLOOKUP(A206,[1]Tørstofindhold!A$2:B$24,2,FALSE),0)</f>
        <v>0</v>
      </c>
      <c r="X206">
        <f>K206*IFERROR(VLOOKUP(A206,[1]Tørstofindhold!A$2:B$24,2,FALSE),0)</f>
        <v>0</v>
      </c>
      <c r="Y206" s="170">
        <f t="shared" si="56"/>
        <v>0</v>
      </c>
      <c r="Z206">
        <f t="shared" si="66"/>
        <v>0</v>
      </c>
      <c r="AA206">
        <f t="shared" si="67"/>
        <v>1</v>
      </c>
      <c r="AB206" s="94">
        <f t="shared" si="68"/>
        <v>333442.78659773892</v>
      </c>
      <c r="AC206">
        <f>AB206*D206*10000*VLOOKUP(A206,[1]kcal!$A$2:$C$49,3,FALSE)/1000000000000</f>
        <v>0</v>
      </c>
    </row>
    <row r="207" spans="1:29" x14ac:dyDescent="0.25">
      <c r="A207" s="171" t="str">
        <f t="shared" si="62"/>
        <v>Frugt</v>
      </c>
      <c r="B207" s="171" t="str">
        <f t="shared" si="63"/>
        <v/>
      </c>
      <c r="C207" s="171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0</v>
      </c>
      <c r="D207" s="171">
        <f t="shared" si="61"/>
        <v>1</v>
      </c>
      <c r="E207" s="171">
        <f t="shared" si="64"/>
        <v>2030</v>
      </c>
      <c r="F207" t="s">
        <v>24</v>
      </c>
      <c r="G207" s="94">
        <f>IF(F207="Vestdanmark",SUMIFS(IF(E207=År1,'Resultater - Vestdanmark'!H$3:H$504,IF(E207=År2,'Resultater - Vestdanmark'!I$3:I$504,'Resultater - Vestdanmark'!J$3:J$504)),'Resultater - Vestdanmark'!$F$3:$F$504,$A207,IF(E207=År1,'Resultater - Vestdanmark'!H$3:H$504,IF(E207=År2,'Resultater - Vestdanmark'!I$3:I$504,'Resultater - Vestdanmark'!J$3:J$504)),"&gt;0"),SUMIFS(IF(E207=År1,'Resultater - Østdanmark'!H$3:H$504,IF(E207=År2,'Resultater - Østdanmark'!I$3:I$504,'Resultater - Østdanmark'!J$3:J$504)),'Resultater - Østdanmark'!$F$3:$F$504,$A207,IF(E207=År1,'Resultater - Østdanmark'!H$3:H$504,IF(E207=År2,'Resultater - Østdanmark'!I$3:I$504,'Resultater - Østdanmark'!J$3:J$504)),"&gt;0"))</f>
        <v>9148.1169872791615</v>
      </c>
      <c r="H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forbrug'!H$3,'Forbrug af biomasse'!$B$2:$B$425,$F207)</f>
        <v>0</v>
      </c>
      <c r="I207">
        <f>IF(F207="Vestdanmark",-IF(A207="Halm",SUMIFS(IF(E207=År1,'Resultater - Vestdanmark'!H$3:H$504,IF(E207=År2,'Resultater - Vestdanmark'!I$3:I$504,'Resultater - Vestdanmark'!J$3:J$504)),'Resultater - Vestdanmark'!$F$3:$F$504,$A207,'Resultater - Vestdanmark'!H$3:H$504,"&lt;0"),0),-IF(A207="Halm",SUMIFS(IF(E207=År1,'Resultater - Østdanmark'!H$3:H$504,IF(E207=År2,'Resultater - Østdanmark'!I$3:I$504,'Resultater - Østdanmark'!J$3:J$504)),'Resultater - Østdanmark'!$F$3:$F$504,$A207,'Resultater - Østdanmark'!H$3:H$504,"&lt;0"),0))</f>
        <v>0</v>
      </c>
      <c r="J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forbrug'!J$3,'Forbrug af biomasse'!$B$2:$B$425,$F207)</f>
        <v>223323.94265330929</v>
      </c>
      <c r="K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forbrug'!K$3,'Forbrug af biomasse'!$B$2:$B$425,$F207)</f>
        <v>0</v>
      </c>
      <c r="L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forbrug'!L$3,'Forbrug af biomasse'!$B$2:$B$425,$F207)</f>
        <v>0</v>
      </c>
      <c r="M207" s="94">
        <f>IF(A207&lt;&gt;"Biogas",SUMIFS('Forbrug af biomasse'!$E$2:$E$425,'Forbrug af biomasse'!$C$2:$C$425,'Resultat-Produktion &amp; forbrug'!$A207,'Forbrug af biomasse'!$D$2:$D$425,'Resultat-Produktion &amp; forbrug'!$E207,'Forbrug af biomasse'!$A$2:$A$425,'Resultat-Produktion &amp; forbrug'!M$3,'Forbrug af biomasse'!$B$2:$B$425,$F207),G207)</f>
        <v>0</v>
      </c>
      <c r="N207" s="94">
        <f>SUMIFS('Forbrug af biomasse'!E:E,'Forbrug af biomasse'!C:C,'Resultat-Produktion &amp; forbrug'!$A207,'Forbrug af biomasse'!D:D,'Resultat-Produktion &amp; forbrug'!$E207,'Forbrug af biomasse'!G:G,1,'Forbrug af biomasse'!B:B,$F207)</f>
        <v>0</v>
      </c>
      <c r="O207" s="179">
        <f t="shared" si="53"/>
        <v>-214175.82566603014</v>
      </c>
      <c r="P207" s="94">
        <f t="shared" si="65"/>
        <v>0</v>
      </c>
      <c r="Q207" s="180">
        <f t="shared" si="54"/>
        <v>0</v>
      </c>
      <c r="R207">
        <f>IFERROR(VLOOKUP(A207,[1]Energiindhold!$A$2:$C$11,3,FALSE),IFERROR(VLOOKUP(A207,[1]Biogasudbytte!$A$2:$B$18,2,FALSE)*[1]Energiindhold!$C$10,0))*P207</f>
        <v>0</v>
      </c>
      <c r="S207">
        <f>IF(A207&lt;&gt;"Biogas",IFERROR(VLOOKUP(A207,[1]Biogasudbytte!$A$2:$B$18,2,FALSE)*[1]Energiindhold!$C$10,0)*K207*IFERROR(VLOOKUP(A207,Biogasanlæg!$F$3:$G$8,2,FALSE),1)+IFERROR(VLOOKUP(A207,[1]Energiindhold!$A$2:$C$11,3,FALSE),0)*M207+IF(E207&lt;&gt;År1,R207,0),0)</f>
        <v>0</v>
      </c>
      <c r="T207">
        <f>IFERROR(VLOOKUP(A207,[1]Biogasudbytte!$A$2:$B$18,2,FALSE)*[1]Energiindhold!$C$10,0)*K207*IFERROR(VLOOKUP(A207,Biogasanlæg!$F$3:$G$8,2,FALSE),1)</f>
        <v>0</v>
      </c>
      <c r="U207" s="170">
        <f t="shared" si="55"/>
        <v>0</v>
      </c>
      <c r="V207" s="169">
        <f>P207*IFERROR(VLOOKUP(A207,[1]Tørstofindhold!A$2:B$24,2,FALSE),0)</f>
        <v>0</v>
      </c>
      <c r="W207">
        <f>IF(E207=År1,Q207,SUM(P207,Q207))*IFERROR(VLOOKUP(A207,[1]Tørstofindhold!A$2:B$24,2,FALSE),0)</f>
        <v>0</v>
      </c>
      <c r="X207">
        <f>K207*IFERROR(VLOOKUP(A207,[1]Tørstofindhold!A$2:B$24,2,FALSE),0)</f>
        <v>0</v>
      </c>
      <c r="Y207" s="170">
        <f t="shared" si="56"/>
        <v>0</v>
      </c>
      <c r="Z207">
        <f t="shared" si="66"/>
        <v>1</v>
      </c>
      <c r="AA207">
        <f t="shared" si="67"/>
        <v>0</v>
      </c>
      <c r="AB207" s="94">
        <f t="shared" si="68"/>
        <v>9148.1169872791615</v>
      </c>
      <c r="AC207">
        <f>AB207*D207*10000*VLOOKUP(A207,[1]kcal!$A$2:$C$49,3,FALSE)/1000000000000</f>
        <v>4.7570208333851645E-3</v>
      </c>
    </row>
    <row r="208" spans="1:29" x14ac:dyDescent="0.25">
      <c r="A208" s="171" t="str">
        <f t="shared" si="62"/>
        <v>Glycerin</v>
      </c>
      <c r="B208" s="171" t="str">
        <f t="shared" si="63"/>
        <v>Glycerin</v>
      </c>
      <c r="C208" s="171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71">
        <f t="shared" si="61"/>
        <v>0</v>
      </c>
      <c r="E208" s="171">
        <f t="shared" si="64"/>
        <v>2030</v>
      </c>
      <c r="F208" t="s">
        <v>24</v>
      </c>
      <c r="G208" s="94">
        <f>IF(F208="Vestdanmark",SUMIFS(IF(E208=År1,'Resultater - Vestdanmark'!H$3:H$504,IF(E208=År2,'Resultater - Vestdanmark'!I$3:I$504,'Resultater - Vestdanmark'!J$3:J$504)),'Resultater - Vestdanmark'!$F$3:$F$504,$A208,IF(E208=År1,'Resultater - Vestdanmark'!H$3:H$504,IF(E208=År2,'Resultater - Vestdanmark'!I$3:I$504,'Resultater - Vestdanmark'!J$3:J$504)),"&gt;0"),SUMIFS(IF(E208=År1,'Resultater - Østdanmark'!H$3:H$504,IF(E208=År2,'Resultater - Østdanmark'!I$3:I$504,'Resultater - Østdanmark'!J$3:J$504)),'Resultater - Østdanmark'!$F$3:$F$504,$A208,IF(E208=År1,'Resultater - Østdanmark'!H$3:H$504,IF(E208=År2,'Resultater - Østdanmark'!I$3:I$504,'Resultater - Østdanmark'!J$3:J$504)),"&gt;0"))</f>
        <v>0</v>
      </c>
      <c r="H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forbrug'!H$3,'Forbrug af biomasse'!$B$2:$B$425,$F208)</f>
        <v>0</v>
      </c>
      <c r="I208">
        <f>IF(F208="Vestdanmark",-IF(A208="Halm",SUMIFS(IF(E208=År1,'Resultater - Vestdanmark'!H$3:H$504,IF(E208=År2,'Resultater - Vestdanmark'!I$3:I$504,'Resultater - Vestdanmark'!J$3:J$504)),'Resultater - Vestdanmark'!$F$3:$F$504,$A208,'Resultater - Vestdanmark'!H$3:H$504,"&lt;0"),0),-IF(A208="Halm",SUMIFS(IF(E208=År1,'Resultater - Østdanmark'!H$3:H$504,IF(E208=År2,'Resultater - Østdanmark'!I$3:I$504,'Resultater - Østdanmark'!J$3:J$504)),'Resultater - Østdanmark'!$F$3:$F$504,$A208,'Resultater - Østdanmark'!H$3:H$504,"&lt;0"),0))</f>
        <v>0</v>
      </c>
      <c r="J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forbrug'!J$3,'Forbrug af biomasse'!$B$2:$B$425,$F208)</f>
        <v>0</v>
      </c>
      <c r="K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forbrug'!K$3,'Forbrug af biomasse'!$B$2:$B$425,$F208)</f>
        <v>28548.400000000001</v>
      </c>
      <c r="L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forbrug'!L$3,'Forbrug af biomasse'!$B$2:$B$425,$F208)</f>
        <v>0</v>
      </c>
      <c r="M208" s="94">
        <f>IF(A208&lt;&gt;"Biogas",SUMIFS('Forbrug af biomasse'!$E$2:$E$425,'Forbrug af biomasse'!$C$2:$C$425,'Resultat-Produktion &amp; forbrug'!$A208,'Forbrug af biomasse'!$D$2:$D$425,'Resultat-Produktion &amp; forbrug'!$E208,'Forbrug af biomasse'!$A$2:$A$425,'Resultat-Produktion &amp; forbrug'!M$3,'Forbrug af biomasse'!$B$2:$B$425,$F208),G208)</f>
        <v>0</v>
      </c>
      <c r="N208" s="94">
        <f>SUMIFS('Forbrug af biomasse'!E:E,'Forbrug af biomasse'!C:C,'Resultat-Produktion &amp; forbrug'!$A208,'Forbrug af biomasse'!D:D,'Resultat-Produktion &amp; forbrug'!$E208,'Forbrug af biomasse'!G:G,1,'Forbrug af biomasse'!B:B,$F208)</f>
        <v>0</v>
      </c>
      <c r="O208" s="179">
        <f t="shared" si="53"/>
        <v>-28548.400000000001</v>
      </c>
      <c r="P208" s="94">
        <f t="shared" si="65"/>
        <v>0</v>
      </c>
      <c r="Q208" s="180">
        <f t="shared" si="54"/>
        <v>28548.400000000001</v>
      </c>
      <c r="R208">
        <f>IFERROR(VLOOKUP(A208,[1]Energiindhold!$A$2:$C$11,3,FALSE),IFERROR(VLOOKUP(A208,[1]Biogasudbytte!$A$2:$B$18,2,FALSE)*[1]Energiindhold!$C$10,0))*P208</f>
        <v>0</v>
      </c>
      <c r="S208">
        <f>IF(A208&lt;&gt;"Biogas",IFERROR(VLOOKUP(A208,[1]Biogasudbytte!$A$2:$B$18,2,FALSE)*[1]Energiindhold!$C$10,0)*K208*IFERROR(VLOOKUP(A208,Biogasanlæg!$F$3:$G$8,2,FALSE),1)+IFERROR(VLOOKUP(A208,[1]Energiindhold!$A$2:$C$11,3,FALSE),0)*M208+IF(E208&lt;&gt;År1,R208,0),0)</f>
        <v>0.43389639740160008</v>
      </c>
      <c r="T208">
        <f>IFERROR(VLOOKUP(A208,[1]Biogasudbytte!$A$2:$B$18,2,FALSE)*[1]Energiindhold!$C$10,0)*K208*IFERROR(VLOOKUP(A208,Biogasanlæg!$F$3:$G$8,2,FALSE),1)</f>
        <v>0.43389639740160008</v>
      </c>
      <c r="U208" s="170">
        <f t="shared" si="55"/>
        <v>0</v>
      </c>
      <c r="V208" s="169">
        <f>P208*IFERROR(VLOOKUP(A208,[1]Tørstofindhold!A$2:B$24,2,FALSE),0)</f>
        <v>0</v>
      </c>
      <c r="W208">
        <f>IF(E208=År1,Q208,SUM(P208,Q208))*IFERROR(VLOOKUP(A208,[1]Tørstofindhold!A$2:B$24,2,FALSE),0)</f>
        <v>25693.56</v>
      </c>
      <c r="X208">
        <f>K208*IFERROR(VLOOKUP(A208,[1]Tørstofindhold!A$2:B$24,2,FALSE),0)</f>
        <v>25693.56</v>
      </c>
      <c r="Y208" s="170">
        <f t="shared" si="56"/>
        <v>0</v>
      </c>
      <c r="Z208">
        <f t="shared" si="66"/>
        <v>1</v>
      </c>
      <c r="AA208">
        <f t="shared" si="67"/>
        <v>0</v>
      </c>
      <c r="AB208" s="94">
        <f t="shared" si="68"/>
        <v>-28548.400000000001</v>
      </c>
      <c r="AC208">
        <f>AB208*D208*10000*VLOOKUP(A208,[1]kcal!$A$2:$C$49,3,FALSE)/1000000000000</f>
        <v>0</v>
      </c>
    </row>
    <row r="209" spans="1:29" x14ac:dyDescent="0.25">
      <c r="A209" s="171" t="str">
        <f t="shared" si="62"/>
        <v>Græs</v>
      </c>
      <c r="B209" s="171" t="str">
        <f t="shared" si="63"/>
        <v>Græs og urter</v>
      </c>
      <c r="C209" s="171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1</v>
      </c>
      <c r="D209" s="171">
        <f t="shared" si="61"/>
        <v>0</v>
      </c>
      <c r="E209" s="171">
        <f t="shared" si="64"/>
        <v>2030</v>
      </c>
      <c r="F209" t="s">
        <v>24</v>
      </c>
      <c r="G209" s="94">
        <f>IF(F209="Vestdanmark",SUMIFS(IF(E209=År1,'Resultater - Vestdanmark'!H$3:H$504,IF(E209=År2,'Resultater - Vestdanmark'!I$3:I$504,'Resultater - Vestdanmark'!J$3:J$504)),'Resultater - Vestdanmark'!$F$3:$F$504,$A209,IF(E209=År1,'Resultater - Vestdanmark'!H$3:H$504,IF(E209=År2,'Resultater - Vestdanmark'!I$3:I$504,'Resultater - Vestdanmark'!J$3:J$504)),"&gt;0"),SUMIFS(IF(E209=År1,'Resultater - Østdanmark'!H$3:H$504,IF(E209=År2,'Resultater - Østdanmark'!I$3:I$504,'Resultater - Østdanmark'!J$3:J$504)),'Resultater - Østdanmark'!$F$3:$F$504,$A209,IF(E209=År1,'Resultater - Østdanmark'!H$3:H$504,IF(E209=År2,'Resultater - Østdanmark'!I$3:I$504,'Resultater - Østdanmark'!J$3:J$504)),"&gt;0"))</f>
        <v>3398874.4701964208</v>
      </c>
      <c r="H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forbrug'!H$3,'Forbrug af biomasse'!$B$2:$B$425,$F209)</f>
        <v>1011222.0008630237</v>
      </c>
      <c r="I209">
        <f>IF(F209="Vestdanmark",-IF(A209="Halm",SUMIFS(IF(E209=År1,'Resultater - Vestdanmark'!H$3:H$504,IF(E209=År2,'Resultater - Vestdanmark'!I$3:I$504,'Resultater - Vestdanmark'!J$3:J$504)),'Resultater - Vestdanmark'!$F$3:$F$504,$A209,'Resultater - Vestdanmark'!H$3:H$504,"&lt;0"),0),-IF(A209="Halm",SUMIFS(IF(E209=År1,'Resultater - Østdanmark'!H$3:H$504,IF(E209=År2,'Resultater - Østdanmark'!I$3:I$504,'Resultater - Østdanmark'!J$3:J$504)),'Resultater - Østdanmark'!$F$3:$F$504,$A209,'Resultater - Østdanmark'!H$3:H$504,"&lt;0"),0))</f>
        <v>0</v>
      </c>
      <c r="J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forbrug'!J$3,'Forbrug af biomasse'!$B$2:$B$425,$F209)</f>
        <v>0</v>
      </c>
      <c r="K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forbrug'!K$3,'Forbrug af biomasse'!$B$2:$B$425,$F209)</f>
        <v>0</v>
      </c>
      <c r="L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forbrug'!L$3,'Forbrug af biomasse'!$B$2:$B$425,$F209)</f>
        <v>0</v>
      </c>
      <c r="M209" s="94">
        <f>IF(A209&lt;&gt;"Biogas",SUMIFS('Forbrug af biomasse'!$E$2:$E$425,'Forbrug af biomasse'!$C$2:$C$425,'Resultat-Produktion &amp; forbrug'!$A209,'Forbrug af biomasse'!$D$2:$D$425,'Resultat-Produktion &amp; forbrug'!$E209,'Forbrug af biomasse'!$A$2:$A$425,'Resultat-Produktion &amp; forbrug'!M$3,'Forbrug af biomasse'!$B$2:$B$425,$F209),G209)</f>
        <v>0</v>
      </c>
      <c r="N209" s="94">
        <f>SUMIFS('Forbrug af biomasse'!E:E,'Forbrug af biomasse'!C:C,'Resultat-Produktion &amp; forbrug'!$A209,'Forbrug af biomasse'!D:D,'Resultat-Produktion &amp; forbrug'!$E209,'Forbrug af biomasse'!G:G,1,'Forbrug af biomasse'!B:B,$F209)</f>
        <v>0</v>
      </c>
      <c r="O209" s="179">
        <f t="shared" si="53"/>
        <v>2387652.4693333972</v>
      </c>
      <c r="P209" s="94">
        <f t="shared" si="65"/>
        <v>2387652.4693333972</v>
      </c>
      <c r="Q209" s="180">
        <f t="shared" si="54"/>
        <v>0</v>
      </c>
      <c r="R209">
        <f>IFERROR(VLOOKUP(A209,[1]Energiindhold!$A$2:$C$11,3,FALSE),IFERROR(VLOOKUP(A209,[1]Biogasudbytte!$A$2:$B$18,2,FALSE)*[1]Energiindhold!$C$10,0))*P209</f>
        <v>4.3929820870147847</v>
      </c>
      <c r="S209">
        <f>IF(A209&lt;&gt;"Biogas",IFERROR(VLOOKUP(A209,[1]Biogasudbytte!$A$2:$B$18,2,FALSE)*[1]Energiindhold!$C$10,0)*K209*IFERROR(VLOOKUP(A209,Biogasanlæg!$F$3:$G$8,2,FALSE),1)+IFERROR(VLOOKUP(A209,[1]Energiindhold!$A$2:$C$11,3,FALSE),0)*M209+IF(E209&lt;&gt;År1,R209,0),0)</f>
        <v>4.3929820870147847</v>
      </c>
      <c r="T209">
        <f>IFERROR(VLOOKUP(A209,[1]Biogasudbytte!$A$2:$B$18,2,FALSE)*[1]Energiindhold!$C$10,0)*K209*IFERROR(VLOOKUP(A209,Biogasanlæg!$F$3:$G$8,2,FALSE),1)</f>
        <v>0</v>
      </c>
      <c r="U209" s="170">
        <f t="shared" si="55"/>
        <v>4.3929820870147847</v>
      </c>
      <c r="V209" s="169">
        <f>P209*IFERROR(VLOOKUP(A209,[1]Tørstofindhold!A$2:B$24,2,FALSE),0)</f>
        <v>668542.69141335133</v>
      </c>
      <c r="W209">
        <f>IF(E209=År1,Q209,SUM(P209,Q209))*IFERROR(VLOOKUP(A209,[1]Tørstofindhold!A$2:B$24,2,FALSE),0)</f>
        <v>668542.69141335133</v>
      </c>
      <c r="X209">
        <f>K209*IFERROR(VLOOKUP(A209,[1]Tørstofindhold!A$2:B$24,2,FALSE),0)</f>
        <v>0</v>
      </c>
      <c r="Y209" s="170">
        <f t="shared" si="56"/>
        <v>668542.69141335133</v>
      </c>
      <c r="Z209">
        <f t="shared" si="66"/>
        <v>0</v>
      </c>
      <c r="AA209">
        <f t="shared" si="67"/>
        <v>1</v>
      </c>
      <c r="AB209" s="94">
        <f t="shared" si="68"/>
        <v>2387652.4693333972</v>
      </c>
      <c r="AC209">
        <f>AB209*D209*10000*VLOOKUP(A209,[1]kcal!$A$2:$C$49,3,FALSE)/1000000000000</f>
        <v>0</v>
      </c>
    </row>
    <row r="210" spans="1:29" x14ac:dyDescent="0.25">
      <c r="A210" s="171" t="str">
        <f t="shared" si="62"/>
        <v>Græsprotein</v>
      </c>
      <c r="B210" s="171" t="str">
        <f t="shared" si="63"/>
        <v/>
      </c>
      <c r="C210" s="171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71">
        <f t="shared" si="61"/>
        <v>0</v>
      </c>
      <c r="E210" s="171">
        <f t="shared" si="64"/>
        <v>2030</v>
      </c>
      <c r="F210" t="s">
        <v>24</v>
      </c>
      <c r="G210" s="94">
        <f>IF(F210="Vestdanmark",SUMIFS(IF(E210=År1,'Resultater - Vestdanmark'!H$3:H$504,IF(E210=År2,'Resultater - Vestdanmark'!I$3:I$504,'Resultater - Vestdanmark'!J$3:J$504)),'Resultater - Vestdanmark'!$F$3:$F$504,$A210,IF(E210=År1,'Resultater - Vestdanmark'!H$3:H$504,IF(E210=År2,'Resultater - Vestdanmark'!I$3:I$504,'Resultater - Vestdanmark'!J$3:J$504)),"&gt;0"),SUMIFS(IF(E210=År1,'Resultater - Østdanmark'!H$3:H$504,IF(E210=År2,'Resultater - Østdanmark'!I$3:I$504,'Resultater - Østdanmark'!J$3:J$504)),'Resultater - Østdanmark'!$F$3:$F$504,$A210,IF(E210=År1,'Resultater - Østdanmark'!H$3:H$504,IF(E210=År2,'Resultater - Østdanmark'!I$3:I$504,'Resultater - Østdanmark'!J$3:J$504)),"&gt;0"))</f>
        <v>0</v>
      </c>
      <c r="H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forbrug'!H$3,'Forbrug af biomasse'!$B$2:$B$425,$F210)</f>
        <v>0</v>
      </c>
      <c r="I210">
        <f>IF(F210="Vestdanmark",-IF(A210="Halm",SUMIFS(IF(E210=År1,'Resultater - Vestdanmark'!H$3:H$504,IF(E210=År2,'Resultater - Vestdanmark'!I$3:I$504,'Resultater - Vestdanmark'!J$3:J$504)),'Resultater - Vestdanmark'!$F$3:$F$504,$A210,'Resultater - Vestdanmark'!H$3:H$504,"&lt;0"),0),-IF(A210="Halm",SUMIFS(IF(E210=År1,'Resultater - Østdanmark'!H$3:H$504,IF(E210=År2,'Resultater - Østdanmark'!I$3:I$504,'Resultater - Østdanmark'!J$3:J$504)),'Resultater - Østdanmark'!$F$3:$F$504,$A210,'Resultater - Østdanmark'!H$3:H$504,"&lt;0"),0))</f>
        <v>0</v>
      </c>
      <c r="J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forbrug'!J$3,'Forbrug af biomasse'!$B$2:$B$425,$F210)</f>
        <v>0</v>
      </c>
      <c r="K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forbrug'!K$3,'Forbrug af biomasse'!$B$2:$B$425,$F210)</f>
        <v>0</v>
      </c>
      <c r="L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forbrug'!L$3,'Forbrug af biomasse'!$B$2:$B$425,$F210)</f>
        <v>0</v>
      </c>
      <c r="M210" s="94">
        <f>IF(A210&lt;&gt;"Biogas",SUMIFS('Forbrug af biomasse'!$E$2:$E$425,'Forbrug af biomasse'!$C$2:$C$425,'Resultat-Produktion &amp; forbrug'!$A210,'Forbrug af biomasse'!$D$2:$D$425,'Resultat-Produktion &amp; forbrug'!$E210,'Forbrug af biomasse'!$A$2:$A$425,'Resultat-Produktion &amp; forbrug'!M$3,'Forbrug af biomasse'!$B$2:$B$425,$F210),G210)</f>
        <v>0</v>
      </c>
      <c r="N210" s="94">
        <f>SUMIFS('Forbrug af biomasse'!E:E,'Forbrug af biomasse'!C:C,'Resultat-Produktion &amp; forbrug'!$A210,'Forbrug af biomasse'!D:D,'Resultat-Produktion &amp; forbrug'!$E210,'Forbrug af biomasse'!G:G,1,'Forbrug af biomasse'!B:B,$F210)</f>
        <v>0</v>
      </c>
      <c r="O210" s="179">
        <f t="shared" si="53"/>
        <v>0</v>
      </c>
      <c r="P210" s="94">
        <f t="shared" si="65"/>
        <v>0</v>
      </c>
      <c r="Q210" s="180">
        <f t="shared" si="54"/>
        <v>0</v>
      </c>
      <c r="R210">
        <f>IFERROR(VLOOKUP(A210,[1]Energiindhold!$A$2:$C$11,3,FALSE),IFERROR(VLOOKUP(A210,[1]Biogasudbytte!$A$2:$B$18,2,FALSE)*[1]Energiindhold!$C$10,0))*P210</f>
        <v>0</v>
      </c>
      <c r="S210">
        <f>IF(A210&lt;&gt;"Biogas",IFERROR(VLOOKUP(A210,[1]Biogasudbytte!$A$2:$B$18,2,FALSE)*[1]Energiindhold!$C$10,0)*K210*IFERROR(VLOOKUP(A210,Biogasanlæg!$F$3:$G$8,2,FALSE),1)+IFERROR(VLOOKUP(A210,[1]Energiindhold!$A$2:$C$11,3,FALSE),0)*M210+IF(E210&lt;&gt;År1,R210,0),0)</f>
        <v>0</v>
      </c>
      <c r="T210">
        <f>IFERROR(VLOOKUP(A210,[1]Biogasudbytte!$A$2:$B$18,2,FALSE)*[1]Energiindhold!$C$10,0)*K210*IFERROR(VLOOKUP(A210,Biogasanlæg!$F$3:$G$8,2,FALSE),1)</f>
        <v>0</v>
      </c>
      <c r="U210" s="170">
        <f t="shared" si="55"/>
        <v>0</v>
      </c>
      <c r="V210" s="169">
        <f>P210*IFERROR(VLOOKUP(A210,[1]Tørstofindhold!A$2:B$24,2,FALSE),0)</f>
        <v>0</v>
      </c>
      <c r="W210">
        <f>IF(E210=År1,Q210,SUM(P210,Q210))*IFERROR(VLOOKUP(A210,[1]Tørstofindhold!A$2:B$24,2,FALSE),0)</f>
        <v>0</v>
      </c>
      <c r="X210">
        <f>K210*IFERROR(VLOOKUP(A210,[1]Tørstofindhold!A$2:B$24,2,FALSE),0)</f>
        <v>0</v>
      </c>
      <c r="Y210" s="170">
        <f t="shared" si="56"/>
        <v>0</v>
      </c>
      <c r="Z210">
        <f t="shared" si="66"/>
        <v>0</v>
      </c>
      <c r="AA210">
        <f t="shared" si="67"/>
        <v>0</v>
      </c>
      <c r="AB210" s="94">
        <f t="shared" si="68"/>
        <v>0</v>
      </c>
      <c r="AC210">
        <f>AB210*D210*10000*VLOOKUP(A210,[1]kcal!$A$2:$C$49,3,FALSE)/1000000000000</f>
        <v>0</v>
      </c>
    </row>
    <row r="211" spans="1:29" x14ac:dyDescent="0.25">
      <c r="A211" s="171" t="str">
        <f t="shared" si="62"/>
        <v>Grøntsager</v>
      </c>
      <c r="B211" s="171" t="str">
        <f t="shared" si="63"/>
        <v/>
      </c>
      <c r="C211" s="171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0</v>
      </c>
      <c r="D211" s="171">
        <f t="shared" si="61"/>
        <v>1</v>
      </c>
      <c r="E211" s="171">
        <f t="shared" si="64"/>
        <v>2030</v>
      </c>
      <c r="F211" t="s">
        <v>24</v>
      </c>
      <c r="G211" s="94">
        <f>IF(F211="Vestdanmark",SUMIFS(IF(E211=År1,'Resultater - Vestdanmark'!H$3:H$504,IF(E211=År2,'Resultater - Vestdanmark'!I$3:I$504,'Resultater - Vestdanmark'!J$3:J$504)),'Resultater - Vestdanmark'!$F$3:$F$504,$A211,IF(E211=År1,'Resultater - Vestdanmark'!H$3:H$504,IF(E211=År2,'Resultater - Vestdanmark'!I$3:I$504,'Resultater - Vestdanmark'!J$3:J$504)),"&gt;0"),SUMIFS(IF(E211=År1,'Resultater - Østdanmark'!H$3:H$504,IF(E211=År2,'Resultater - Østdanmark'!I$3:I$504,'Resultater - Østdanmark'!J$3:J$504)),'Resultater - Østdanmark'!$F$3:$F$504,$A211,IF(E211=År1,'Resultater - Østdanmark'!H$3:H$504,IF(E211=År2,'Resultater - Østdanmark'!I$3:I$504,'Resultater - Østdanmark'!J$3:J$504)),"&gt;0"))</f>
        <v>354031.79838602385</v>
      </c>
      <c r="H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forbrug'!H$3,'Forbrug af biomasse'!$B$2:$B$425,$F211)</f>
        <v>0</v>
      </c>
      <c r="I211">
        <f>IF(F211="Vestdanmark",-IF(A211="Halm",SUMIFS(IF(E211=År1,'Resultater - Vestdanmark'!H$3:H$504,IF(E211=År2,'Resultater - Vestdanmark'!I$3:I$504,'Resultater - Vestdanmark'!J$3:J$504)),'Resultater - Vestdanmark'!$F$3:$F$504,$A211,'Resultater - Vestdanmark'!H$3:H$504,"&lt;0"),0),-IF(A211="Halm",SUMIFS(IF(E211=År1,'Resultater - Østdanmark'!H$3:H$504,IF(E211=År2,'Resultater - Østdanmark'!I$3:I$504,'Resultater - Østdanmark'!J$3:J$504)),'Resultater - Østdanmark'!$F$3:$F$504,$A211,'Resultater - Østdanmark'!H$3:H$504,"&lt;0"),0))</f>
        <v>0</v>
      </c>
      <c r="J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forbrug'!J$3,'Forbrug af biomasse'!$B$2:$B$425,$F211)</f>
        <v>233902.44520004498</v>
      </c>
      <c r="K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forbrug'!K$3,'Forbrug af biomasse'!$B$2:$B$425,$F211)</f>
        <v>0</v>
      </c>
      <c r="L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forbrug'!L$3,'Forbrug af biomasse'!$B$2:$B$425,$F211)</f>
        <v>0</v>
      </c>
      <c r="M211" s="94">
        <f>IF(A211&lt;&gt;"Biogas",SUMIFS('Forbrug af biomasse'!$E$2:$E$425,'Forbrug af biomasse'!$C$2:$C$425,'Resultat-Produktion &amp; forbrug'!$A211,'Forbrug af biomasse'!$D$2:$D$425,'Resultat-Produktion &amp; forbrug'!$E211,'Forbrug af biomasse'!$A$2:$A$425,'Resultat-Produktion &amp; forbrug'!M$3,'Forbrug af biomasse'!$B$2:$B$425,$F211),G211)</f>
        <v>0</v>
      </c>
      <c r="N211" s="94">
        <f>SUMIFS('Forbrug af biomasse'!E:E,'Forbrug af biomasse'!C:C,'Resultat-Produktion &amp; forbrug'!$A211,'Forbrug af biomasse'!D:D,'Resultat-Produktion &amp; forbrug'!$E211,'Forbrug af biomasse'!G:G,1,'Forbrug af biomasse'!B:B,$F211)</f>
        <v>0</v>
      </c>
      <c r="O211" s="179">
        <f t="shared" si="53"/>
        <v>120129.35318597886</v>
      </c>
      <c r="P211" s="94">
        <f t="shared" si="65"/>
        <v>0</v>
      </c>
      <c r="Q211" s="180">
        <f t="shared" si="54"/>
        <v>0</v>
      </c>
      <c r="R211">
        <f>IFERROR(VLOOKUP(A211,[1]Energiindhold!$A$2:$C$11,3,FALSE),IFERROR(VLOOKUP(A211,[1]Biogasudbytte!$A$2:$B$18,2,FALSE)*[1]Energiindhold!$C$10,0))*P211</f>
        <v>0</v>
      </c>
      <c r="S211">
        <f>IF(A211&lt;&gt;"Biogas",IFERROR(VLOOKUP(A211,[1]Biogasudbytte!$A$2:$B$18,2,FALSE)*[1]Energiindhold!$C$10,0)*K211*IFERROR(VLOOKUP(A211,Biogasanlæg!$F$3:$G$8,2,FALSE),1)+IFERROR(VLOOKUP(A211,[1]Energiindhold!$A$2:$C$11,3,FALSE),0)*M211+IF(E211&lt;&gt;År1,R211,0),0)</f>
        <v>0</v>
      </c>
      <c r="T211">
        <f>IFERROR(VLOOKUP(A211,[1]Biogasudbytte!$A$2:$B$18,2,FALSE)*[1]Energiindhold!$C$10,0)*K211*IFERROR(VLOOKUP(A211,Biogasanlæg!$F$3:$G$8,2,FALSE),1)</f>
        <v>0</v>
      </c>
      <c r="U211" s="170">
        <f t="shared" si="55"/>
        <v>0</v>
      </c>
      <c r="V211" s="169">
        <f>P211*IFERROR(VLOOKUP(A211,[1]Tørstofindhold!A$2:B$24,2,FALSE),0)</f>
        <v>0</v>
      </c>
      <c r="W211">
        <f>IF(E211=År1,Q211,SUM(P211,Q211))*IFERROR(VLOOKUP(A211,[1]Tørstofindhold!A$2:B$24,2,FALSE),0)</f>
        <v>0</v>
      </c>
      <c r="X211">
        <f>K211*IFERROR(VLOOKUP(A211,[1]Tørstofindhold!A$2:B$24,2,FALSE),0)</f>
        <v>0</v>
      </c>
      <c r="Y211" s="170">
        <f t="shared" si="56"/>
        <v>0</v>
      </c>
      <c r="Z211">
        <f t="shared" si="66"/>
        <v>0</v>
      </c>
      <c r="AA211">
        <f t="shared" si="67"/>
        <v>1</v>
      </c>
      <c r="AB211" s="94">
        <f t="shared" si="68"/>
        <v>354031.79838602385</v>
      </c>
      <c r="AC211">
        <f>AB211*D211*10000*VLOOKUP(A211,[1]kcal!$A$2:$C$49,3,FALSE)/1000000000000</f>
        <v>0.13807240137054932</v>
      </c>
    </row>
    <row r="212" spans="1:29" x14ac:dyDescent="0.25">
      <c r="A212" s="171" t="str">
        <f t="shared" si="62"/>
        <v>Halm</v>
      </c>
      <c r="B212" s="171" t="str">
        <f t="shared" si="63"/>
        <v>Halm og strå</v>
      </c>
      <c r="C212" s="171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71">
        <f t="shared" si="61"/>
        <v>0</v>
      </c>
      <c r="E212" s="171">
        <f t="shared" si="64"/>
        <v>2030</v>
      </c>
      <c r="F212" t="s">
        <v>24</v>
      </c>
      <c r="G212" s="94">
        <f>IF(F212="Vestdanmark",SUMIFS(IF(E212=År1,'Resultater - Vestdanmark'!H$3:H$504,IF(E212=År2,'Resultater - Vestdanmark'!I$3:I$504,'Resultater - Vestdanmark'!J$3:J$504)),'Resultater - Vestdanmark'!$F$3:$F$504,$A212,IF(E212=År1,'Resultater - Vestdanmark'!H$3:H$504,IF(E212=År2,'Resultater - Vestdanmark'!I$3:I$504,'Resultater - Vestdanmark'!J$3:J$504)),"&gt;0"),SUMIFS(IF(E212=År1,'Resultater - Østdanmark'!H$3:H$504,IF(E212=År2,'Resultater - Østdanmark'!I$3:I$504,'Resultater - Østdanmark'!J$3:J$504)),'Resultater - Østdanmark'!$F$3:$F$504,$A212,IF(E212=År1,'Resultater - Østdanmark'!H$3:H$504,IF(E212=År2,'Resultater - Østdanmark'!I$3:I$504,'Resultater - Østdanmark'!J$3:J$504)),"&gt;0"))</f>
        <v>739772.0117577652</v>
      </c>
      <c r="H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forbrug'!H$3,'Forbrug af biomasse'!$B$2:$B$425,$F212)</f>
        <v>63881.457195285089</v>
      </c>
      <c r="I212">
        <f>IF(F212="Vestdanmark",-IF(A212="Halm",SUMIFS(IF(E212=År1,'Resultater - Vestdanmark'!H$3:H$504,IF(E212=År2,'Resultater - Vestdanmark'!I$3:I$504,'Resultater - Vestdanmark'!J$3:J$504)),'Resultater - Vestdanmark'!$F$3:$F$504,$A212,'Resultater - Vestdanmark'!H$3:H$504,"&lt;0"),0),-IF(A212="Halm",SUMIFS(IF(E212=År1,'Resultater - Østdanmark'!H$3:H$504,IF(E212=År2,'Resultater - Østdanmark'!I$3:I$504,'Resultater - Østdanmark'!J$3:J$504)),'Resultater - Østdanmark'!$F$3:$F$504,$A212,'Resultater - Østdanmark'!H$3:H$504,"&lt;0"),0))</f>
        <v>66924.669018519271</v>
      </c>
      <c r="J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forbrug'!J$3,'Forbrug af biomasse'!$B$2:$B$425,$F212)</f>
        <v>0</v>
      </c>
      <c r="K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forbrug'!K$3,'Forbrug af biomasse'!$B$2:$B$425,$F212)</f>
        <v>0</v>
      </c>
      <c r="L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forbrug'!L$3,'Forbrug af biomasse'!$B$2:$B$425,$F212)</f>
        <v>0</v>
      </c>
      <c r="M212" s="94">
        <f>IF(A212&lt;&gt;"Biogas",SUMIFS('Forbrug af biomasse'!$E$2:$E$425,'Forbrug af biomasse'!$C$2:$C$425,'Resultat-Produktion &amp; forbrug'!$A212,'Forbrug af biomasse'!$D$2:$D$425,'Resultat-Produktion &amp; forbrug'!$E212,'Forbrug af biomasse'!$A$2:$A$425,'Resultat-Produktion &amp; forbrug'!M$3,'Forbrug af biomasse'!$B$2:$B$425,$F212),G212)</f>
        <v>608965.88554396096</v>
      </c>
      <c r="N212" s="94">
        <f>SUMIFS('Forbrug af biomasse'!E:E,'Forbrug af biomasse'!C:C,'Resultat-Produktion &amp; forbrug'!$A212,'Forbrug af biomasse'!D:D,'Resultat-Produktion &amp; forbrug'!$E212,'Forbrug af biomasse'!G:G,1,'Forbrug af biomasse'!B:B,$F212)</f>
        <v>0</v>
      </c>
      <c r="O212" s="179">
        <f t="shared" si="53"/>
        <v>0</v>
      </c>
      <c r="P212" s="94">
        <f t="shared" si="65"/>
        <v>0</v>
      </c>
      <c r="Q212" s="180">
        <f t="shared" si="54"/>
        <v>608965.88554396096</v>
      </c>
      <c r="R212">
        <f>IFERROR(VLOOKUP(A212,[1]Energiindhold!$A$2:$C$11,3,FALSE),IFERROR(VLOOKUP(A212,[1]Biogasudbytte!$A$2:$B$18,2,FALSE)*[1]Energiindhold!$C$10,0))*P212</f>
        <v>0</v>
      </c>
      <c r="S212">
        <f>IF(A212&lt;&gt;"Biogas",IFERROR(VLOOKUP(A212,[1]Biogasudbytte!$A$2:$B$18,2,FALSE)*[1]Energiindhold!$C$10,0)*K212*IFERROR(VLOOKUP(A212,Biogasanlæg!$F$3:$G$8,2,FALSE),1)+IFERROR(VLOOKUP(A212,[1]Energiindhold!$A$2:$C$11,3,FALSE),0)*M212+IF(E212&lt;&gt;År1,R212,0),0)</f>
        <v>6.2941534601218443</v>
      </c>
      <c r="T212">
        <f>IFERROR(VLOOKUP(A212,[1]Biogasudbytte!$A$2:$B$18,2,FALSE)*[1]Energiindhold!$C$10,0)*K212*IFERROR(VLOOKUP(A212,Biogasanlæg!$F$3:$G$8,2,FALSE),1)</f>
        <v>0</v>
      </c>
      <c r="U212" s="170">
        <f t="shared" si="55"/>
        <v>6.2941534601218443</v>
      </c>
      <c r="V212" s="169">
        <f>P212*IFERROR(VLOOKUP(A212,[1]Tørstofindhold!A$2:B$24,2,FALSE),0)</f>
        <v>0</v>
      </c>
      <c r="W212">
        <f>IF(E212=År1,Q212,SUM(P212,Q212))*IFERROR(VLOOKUP(A212,[1]Tørstofindhold!A$2:B$24,2,FALSE),0)</f>
        <v>517621.00271236681</v>
      </c>
      <c r="X212">
        <f>K212*IFERROR(VLOOKUP(A212,[1]Tørstofindhold!A$2:B$24,2,FALSE),0)</f>
        <v>0</v>
      </c>
      <c r="Y212" s="170">
        <f t="shared" si="56"/>
        <v>517621.00271236681</v>
      </c>
      <c r="Z212">
        <f t="shared" si="66"/>
        <v>0</v>
      </c>
      <c r="AA212">
        <f t="shared" si="67"/>
        <v>0</v>
      </c>
      <c r="AB212" s="94">
        <f t="shared" si="68"/>
        <v>608965.88554396085</v>
      </c>
      <c r="AC212">
        <f>AB212*D212*10000*VLOOKUP(A212,[1]kcal!$A$2:$C$49,3,FALSE)/1000000000000</f>
        <v>0</v>
      </c>
    </row>
    <row r="213" spans="1:29" x14ac:dyDescent="0.25">
      <c r="A213" s="171" t="str">
        <f t="shared" si="62"/>
        <v>Have/parkaffald</v>
      </c>
      <c r="B213" s="171" t="str">
        <f t="shared" si="63"/>
        <v>Bionedbrydeligt affald</v>
      </c>
      <c r="C213" s="171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1</v>
      </c>
      <c r="D213" s="171">
        <f t="shared" si="61"/>
        <v>0</v>
      </c>
      <c r="E213" s="171">
        <f t="shared" si="64"/>
        <v>2030</v>
      </c>
      <c r="F213" t="s">
        <v>24</v>
      </c>
      <c r="G213" s="94">
        <f>IF(F213="Vestdanmark",SUMIFS(IF(E213=År1,'Resultater - Vestdanmark'!H$3:H$504,IF(E213=År2,'Resultater - Vestdanmark'!I$3:I$504,'Resultater - Vestdanmark'!J$3:J$504)),'Resultater - Vestdanmark'!$F$3:$F$504,$A213,IF(E213=År1,'Resultater - Vestdanmark'!H$3:H$504,IF(E213=År2,'Resultater - Vestdanmark'!I$3:I$504,'Resultater - Vestdanmark'!J$3:J$504)),"&gt;0"),SUMIFS(IF(E213=År1,'Resultater - Østdanmark'!H$3:H$504,IF(E213=År2,'Resultater - Østdanmark'!I$3:I$504,'Resultater - Østdanmark'!J$3:J$504)),'Resultater - Østdanmark'!$F$3:$F$504,$A213,IF(E213=År1,'Resultater - Østdanmark'!H$3:H$504,IF(E213=År2,'Resultater - Østdanmark'!I$3:I$504,'Resultater - Østdanmark'!J$3:J$504)),"&gt;0"))</f>
        <v>456074.89013160887</v>
      </c>
      <c r="H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forbrug'!H$3,'Forbrug af biomasse'!$B$2:$B$425,$F213)</f>
        <v>0</v>
      </c>
      <c r="I213">
        <f>IF(F213="Vestdanmark",-IF(A213="Halm",SUMIFS(IF(E213=År1,'Resultater - Vestdanmark'!H$3:H$504,IF(E213=År2,'Resultater - Vestdanmark'!I$3:I$504,'Resultater - Vestdanmark'!J$3:J$504)),'Resultater - Vestdanmark'!$F$3:$F$504,$A213,'Resultater - Vestdanmark'!H$3:H$504,"&lt;0"),0),-IF(A213="Halm",SUMIFS(IF(E213=År1,'Resultater - Østdanmark'!H$3:H$504,IF(E213=År2,'Resultater - Østdanmark'!I$3:I$504,'Resultater - Østdanmark'!J$3:J$504)),'Resultater - Østdanmark'!$F$3:$F$504,$A213,'Resultater - Østdanmark'!H$3:H$504,"&lt;0"),0))</f>
        <v>0</v>
      </c>
      <c r="J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forbrug'!J$3,'Forbrug af biomasse'!$B$2:$B$425,$F213)</f>
        <v>0</v>
      </c>
      <c r="K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forbrug'!K$3,'Forbrug af biomasse'!$B$2:$B$425,$F213)</f>
        <v>348039.31140100124</v>
      </c>
      <c r="L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forbrug'!L$3,'Forbrug af biomasse'!$B$2:$B$425,$F213)</f>
        <v>0</v>
      </c>
      <c r="M213" s="94">
        <f>IF(A213&lt;&gt;"Biogas",SUMIFS('Forbrug af biomasse'!$E$2:$E$425,'Forbrug af biomasse'!$C$2:$C$425,'Resultat-Produktion &amp; forbrug'!$A213,'Forbrug af biomasse'!$D$2:$D$425,'Resultat-Produktion &amp; forbrug'!$E213,'Forbrug af biomasse'!$A$2:$A$425,'Resultat-Produktion &amp; forbrug'!M$3,'Forbrug af biomasse'!$B$2:$B$425,$F213),G213)</f>
        <v>108035.57873060764</v>
      </c>
      <c r="N213" s="94">
        <f>SUMIFS('Forbrug af biomasse'!E:E,'Forbrug af biomasse'!C:C,'Resultat-Produktion &amp; forbrug'!$A213,'Forbrug af biomasse'!D:D,'Resultat-Produktion &amp; forbrug'!$E213,'Forbrug af biomasse'!G:G,1,'Forbrug af biomasse'!B:B,$F213)</f>
        <v>0</v>
      </c>
      <c r="O213" s="179">
        <f t="shared" si="53"/>
        <v>0</v>
      </c>
      <c r="P213" s="94">
        <f t="shared" si="65"/>
        <v>0</v>
      </c>
      <c r="Q213" s="180">
        <f t="shared" si="54"/>
        <v>456074.89013160887</v>
      </c>
      <c r="R213">
        <f>IFERROR(VLOOKUP(A213,[1]Energiindhold!$A$2:$C$11,3,FALSE),IFERROR(VLOOKUP(A213,[1]Biogasudbytte!$A$2:$B$18,2,FALSE)*[1]Energiindhold!$C$10,0))*P213</f>
        <v>0</v>
      </c>
      <c r="S213">
        <f>IF(A213&lt;&gt;"Biogas",IFERROR(VLOOKUP(A213,[1]Biogasudbytte!$A$2:$B$18,2,FALSE)*[1]Energiindhold!$C$10,0)*K213*IFERROR(VLOOKUP(A213,Biogasanlæg!$F$3:$G$8,2,FALSE),1)+IFERROR(VLOOKUP(A213,[1]Energiindhold!$A$2:$C$11,3,FALSE),0)*M213+IF(E213&lt;&gt;År1,R213,0),0)</f>
        <v>2.5196700890881236</v>
      </c>
      <c r="T213">
        <f>IFERROR(VLOOKUP(A213,[1]Biogasudbytte!$A$2:$B$18,2,FALSE)*[1]Energiindhold!$C$10,0)*K213*IFERROR(VLOOKUP(A213,Biogasanlæg!$F$3:$G$8,2,FALSE),1)</f>
        <v>0.59099511351069822</v>
      </c>
      <c r="U213" s="170">
        <f t="shared" si="55"/>
        <v>1.9286749755774255</v>
      </c>
      <c r="V213" s="169">
        <f>P213*IFERROR(VLOOKUP(A213,[1]Tørstofindhold!A$2:B$24,2,FALSE),0)</f>
        <v>0</v>
      </c>
      <c r="W213">
        <f>IF(E213=År1,Q213,SUM(P213,Q213))*IFERROR(VLOOKUP(A213,[1]Tørstofindhold!A$2:B$24,2,FALSE),0)</f>
        <v>136822.46703948267</v>
      </c>
      <c r="X213">
        <f>K213*IFERROR(VLOOKUP(A213,[1]Tørstofindhold!A$2:B$24,2,FALSE),0)</f>
        <v>104411.79342030037</v>
      </c>
      <c r="Y213" s="170">
        <f t="shared" si="56"/>
        <v>32410.6736191823</v>
      </c>
      <c r="Z213">
        <f t="shared" si="66"/>
        <v>0</v>
      </c>
      <c r="AA213">
        <f t="shared" si="67"/>
        <v>0</v>
      </c>
      <c r="AB213" s="94">
        <f t="shared" si="68"/>
        <v>108035.57873060764</v>
      </c>
      <c r="AC213">
        <f>AB213*D213*10000*VLOOKUP(A213,[1]kcal!$A$2:$C$49,3,FALSE)/1000000000000</f>
        <v>0</v>
      </c>
    </row>
    <row r="214" spans="1:29" x14ac:dyDescent="0.25">
      <c r="A214" s="171" t="str">
        <f t="shared" si="62"/>
        <v>Import af foder</v>
      </c>
      <c r="B214" s="171" t="str">
        <f t="shared" si="63"/>
        <v/>
      </c>
      <c r="C214" s="171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0</v>
      </c>
      <c r="D214" s="171">
        <f t="shared" si="61"/>
        <v>1</v>
      </c>
      <c r="E214" s="171">
        <f t="shared" si="64"/>
        <v>2030</v>
      </c>
      <c r="F214" t="s">
        <v>24</v>
      </c>
      <c r="G214" s="94">
        <f>IF(F214="Vestdanmark",SUMIFS(IF(E214=År1,'Resultater - Vestdanmark'!H$3:H$504,IF(E214=År2,'Resultater - Vestdanmark'!I$3:I$504,'Resultater - Vestdanmark'!J$3:J$504)),'Resultater - Vestdanmark'!$F$3:$F$504,$A214,IF(E214=År1,'Resultater - Vestdanmark'!H$3:H$504,IF(E214=År2,'Resultater - Vestdanmark'!I$3:I$504,'Resultater - Vestdanmark'!J$3:J$504)),"&gt;0"),SUMIFS(IF(E214=År1,'Resultater - Østdanmark'!H$3:H$504,IF(E214=År2,'Resultater - Østdanmark'!I$3:I$504,'Resultater - Østdanmark'!J$3:J$504)),'Resultater - Østdanmark'!$F$3:$F$504,$A214,IF(E214=År1,'Resultater - Østdanmark'!H$3:H$504,IF(E214=År2,'Resultater - Østdanmark'!I$3:I$504,'Resultater - Østdanmark'!J$3:J$504)),"&gt;0"))</f>
        <v>0</v>
      </c>
      <c r="H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forbrug'!H$3,'Forbrug af biomasse'!$B$2:$B$425,$F214)</f>
        <v>398981.52292304358</v>
      </c>
      <c r="I214">
        <f>IF(F214="Vestdanmark",-IF(A214="Halm",SUMIFS(IF(E214=År1,'Resultater - Vestdanmark'!H$3:H$504,IF(E214=År2,'Resultater - Vestdanmark'!I$3:I$504,'Resultater - Vestdanmark'!J$3:J$504)),'Resultater - Vestdanmark'!$F$3:$F$504,$A214,'Resultater - Vestdanmark'!H$3:H$504,"&lt;0"),0),-IF(A214="Halm",SUMIFS(IF(E214=År1,'Resultater - Østdanmark'!H$3:H$504,IF(E214=År2,'Resultater - Østdanmark'!I$3:I$504,'Resultater - Østdanmark'!J$3:J$504)),'Resultater - Østdanmark'!$F$3:$F$504,$A214,'Resultater - Østdanmark'!H$3:H$504,"&lt;0"),0))</f>
        <v>0</v>
      </c>
      <c r="J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forbrug'!J$3,'Forbrug af biomasse'!$B$2:$B$425,$F214)</f>
        <v>0</v>
      </c>
      <c r="K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forbrug'!K$3,'Forbrug af biomasse'!$B$2:$B$425,$F214)</f>
        <v>0</v>
      </c>
      <c r="L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forbrug'!L$3,'Forbrug af biomasse'!$B$2:$B$425,$F214)</f>
        <v>0</v>
      </c>
      <c r="M214" s="94">
        <f>IF(A214&lt;&gt;"Biogas",SUMIFS('Forbrug af biomasse'!$E$2:$E$425,'Forbrug af biomasse'!$C$2:$C$425,'Resultat-Produktion &amp; forbrug'!$A214,'Forbrug af biomasse'!$D$2:$D$425,'Resultat-Produktion &amp; forbrug'!$E214,'Forbrug af biomasse'!$A$2:$A$425,'Resultat-Produktion &amp; forbrug'!M$3,'Forbrug af biomasse'!$B$2:$B$425,$F214),G214)</f>
        <v>0</v>
      </c>
      <c r="N214" s="94">
        <f>SUMIFS('Forbrug af biomasse'!E:E,'Forbrug af biomasse'!C:C,'Resultat-Produktion &amp; forbrug'!$A214,'Forbrug af biomasse'!D:D,'Resultat-Produktion &amp; forbrug'!$E214,'Forbrug af biomasse'!G:G,1,'Forbrug af biomasse'!B:B,$F214)</f>
        <v>0</v>
      </c>
      <c r="O214" s="179">
        <f t="shared" si="53"/>
        <v>-398981.52292304358</v>
      </c>
      <c r="P214" s="94">
        <f t="shared" si="65"/>
        <v>0</v>
      </c>
      <c r="Q214" s="180">
        <f t="shared" si="54"/>
        <v>0</v>
      </c>
      <c r="R214">
        <f>IFERROR(VLOOKUP(A214,[1]Energiindhold!$A$2:$C$11,3,FALSE),IFERROR(VLOOKUP(A214,[1]Biogasudbytte!$A$2:$B$18,2,FALSE)*[1]Energiindhold!$C$10,0))*P214</f>
        <v>0</v>
      </c>
      <c r="S214">
        <f>IF(A214&lt;&gt;"Biogas",IFERROR(VLOOKUP(A214,[1]Biogasudbytte!$A$2:$B$18,2,FALSE)*[1]Energiindhold!$C$10,0)*K214*IFERROR(VLOOKUP(A214,Biogasanlæg!$F$3:$G$8,2,FALSE),1)+IFERROR(VLOOKUP(A214,[1]Energiindhold!$A$2:$C$11,3,FALSE),0)*M214+IF(E214&lt;&gt;År1,R214,0),0)</f>
        <v>0</v>
      </c>
      <c r="T214">
        <f>IFERROR(VLOOKUP(A214,[1]Biogasudbytte!$A$2:$B$18,2,FALSE)*[1]Energiindhold!$C$10,0)*K214*IFERROR(VLOOKUP(A214,Biogasanlæg!$F$3:$G$8,2,FALSE),1)</f>
        <v>0</v>
      </c>
      <c r="U214" s="170">
        <f t="shared" si="55"/>
        <v>0</v>
      </c>
      <c r="V214" s="169">
        <f>P214*IFERROR(VLOOKUP(A214,[1]Tørstofindhold!A$2:B$24,2,FALSE),0)</f>
        <v>0</v>
      </c>
      <c r="W214">
        <f>IF(E214=År1,Q214,SUM(P214,Q214))*IFERROR(VLOOKUP(A214,[1]Tørstofindhold!A$2:B$24,2,FALSE),0)</f>
        <v>0</v>
      </c>
      <c r="X214">
        <f>K214*IFERROR(VLOOKUP(A214,[1]Tørstofindhold!A$2:B$24,2,FALSE),0)</f>
        <v>0</v>
      </c>
      <c r="Y214" s="170">
        <f t="shared" si="56"/>
        <v>0</v>
      </c>
      <c r="Z214">
        <f t="shared" si="66"/>
        <v>1</v>
      </c>
      <c r="AA214">
        <f t="shared" si="67"/>
        <v>0</v>
      </c>
      <c r="AB214" s="94">
        <f t="shared" si="68"/>
        <v>-398981.52292304358</v>
      </c>
      <c r="AC214">
        <f>AB214*D214*10000*VLOOKUP(A214,[1]kcal!$A$2:$C$49,3,FALSE)/1000000000000</f>
        <v>-0.22741946806613486</v>
      </c>
    </row>
    <row r="215" spans="1:29" x14ac:dyDescent="0.25">
      <c r="A215" s="171" t="str">
        <f t="shared" si="62"/>
        <v>Industriaffald</v>
      </c>
      <c r="B215" s="171" t="str">
        <f t="shared" si="63"/>
        <v>Bionedbrydeligt affald</v>
      </c>
      <c r="C215" s="171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1</v>
      </c>
      <c r="D215" s="171">
        <f t="shared" si="61"/>
        <v>0</v>
      </c>
      <c r="E215" s="171">
        <f t="shared" si="64"/>
        <v>2030</v>
      </c>
      <c r="F215" t="s">
        <v>24</v>
      </c>
      <c r="G215" s="94">
        <f>IF(F215="Vestdanmark",SUMIFS(IF(E215=År1,'Resultater - Vestdanmark'!H$3:H$504,IF(E215=År2,'Resultater - Vestdanmark'!I$3:I$504,'Resultater - Vestdanmark'!J$3:J$504)),'Resultater - Vestdanmark'!$F$3:$F$504,$A215,IF(E215=År1,'Resultater - Vestdanmark'!H$3:H$504,IF(E215=År2,'Resultater - Vestdanmark'!I$3:I$504,'Resultater - Vestdanmark'!J$3:J$504)),"&gt;0"),SUMIFS(IF(E215=År1,'Resultater - Østdanmark'!H$3:H$504,IF(E215=År2,'Resultater - Østdanmark'!I$3:I$504,'Resultater - Østdanmark'!J$3:J$504)),'Resultater - Østdanmark'!$F$3:$F$504,$A215,IF(E215=År1,'Resultater - Østdanmark'!H$3:H$504,IF(E215=År2,'Resultater - Østdanmark'!I$3:I$504,'Resultater - Østdanmark'!J$3:J$504)),"&gt;0"))</f>
        <v>189258.59939962387</v>
      </c>
      <c r="H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forbrug'!H$3,'Forbrug af biomasse'!$B$2:$B$425,$F215)</f>
        <v>0</v>
      </c>
      <c r="I215">
        <f>IF(F215="Vestdanmark",-IF(A215="Halm",SUMIFS(IF(E215=År1,'Resultater - Vestdanmark'!H$3:H$504,IF(E215=År2,'Resultater - Vestdanmark'!I$3:I$504,'Resultater - Vestdanmark'!J$3:J$504)),'Resultater - Vestdanmark'!$F$3:$F$504,$A215,'Resultater - Vestdanmark'!H$3:H$504,"&lt;0"),0),-IF(A215="Halm",SUMIFS(IF(E215=År1,'Resultater - Østdanmark'!H$3:H$504,IF(E215=År2,'Resultater - Østdanmark'!I$3:I$504,'Resultater - Østdanmark'!J$3:J$504)),'Resultater - Østdanmark'!$F$3:$F$504,$A215,'Resultater - Østdanmark'!H$3:H$504,"&lt;0"),0))</f>
        <v>0</v>
      </c>
      <c r="J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forbrug'!J$3,'Forbrug af biomasse'!$B$2:$B$425,$F215)</f>
        <v>0</v>
      </c>
      <c r="K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forbrug'!K$3,'Forbrug af biomasse'!$B$2:$B$425,$F215)</f>
        <v>0</v>
      </c>
      <c r="L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forbrug'!L$3,'Forbrug af biomasse'!$B$2:$B$425,$F215)</f>
        <v>0</v>
      </c>
      <c r="M215" s="94">
        <f>IF(A215&lt;&gt;"Biogas",SUMIFS('Forbrug af biomasse'!$E$2:$E$425,'Forbrug af biomasse'!$C$2:$C$425,'Resultat-Produktion &amp; forbrug'!$A215,'Forbrug af biomasse'!$D$2:$D$425,'Resultat-Produktion &amp; forbrug'!$E215,'Forbrug af biomasse'!$A$2:$A$425,'Resultat-Produktion &amp; forbrug'!M$3,'Forbrug af biomasse'!$B$2:$B$425,$F215),G215)</f>
        <v>0</v>
      </c>
      <c r="N215" s="94">
        <f>SUMIFS('Forbrug af biomasse'!E:E,'Forbrug af biomasse'!C:C,'Resultat-Produktion &amp; forbrug'!$A215,'Forbrug af biomasse'!D:D,'Resultat-Produktion &amp; forbrug'!$E215,'Forbrug af biomasse'!G:G,1,'Forbrug af biomasse'!B:B,$F215)</f>
        <v>0</v>
      </c>
      <c r="O215" s="179">
        <f t="shared" si="53"/>
        <v>189258.59939962387</v>
      </c>
      <c r="P215" s="94">
        <f t="shared" si="65"/>
        <v>189258.59939962387</v>
      </c>
      <c r="Q215" s="180">
        <f t="shared" si="54"/>
        <v>0</v>
      </c>
      <c r="R215">
        <f>IFERROR(VLOOKUP(A215,[1]Energiindhold!$A$2:$C$11,3,FALSE),IFERROR(VLOOKUP(A215,[1]Biogasudbytte!$A$2:$B$18,2,FALSE)*[1]Energiindhold!$C$10,0))*P215</f>
        <v>0.82008211481649229</v>
      </c>
      <c r="S215">
        <f>IF(A215&lt;&gt;"Biogas",IFERROR(VLOOKUP(A215,[1]Biogasudbytte!$A$2:$B$18,2,FALSE)*[1]Energiindhold!$C$10,0)*K215*IFERROR(VLOOKUP(A215,Biogasanlæg!$F$3:$G$8,2,FALSE),1)+IFERROR(VLOOKUP(A215,[1]Energiindhold!$A$2:$C$11,3,FALSE),0)*M215+IF(E215&lt;&gt;År1,R215,0),0)</f>
        <v>0.82008211481649229</v>
      </c>
      <c r="T215">
        <f>IFERROR(VLOOKUP(A215,[1]Biogasudbytte!$A$2:$B$18,2,FALSE)*[1]Energiindhold!$C$10,0)*K215*IFERROR(VLOOKUP(A215,Biogasanlæg!$F$3:$G$8,2,FALSE),1)</f>
        <v>0</v>
      </c>
      <c r="U215" s="170">
        <f t="shared" si="55"/>
        <v>0.82008211481649229</v>
      </c>
      <c r="V215" s="169">
        <f>P215*IFERROR(VLOOKUP(A215,[1]Tørstofindhold!A$2:B$24,2,FALSE),0)</f>
        <v>79488.61174784202</v>
      </c>
      <c r="W215">
        <f>IF(E215=År1,Q215,SUM(P215,Q215))*IFERROR(VLOOKUP(A215,[1]Tørstofindhold!A$2:B$24,2,FALSE),0)</f>
        <v>79488.61174784202</v>
      </c>
      <c r="X215">
        <f>K215*IFERROR(VLOOKUP(A215,[1]Tørstofindhold!A$2:B$24,2,FALSE),0)</f>
        <v>0</v>
      </c>
      <c r="Y215" s="170">
        <f t="shared" si="56"/>
        <v>79488.61174784202</v>
      </c>
      <c r="Z215">
        <f t="shared" si="66"/>
        <v>0</v>
      </c>
      <c r="AA215">
        <f t="shared" si="67"/>
        <v>1</v>
      </c>
      <c r="AB215" s="94">
        <f t="shared" si="68"/>
        <v>189258.59939962387</v>
      </c>
      <c r="AC215">
        <f>AB215*D215*10000*VLOOKUP(A215,[1]kcal!$A$2:$C$49,3,FALSE)/1000000000000</f>
        <v>0</v>
      </c>
    </row>
    <row r="216" spans="1:29" x14ac:dyDescent="0.25">
      <c r="A216" s="171" t="str">
        <f t="shared" si="62"/>
        <v>Juletræer</v>
      </c>
      <c r="B216" s="171" t="str">
        <f t="shared" si="63"/>
        <v/>
      </c>
      <c r="C216" s="171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71">
        <f t="shared" si="61"/>
        <v>0</v>
      </c>
      <c r="E216" s="171">
        <f t="shared" si="64"/>
        <v>2030</v>
      </c>
      <c r="F216" t="s">
        <v>24</v>
      </c>
      <c r="G216" s="94">
        <f>IF(F216="Vestdanmark",SUMIFS(IF(E216=År1,'Resultater - Vestdanmark'!H$3:H$504,IF(E216=År2,'Resultater - Vestdanmark'!I$3:I$504,'Resultater - Vestdanmark'!J$3:J$504)),'Resultater - Vestdanmark'!$F$3:$F$504,$A216,IF(E216=År1,'Resultater - Vestdanmark'!H$3:H$504,IF(E216=År2,'Resultater - Vestdanmark'!I$3:I$504,'Resultater - Vestdanmark'!J$3:J$504)),"&gt;0"),SUMIFS(IF(E216=År1,'Resultater - Østdanmark'!H$3:H$504,IF(E216=År2,'Resultater - Østdanmark'!I$3:I$504,'Resultater - Østdanmark'!J$3:J$504)),'Resultater - Østdanmark'!$F$3:$F$504,$A216,IF(E216=År1,'Resultater - Østdanmark'!H$3:H$504,IF(E216=År2,'Resultater - Østdanmark'!I$3:I$504,'Resultater - Østdanmark'!J$3:J$504)),"&gt;0"))</f>
        <v>195942.26011419127</v>
      </c>
      <c r="H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forbrug'!H$3,'Forbrug af biomasse'!$B$2:$B$425,$F216)</f>
        <v>0</v>
      </c>
      <c r="I216">
        <f>IF(F216="Vestdanmark",-IF(A216="Halm",SUMIFS(IF(E216=År1,'Resultater - Vestdanmark'!H$3:H$504,IF(E216=År2,'Resultater - Vestdanmark'!I$3:I$504,'Resultater - Vestdanmark'!J$3:J$504)),'Resultater - Vestdanmark'!$F$3:$F$504,$A216,'Resultater - Vestdanmark'!H$3:H$504,"&lt;0"),0),-IF(A216="Halm",SUMIFS(IF(E216=År1,'Resultater - Østdanmark'!H$3:H$504,IF(E216=År2,'Resultater - Østdanmark'!I$3:I$504,'Resultater - Østdanmark'!J$3:J$504)),'Resultater - Østdanmark'!$F$3:$F$504,$A216,'Resultater - Østdanmark'!H$3:H$504,"&lt;0"),0))</f>
        <v>0</v>
      </c>
      <c r="J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forbrug'!J$3,'Forbrug af biomasse'!$B$2:$B$425,$F216)</f>
        <v>0</v>
      </c>
      <c r="K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forbrug'!K$3,'Forbrug af biomasse'!$B$2:$B$425,$F216)</f>
        <v>0</v>
      </c>
      <c r="L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forbrug'!L$3,'Forbrug af biomasse'!$B$2:$B$425,$F216)</f>
        <v>0</v>
      </c>
      <c r="M216" s="94">
        <f>IF(A216&lt;&gt;"Biogas",SUMIFS('Forbrug af biomasse'!$E$2:$E$425,'Forbrug af biomasse'!$C$2:$C$425,'Resultat-Produktion &amp; forbrug'!$A216,'Forbrug af biomasse'!$D$2:$D$425,'Resultat-Produktion &amp; forbrug'!$E216,'Forbrug af biomasse'!$A$2:$A$425,'Resultat-Produktion &amp; forbrug'!M$3,'Forbrug af biomasse'!$B$2:$B$425,$F216),G216)</f>
        <v>0</v>
      </c>
      <c r="N216" s="94">
        <f>SUMIFS('Forbrug af biomasse'!E:E,'Forbrug af biomasse'!C:C,'Resultat-Produktion &amp; forbrug'!$A216,'Forbrug af biomasse'!D:D,'Resultat-Produktion &amp; forbrug'!$E216,'Forbrug af biomasse'!G:G,1,'Forbrug af biomasse'!B:B,$F216)</f>
        <v>0</v>
      </c>
      <c r="O216" s="179">
        <f t="shared" si="53"/>
        <v>195942.26011419127</v>
      </c>
      <c r="P216" s="94">
        <f t="shared" si="65"/>
        <v>0</v>
      </c>
      <c r="Q216" s="180">
        <f t="shared" si="54"/>
        <v>0</v>
      </c>
      <c r="R216">
        <f>IFERROR(VLOOKUP(A216,[1]Energiindhold!$A$2:$C$11,3,FALSE),IFERROR(VLOOKUP(A216,[1]Biogasudbytte!$A$2:$B$18,2,FALSE)*[1]Energiindhold!$C$10,0))*P216</f>
        <v>0</v>
      </c>
      <c r="S216">
        <f>IF(A216&lt;&gt;"Biogas",IFERROR(VLOOKUP(A216,[1]Biogasudbytte!$A$2:$B$18,2,FALSE)*[1]Energiindhold!$C$10,0)*K216*IFERROR(VLOOKUP(A216,Biogasanlæg!$F$3:$G$8,2,FALSE),1)+IFERROR(VLOOKUP(A216,[1]Energiindhold!$A$2:$C$11,3,FALSE),0)*M216+IF(E216&lt;&gt;År1,R216,0),0)</f>
        <v>0</v>
      </c>
      <c r="T216">
        <f>IFERROR(VLOOKUP(A216,[1]Biogasudbytte!$A$2:$B$18,2,FALSE)*[1]Energiindhold!$C$10,0)*K216*IFERROR(VLOOKUP(A216,Biogasanlæg!$F$3:$G$8,2,FALSE),1)</f>
        <v>0</v>
      </c>
      <c r="U216" s="170">
        <f t="shared" si="55"/>
        <v>0</v>
      </c>
      <c r="V216" s="169">
        <f>P216*IFERROR(VLOOKUP(A216,[1]Tørstofindhold!A$2:B$24,2,FALSE),0)</f>
        <v>0</v>
      </c>
      <c r="W216">
        <f>IF(E216=År1,Q216,SUM(P216,Q216))*IFERROR(VLOOKUP(A216,[1]Tørstofindhold!A$2:B$24,2,FALSE),0)</f>
        <v>0</v>
      </c>
      <c r="X216">
        <f>K216*IFERROR(VLOOKUP(A216,[1]Tørstofindhold!A$2:B$24,2,FALSE),0)</f>
        <v>0</v>
      </c>
      <c r="Y216" s="170">
        <f t="shared" si="56"/>
        <v>0</v>
      </c>
      <c r="Z216">
        <f t="shared" si="66"/>
        <v>0</v>
      </c>
      <c r="AA216">
        <f t="shared" si="67"/>
        <v>1</v>
      </c>
      <c r="AB216" s="94">
        <f t="shared" si="68"/>
        <v>195942.26011419127</v>
      </c>
      <c r="AC216">
        <f>AB216*D216*10000*VLOOKUP(A216,[1]kcal!$A$2:$C$49,3,FALSE)/1000000000000</f>
        <v>0</v>
      </c>
    </row>
    <row r="217" spans="1:29" x14ac:dyDescent="0.25">
      <c r="A217" s="171" t="str">
        <f t="shared" si="62"/>
        <v>Kartofler</v>
      </c>
      <c r="B217" s="171" t="str">
        <f t="shared" si="63"/>
        <v/>
      </c>
      <c r="C217" s="171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0</v>
      </c>
      <c r="D217" s="171">
        <f t="shared" si="61"/>
        <v>1</v>
      </c>
      <c r="E217" s="171">
        <f t="shared" si="64"/>
        <v>2030</v>
      </c>
      <c r="F217" t="s">
        <v>24</v>
      </c>
      <c r="G217" s="94">
        <f>IF(F217="Vestdanmark",SUMIFS(IF(E217=År1,'Resultater - Vestdanmark'!H$3:H$504,IF(E217=År2,'Resultater - Vestdanmark'!I$3:I$504,'Resultater - Vestdanmark'!J$3:J$504)),'Resultater - Vestdanmark'!$F$3:$F$504,$A217,IF(E217=År1,'Resultater - Vestdanmark'!H$3:H$504,IF(E217=År2,'Resultater - Vestdanmark'!I$3:I$504,'Resultater - Vestdanmark'!J$3:J$504)),"&gt;0"),SUMIFS(IF(E217=År1,'Resultater - Østdanmark'!H$3:H$504,IF(E217=År2,'Resultater - Østdanmark'!I$3:I$504,'Resultater - Østdanmark'!J$3:J$504)),'Resultater - Østdanmark'!$F$3:$F$504,$A217,IF(E217=År1,'Resultater - Østdanmark'!H$3:H$504,IF(E217=År2,'Resultater - Østdanmark'!I$3:I$504,'Resultater - Østdanmark'!J$3:J$504)),"&gt;0"))</f>
        <v>474779.06798607635</v>
      </c>
      <c r="H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forbrug'!H$3,'Forbrug af biomasse'!$B$2:$B$425,$F217)</f>
        <v>0</v>
      </c>
      <c r="I217">
        <f>IF(F217="Vestdanmark",-IF(A217="Halm",SUMIFS(IF(E217=År1,'Resultater - Vestdanmark'!H$3:H$504,IF(E217=År2,'Resultater - Vestdanmark'!I$3:I$504,'Resultater - Vestdanmark'!J$3:J$504)),'Resultater - Vestdanmark'!$F$3:$F$504,$A217,'Resultater - Vestdanmark'!H$3:H$504,"&lt;0"),0),-IF(A217="Halm",SUMIFS(IF(E217=År1,'Resultater - Østdanmark'!H$3:H$504,IF(E217=År2,'Resultater - Østdanmark'!I$3:I$504,'Resultater - Østdanmark'!J$3:J$504)),'Resultater - Østdanmark'!$F$3:$F$504,$A217,'Resultater - Østdanmark'!H$3:H$504,"&lt;0"),0))</f>
        <v>0</v>
      </c>
      <c r="J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forbrug'!J$3,'Forbrug af biomasse'!$B$2:$B$425,$F217)</f>
        <v>106960.41463921656</v>
      </c>
      <c r="K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forbrug'!K$3,'Forbrug af biomasse'!$B$2:$B$425,$F217)</f>
        <v>0</v>
      </c>
      <c r="L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forbrug'!L$3,'Forbrug af biomasse'!$B$2:$B$425,$F217)</f>
        <v>0</v>
      </c>
      <c r="M217" s="94">
        <f>IF(A217&lt;&gt;"Biogas",SUMIFS('Forbrug af biomasse'!$E$2:$E$425,'Forbrug af biomasse'!$C$2:$C$425,'Resultat-Produktion &amp; forbrug'!$A217,'Forbrug af biomasse'!$D$2:$D$425,'Resultat-Produktion &amp; forbrug'!$E217,'Forbrug af biomasse'!$A$2:$A$425,'Resultat-Produktion &amp; forbrug'!M$3,'Forbrug af biomasse'!$B$2:$B$425,$F217),G217)</f>
        <v>0</v>
      </c>
      <c r="N217" s="94">
        <f>SUMIFS('Forbrug af biomasse'!E:E,'Forbrug af biomasse'!C:C,'Resultat-Produktion &amp; forbrug'!$A217,'Forbrug af biomasse'!D:D,'Resultat-Produktion &amp; forbrug'!$E217,'Forbrug af biomasse'!G:G,1,'Forbrug af biomasse'!B:B,$F217)</f>
        <v>0</v>
      </c>
      <c r="O217" s="179">
        <f t="shared" ref="O217:O282" si="69">G217-SUM(H217:N217)</f>
        <v>367818.65334685979</v>
      </c>
      <c r="P217" s="94">
        <f t="shared" si="65"/>
        <v>0</v>
      </c>
      <c r="Q217" s="180">
        <f t="shared" ref="Q217:Q282" si="70">SUM(K217,M217)</f>
        <v>0</v>
      </c>
      <c r="R217">
        <f>IFERROR(VLOOKUP(A217,[1]Energiindhold!$A$2:$C$11,3,FALSE),IFERROR(VLOOKUP(A217,[1]Biogasudbytte!$A$2:$B$18,2,FALSE)*[1]Energiindhold!$C$10,0))*P217</f>
        <v>0</v>
      </c>
      <c r="S217">
        <f>IF(A217&lt;&gt;"Biogas",IFERROR(VLOOKUP(A217,[1]Biogasudbytte!$A$2:$B$18,2,FALSE)*[1]Energiindhold!$C$10,0)*K217*IFERROR(VLOOKUP(A217,Biogasanlæg!$F$3:$G$8,2,FALSE),1)+IFERROR(VLOOKUP(A217,[1]Energiindhold!$A$2:$C$11,3,FALSE),0)*M217+IF(E217&lt;&gt;År1,R217,0),0)</f>
        <v>0</v>
      </c>
      <c r="T217">
        <f>IFERROR(VLOOKUP(A217,[1]Biogasudbytte!$A$2:$B$18,2,FALSE)*[1]Energiindhold!$C$10,0)*K217*IFERROR(VLOOKUP(A217,Biogasanlæg!$F$3:$G$8,2,FALSE),1)</f>
        <v>0</v>
      </c>
      <c r="U217" s="170">
        <f t="shared" ref="U217:U282" si="71">S217-T217</f>
        <v>0</v>
      </c>
      <c r="V217" s="169">
        <f>P217*IFERROR(VLOOKUP(A217,[1]Tørstofindhold!A$2:B$24,2,FALSE),0)</f>
        <v>0</v>
      </c>
      <c r="W217">
        <f>IF(E217=År1,Q217,SUM(P217,Q217))*IFERROR(VLOOKUP(A217,[1]Tørstofindhold!A$2:B$24,2,FALSE),0)</f>
        <v>0</v>
      </c>
      <c r="X217">
        <f>K217*IFERROR(VLOOKUP(A217,[1]Tørstofindhold!A$2:B$24,2,FALSE),0)</f>
        <v>0</v>
      </c>
      <c r="Y217" s="170">
        <f t="shared" ref="Y217:Y282" si="72">W217-X217</f>
        <v>0</v>
      </c>
      <c r="Z217">
        <f t="shared" si="66"/>
        <v>0</v>
      </c>
      <c r="AA217">
        <f t="shared" si="67"/>
        <v>1</v>
      </c>
      <c r="AB217" s="94">
        <f t="shared" si="68"/>
        <v>474779.06798607635</v>
      </c>
      <c r="AC217">
        <f>AB217*D217*10000*VLOOKUP(A217,[1]kcal!$A$2:$C$49,3,FALSE)/1000000000000</f>
        <v>0.37032767302913955</v>
      </c>
    </row>
    <row r="218" spans="1:29" x14ac:dyDescent="0.25">
      <c r="A218" s="171" t="str">
        <f t="shared" si="62"/>
        <v>Korn</v>
      </c>
      <c r="B218" s="171" t="str">
        <f t="shared" si="63"/>
        <v>Halm og strå</v>
      </c>
      <c r="C218" s="171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1</v>
      </c>
      <c r="D218" s="171">
        <f t="shared" si="61"/>
        <v>1</v>
      </c>
      <c r="E218" s="171">
        <f t="shared" si="64"/>
        <v>2030</v>
      </c>
      <c r="F218" t="s">
        <v>24</v>
      </c>
      <c r="G218" s="94">
        <f>IF(F218="Vestdanmark",SUMIFS(IF(E218=År1,'Resultater - Vestdanmark'!H$3:H$504,IF(E218=År2,'Resultater - Vestdanmark'!I$3:I$504,'Resultater - Vestdanmark'!J$3:J$504)),'Resultater - Vestdanmark'!$F$3:$F$504,$A218,IF(E218=År1,'Resultater - Vestdanmark'!H$3:H$504,IF(E218=År2,'Resultater - Vestdanmark'!I$3:I$504,'Resultater - Vestdanmark'!J$3:J$504)),"&gt;0"),SUMIFS(IF(E218=År1,'Resultater - Østdanmark'!H$3:H$504,IF(E218=År2,'Resultater - Østdanmark'!I$3:I$504,'Resultater - Østdanmark'!J$3:J$504)),'Resultater - Østdanmark'!$F$3:$F$504,$A218,IF(E218=År1,'Resultater - Østdanmark'!H$3:H$504,IF(E218=År2,'Resultater - Østdanmark'!I$3:I$504,'Resultater - Østdanmark'!J$3:J$504)),"&gt;0"))</f>
        <v>1526601.9040028804</v>
      </c>
      <c r="H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forbrug'!H$3,'Forbrug af biomasse'!$B$2:$B$425,$F218)</f>
        <v>485809.96937735338</v>
      </c>
      <c r="I218">
        <f>IF(F218="Vestdanmark",-IF(A218="Halm",SUMIFS(IF(E218=År1,'Resultater - Vestdanmark'!H$3:H$504,IF(E218=År2,'Resultater - Vestdanmark'!I$3:I$504,'Resultater - Vestdanmark'!J$3:J$504)),'Resultater - Vestdanmark'!$F$3:$F$504,$A218,'Resultater - Vestdanmark'!H$3:H$504,"&lt;0"),0),-IF(A218="Halm",SUMIFS(IF(E218=År1,'Resultater - Østdanmark'!H$3:H$504,IF(E218=År2,'Resultater - Østdanmark'!I$3:I$504,'Resultater - Østdanmark'!J$3:J$504)),'Resultater - Østdanmark'!$F$3:$F$504,$A218,'Resultater - Østdanmark'!H$3:H$504,"&lt;0"),0))</f>
        <v>0</v>
      </c>
      <c r="J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forbrug'!J$3,'Forbrug af biomasse'!$B$2:$B$425,$F218)</f>
        <v>256234.83946537593</v>
      </c>
      <c r="K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forbrug'!K$3,'Forbrug af biomasse'!$B$2:$B$425,$F218)</f>
        <v>0</v>
      </c>
      <c r="L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forbrug'!L$3,'Forbrug af biomasse'!$B$2:$B$425,$F218)</f>
        <v>0</v>
      </c>
      <c r="M218" s="94">
        <f>IF(A218&lt;&gt;"Biogas",SUMIFS('Forbrug af biomasse'!$E$2:$E$425,'Forbrug af biomasse'!$C$2:$C$425,'Resultat-Produktion &amp; forbrug'!$A218,'Forbrug af biomasse'!$D$2:$D$425,'Resultat-Produktion &amp; forbrug'!$E218,'Forbrug af biomasse'!$A$2:$A$425,'Resultat-Produktion &amp; forbrug'!M$3,'Forbrug af biomasse'!$B$2:$B$425,$F218),G218)</f>
        <v>0</v>
      </c>
      <c r="N218" s="94">
        <f>SUMIFS('Forbrug af biomasse'!E:E,'Forbrug af biomasse'!C:C,'Resultat-Produktion &amp; forbrug'!$A218,'Forbrug af biomasse'!D:D,'Resultat-Produktion &amp; forbrug'!$E218,'Forbrug af biomasse'!G:G,1,'Forbrug af biomasse'!B:B,$F218)</f>
        <v>0</v>
      </c>
      <c r="O218" s="179">
        <f>G218-SUM(H218:N218)</f>
        <v>784557.09516015113</v>
      </c>
      <c r="P218" s="94">
        <f t="shared" si="65"/>
        <v>784557.09516015113</v>
      </c>
      <c r="Q218" s="180">
        <f t="shared" si="70"/>
        <v>0</v>
      </c>
      <c r="R218">
        <f>IFERROR(VLOOKUP(A218,[1]Energiindhold!$A$2:$C$11,3,FALSE),IFERROR(VLOOKUP(A218,[1]Biogasudbytte!$A$2:$B$18,2,FALSE)*[1]Energiindhold!$C$10,0))*P218</f>
        <v>2.6869982129301957</v>
      </c>
      <c r="S218">
        <f>IF(A218&lt;&gt;"Biogas",IFERROR(VLOOKUP(A218,[1]Biogasudbytte!$A$2:$B$18,2,FALSE)*[1]Energiindhold!$C$10,0)*K218*IFERROR(VLOOKUP(A218,Biogasanlæg!$F$3:$G$8,2,FALSE),1)+IFERROR(VLOOKUP(A218,[1]Energiindhold!$A$2:$C$11,3,FALSE),0)*M218+IF(E218&lt;&gt;År1,R218,0),0)</f>
        <v>2.6869982129301957</v>
      </c>
      <c r="T218">
        <f>IFERROR(VLOOKUP(A218,[1]Biogasudbytte!$A$2:$B$18,2,FALSE)*[1]Energiindhold!$C$10,0)*K218*IFERROR(VLOOKUP(A218,Biogasanlæg!$F$3:$G$8,2,FALSE),1)</f>
        <v>0</v>
      </c>
      <c r="U218" s="170">
        <f t="shared" si="71"/>
        <v>2.6869982129301957</v>
      </c>
      <c r="V218" s="169">
        <f>P218*IFERROR(VLOOKUP(A218,[1]Tørstofindhold!A$2:B$24,2,FALSE),0)</f>
        <v>243212.69949964684</v>
      </c>
      <c r="W218">
        <f>IF(E218=År1,Q218,SUM(P218,Q218))*IFERROR(VLOOKUP(A218,[1]Tørstofindhold!A$2:B$24,2,FALSE),0)</f>
        <v>243212.69949964684</v>
      </c>
      <c r="X218">
        <f>K218*IFERROR(VLOOKUP(A218,[1]Tørstofindhold!A$2:B$24,2,FALSE),0)</f>
        <v>0</v>
      </c>
      <c r="Y218" s="170">
        <f t="shared" si="72"/>
        <v>243212.69949964684</v>
      </c>
      <c r="Z218">
        <f t="shared" si="66"/>
        <v>0</v>
      </c>
      <c r="AA218">
        <f t="shared" si="67"/>
        <v>1</v>
      </c>
      <c r="AB218" s="94">
        <f t="shared" si="68"/>
        <v>1040791.9346255271</v>
      </c>
      <c r="AC218">
        <f>AB218*D218*10000*VLOOKUP(A218,[1]kcal!$A$2:$C$49,3,FALSE)/1000000000000</f>
        <v>3.8092984807294297</v>
      </c>
    </row>
    <row r="219" spans="1:29" x14ac:dyDescent="0.25">
      <c r="A219" s="171" t="str">
        <f t="shared" si="62"/>
        <v>Kunstgødning</v>
      </c>
      <c r="B219" s="171" t="str">
        <f t="shared" si="63"/>
        <v/>
      </c>
      <c r="C219" s="171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0</v>
      </c>
      <c r="D219" s="171">
        <f t="shared" si="61"/>
        <v>0</v>
      </c>
      <c r="E219" s="171">
        <f t="shared" si="64"/>
        <v>2030</v>
      </c>
      <c r="F219" t="s">
        <v>24</v>
      </c>
      <c r="G219" s="94">
        <f>IF(F219="Vestdanmark",SUMIFS(IF(E219=År1,'Resultater - Vestdanmark'!H$3:H$504,IF(E219=År2,'Resultater - Vestdanmark'!I$3:I$504,'Resultater - Vestdanmark'!J$3:J$504)),'Resultater - Vestdanmark'!$F$3:$F$504,$A219,IF(E219=År1,'Resultater - Vestdanmark'!H$3:H$504,IF(E219=År2,'Resultater - Vestdanmark'!I$3:I$504,'Resultater - Vestdanmark'!J$3:J$504)),"&gt;0"),SUMIFS(IF(E219=År1,'Resultater - Østdanmark'!H$3:H$504,IF(E219=År2,'Resultater - Østdanmark'!I$3:I$504,'Resultater - Østdanmark'!J$3:J$504)),'Resultater - Østdanmark'!$F$3:$F$504,$A219,IF(E219=År1,'Resultater - Østdanmark'!H$3:H$504,IF(E219=År2,'Resultater - Østdanmark'!I$3:I$504,'Resultater - Østdanmark'!J$3:J$504)),"&gt;0"))</f>
        <v>0</v>
      </c>
      <c r="H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forbrug'!H$3,'Forbrug af biomasse'!$B$2:$B$425,$F219)</f>
        <v>0</v>
      </c>
      <c r="I219">
        <f>IF(F219="Vestdanmark",-IF(A219="Halm",SUMIFS(IF(E219=År1,'Resultater - Vestdanmark'!H$3:H$504,IF(E219=År2,'Resultater - Vestdanmark'!I$3:I$504,'Resultater - Vestdanmark'!J$3:J$504)),'Resultater - Vestdanmark'!$F$3:$F$504,$A219,'Resultater - Vestdanmark'!H$3:H$504,"&lt;0"),0),-IF(A219="Halm",SUMIFS(IF(E219=År1,'Resultater - Østdanmark'!H$3:H$504,IF(E219=År2,'Resultater - Østdanmark'!I$3:I$504,'Resultater - Østdanmark'!J$3:J$504)),'Resultater - Østdanmark'!$F$3:$F$504,$A219,'Resultater - Østdanmark'!H$3:H$504,"&lt;0"),0))</f>
        <v>0</v>
      </c>
      <c r="J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forbrug'!J$3,'Forbrug af biomasse'!$B$2:$B$425,$F219)</f>
        <v>0</v>
      </c>
      <c r="K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forbrug'!K$3,'Forbrug af biomasse'!$B$2:$B$425,$F219)</f>
        <v>0</v>
      </c>
      <c r="L219" s="94">
        <f ca="1">SUMIFS('Forbrug af biomasse'!$E$2:$E$425,'Forbrug af biomasse'!$C$2:$C$425,'Resultat-Produktion &amp; forbrug'!$A219,'Forbrug af biomasse'!$D$2:$D$425,'Resultat-Produktion &amp; forbrug'!$E219,'Forbrug af biomasse'!$A$2:$A$425,'Resultat-Produktion &amp; forbrug'!L$3,'Forbrug af biomasse'!$B$2:$B$425,$F219)</f>
        <v>486481.53306433168</v>
      </c>
      <c r="M219" s="94">
        <f>IF(A219&lt;&gt;"Biogas",SUMIFS('Forbrug af biomasse'!$E$2:$E$425,'Forbrug af biomasse'!$C$2:$C$425,'Resultat-Produktion &amp; forbrug'!$A219,'Forbrug af biomasse'!$D$2:$D$425,'Resultat-Produktion &amp; forbrug'!$E219,'Forbrug af biomasse'!$A$2:$A$425,'Resultat-Produktion &amp; forbrug'!M$3,'Forbrug af biomasse'!$B$2:$B$425,$F219),G219)</f>
        <v>0</v>
      </c>
      <c r="N219" s="94">
        <f>SUMIFS('Forbrug af biomasse'!E:E,'Forbrug af biomasse'!C:C,'Resultat-Produktion &amp; forbrug'!$A219,'Forbrug af biomasse'!D:D,'Resultat-Produktion &amp; forbrug'!$E219,'Forbrug af biomasse'!G:G,1,'Forbrug af biomasse'!B:B,$F219)</f>
        <v>0</v>
      </c>
      <c r="O219" s="179">
        <f t="shared" ca="1" si="69"/>
        <v>-486481.53306433168</v>
      </c>
      <c r="P219" s="94">
        <f t="shared" si="65"/>
        <v>0</v>
      </c>
      <c r="Q219" s="180">
        <f t="shared" si="70"/>
        <v>0</v>
      </c>
      <c r="R219">
        <f>IFERROR(VLOOKUP(A219,[1]Energiindhold!$A$2:$C$11,3,FALSE),IFERROR(VLOOKUP(A219,[1]Biogasudbytte!$A$2:$B$18,2,FALSE)*[1]Energiindhold!$C$10,0))*P219</f>
        <v>0</v>
      </c>
      <c r="S219">
        <f>IF(A219&lt;&gt;"Biogas",IFERROR(VLOOKUP(A219,[1]Biogasudbytte!$A$2:$B$18,2,FALSE)*[1]Energiindhold!$C$10,0)*K219*IFERROR(VLOOKUP(A219,Biogasanlæg!$F$3:$G$8,2,FALSE),1)+IFERROR(VLOOKUP(A219,[1]Energiindhold!$A$2:$C$11,3,FALSE),0)*M219+IF(E219&lt;&gt;År1,R219,0),0)</f>
        <v>0</v>
      </c>
      <c r="T219">
        <f>IFERROR(VLOOKUP(A219,[1]Biogasudbytte!$A$2:$B$18,2,FALSE)*[1]Energiindhold!$C$10,0)*K219*IFERROR(VLOOKUP(A219,Biogasanlæg!$F$3:$G$8,2,FALSE),1)</f>
        <v>0</v>
      </c>
      <c r="U219" s="170">
        <f t="shared" si="71"/>
        <v>0</v>
      </c>
      <c r="V219" s="169">
        <f>P219*IFERROR(VLOOKUP(A219,[1]Tørstofindhold!A$2:B$24,2,FALSE),0)</f>
        <v>0</v>
      </c>
      <c r="W219">
        <f>IF(E219=År1,Q219,SUM(P219,Q219))*IFERROR(VLOOKUP(A219,[1]Tørstofindhold!A$2:B$24,2,FALSE),0)</f>
        <v>0</v>
      </c>
      <c r="X219">
        <f>K219*IFERROR(VLOOKUP(A219,[1]Tørstofindhold!A$2:B$24,2,FALSE),0)</f>
        <v>0</v>
      </c>
      <c r="Y219" s="170">
        <f t="shared" si="72"/>
        <v>0</v>
      </c>
      <c r="Z219">
        <f t="shared" ca="1" si="66"/>
        <v>1</v>
      </c>
      <c r="AA219">
        <f t="shared" ca="1" si="67"/>
        <v>0</v>
      </c>
      <c r="AB219" s="94">
        <f t="shared" ca="1" si="68"/>
        <v>-486481.53306433168</v>
      </c>
      <c r="AC219">
        <f ca="1">AB219*D219*10000*VLOOKUP(A219,[1]kcal!$A$2:$C$49,3,FALSE)/1000000000000</f>
        <v>0</v>
      </c>
    </row>
    <row r="220" spans="1:29" x14ac:dyDescent="0.25">
      <c r="A220" s="171" t="str">
        <f t="shared" si="62"/>
        <v>Kvæggylle</v>
      </c>
      <c r="B220" s="171" t="str">
        <f t="shared" si="63"/>
        <v>Husdyrgødning</v>
      </c>
      <c r="C220" s="171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1</v>
      </c>
      <c r="D220" s="171">
        <f t="shared" si="61"/>
        <v>0</v>
      </c>
      <c r="E220" s="171">
        <f t="shared" si="64"/>
        <v>2030</v>
      </c>
      <c r="F220" t="s">
        <v>24</v>
      </c>
      <c r="G220" s="94">
        <f>IF(F220="Vestdanmark",SUMIFS(IF(E220=År1,'Resultater - Vestdanmark'!H$3:H$504,IF(E220=År2,'Resultater - Vestdanmark'!I$3:I$504,'Resultater - Vestdanmark'!J$3:J$504)),'Resultater - Vestdanmark'!$F$3:$F$504,$A220,IF(E220=År1,'Resultater - Vestdanmark'!H$3:H$504,IF(E220=År2,'Resultater - Vestdanmark'!I$3:I$504,'Resultater - Vestdanmark'!J$3:J$504)),"&gt;0"),SUMIFS(IF(E220=År1,'Resultater - Østdanmark'!H$3:H$504,IF(E220=År2,'Resultater - Østdanmark'!I$3:I$504,'Resultater - Østdanmark'!J$3:J$504)),'Resultater - Østdanmark'!$F$3:$F$504,$A220,IF(E220=År1,'Resultater - Østdanmark'!H$3:H$504,IF(E220=År2,'Resultater - Østdanmark'!I$3:I$504,'Resultater - Østdanmark'!J$3:J$504)),"&gt;0"))</f>
        <v>544131.82132200396</v>
      </c>
      <c r="H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forbrug'!H$3,'Forbrug af biomasse'!$B$2:$B$425,$F220)</f>
        <v>0</v>
      </c>
      <c r="I220">
        <f>IF(F220="Vestdanmark",-IF(A220="Halm",SUMIFS(IF(E220=År1,'Resultater - Vestdanmark'!H$3:H$504,IF(E220=År2,'Resultater - Vestdanmark'!I$3:I$504,'Resultater - Vestdanmark'!J$3:J$504)),'Resultater - Vestdanmark'!$F$3:$F$504,$A220,'Resultater - Vestdanmark'!H$3:H$504,"&lt;0"),0),-IF(A220="Halm",SUMIFS(IF(E220=År1,'Resultater - Østdanmark'!H$3:H$504,IF(E220=År2,'Resultater - Østdanmark'!I$3:I$504,'Resultater - Østdanmark'!J$3:J$504)),'Resultater - Østdanmark'!$F$3:$F$504,$A220,'Resultater - Østdanmark'!H$3:H$504,"&lt;0"),0))</f>
        <v>0</v>
      </c>
      <c r="J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forbrug'!J$3,'Forbrug af biomasse'!$B$2:$B$425,$F220)</f>
        <v>0</v>
      </c>
      <c r="K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forbrug'!K$3,'Forbrug af biomasse'!$B$2:$B$425,$F220)</f>
        <v>408098.865991503</v>
      </c>
      <c r="L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forbrug'!L$3,'Forbrug af biomasse'!$B$2:$B$425,$F220)</f>
        <v>136032.95533050099</v>
      </c>
      <c r="M220" s="94">
        <f>IF(A220&lt;&gt;"Biogas",SUMIFS('Forbrug af biomasse'!$E$2:$E$425,'Forbrug af biomasse'!$C$2:$C$425,'Resultat-Produktion &amp; forbrug'!$A220,'Forbrug af biomasse'!$D$2:$D$425,'Resultat-Produktion &amp; forbrug'!$E220,'Forbrug af biomasse'!$A$2:$A$425,'Resultat-Produktion &amp; forbrug'!M$3,'Forbrug af biomasse'!$B$2:$B$425,$F220),G220)</f>
        <v>0</v>
      </c>
      <c r="N220" s="94">
        <f>SUMIFS('Forbrug af biomasse'!E:E,'Forbrug af biomasse'!C:C,'Resultat-Produktion &amp; forbrug'!$A220,'Forbrug af biomasse'!D:D,'Resultat-Produktion &amp; forbrug'!$E220,'Forbrug af biomasse'!G:G,1,'Forbrug af biomasse'!B:B,$F220)</f>
        <v>0</v>
      </c>
      <c r="O220" s="179">
        <f t="shared" si="69"/>
        <v>0</v>
      </c>
      <c r="P220" s="94">
        <f t="shared" si="65"/>
        <v>0</v>
      </c>
      <c r="Q220" s="180">
        <f t="shared" si="70"/>
        <v>408098.865991503</v>
      </c>
      <c r="R220">
        <f>IFERROR(VLOOKUP(A220,[1]Energiindhold!$A$2:$C$11,3,FALSE),IFERROR(VLOOKUP(A220,[1]Biogasudbytte!$A$2:$B$18,2,FALSE)*[1]Energiindhold!$C$10,0))*P220</f>
        <v>0</v>
      </c>
      <c r="S220">
        <f>IF(A220&lt;&gt;"Biogas",IFERROR(VLOOKUP(A220,[1]Biogasudbytte!$A$2:$B$18,2,FALSE)*[1]Energiindhold!$C$10,0)*K220*IFERROR(VLOOKUP(A220,Biogasanlæg!$F$3:$G$8,2,FALSE),1)+IFERROR(VLOOKUP(A220,[1]Energiindhold!$A$2:$C$11,3,FALSE),0)*M220+IF(E220&lt;&gt;År1,R220,0),0)</f>
        <v>0.20657556497623894</v>
      </c>
      <c r="T220">
        <f>IFERROR(VLOOKUP(A220,[1]Biogasudbytte!$A$2:$B$18,2,FALSE)*[1]Energiindhold!$C$10,0)*K220*IFERROR(VLOOKUP(A220,Biogasanlæg!$F$3:$G$8,2,FALSE),1)</f>
        <v>0.20657556497623894</v>
      </c>
      <c r="U220" s="170">
        <f t="shared" si="71"/>
        <v>0</v>
      </c>
      <c r="V220" s="169">
        <f>P220*IFERROR(VLOOKUP(A220,[1]Tørstofindhold!A$2:B$24,2,FALSE),0)</f>
        <v>0</v>
      </c>
      <c r="W220">
        <f>IF(E220=År1,Q220,SUM(P220,Q220))*IFERROR(VLOOKUP(A220,[1]Tørstofindhold!A$2:B$24,2,FALSE),0)</f>
        <v>31015.513815354228</v>
      </c>
      <c r="X220">
        <f>K220*IFERROR(VLOOKUP(A220,[1]Tørstofindhold!A$2:B$24,2,FALSE),0)</f>
        <v>31015.513815354228</v>
      </c>
      <c r="Y220" s="170">
        <f t="shared" si="72"/>
        <v>0</v>
      </c>
      <c r="Z220">
        <f t="shared" si="66"/>
        <v>0</v>
      </c>
      <c r="AA220">
        <f t="shared" si="67"/>
        <v>0</v>
      </c>
      <c r="AB220" s="94">
        <f t="shared" si="68"/>
        <v>0</v>
      </c>
      <c r="AC220">
        <f>AB220*D220*10000*VLOOKUP(A220,[1]kcal!$A$2:$C$49,3,FALSE)/1000000000000</f>
        <v>0</v>
      </c>
    </row>
    <row r="221" spans="1:29" x14ac:dyDescent="0.25">
      <c r="A221" s="171" t="str">
        <f t="shared" si="62"/>
        <v>Mælk til foder</v>
      </c>
      <c r="B221" s="171" t="str">
        <f t="shared" si="63"/>
        <v/>
      </c>
      <c r="C221" s="171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0</v>
      </c>
      <c r="D221" s="171">
        <f t="shared" si="61"/>
        <v>0</v>
      </c>
      <c r="E221" s="171">
        <f t="shared" si="64"/>
        <v>2030</v>
      </c>
      <c r="F221" t="s">
        <v>24</v>
      </c>
      <c r="G221" s="94">
        <f>IF(F221="Vestdanmark",SUMIFS(IF(E221=År1,'Resultater - Vestdanmark'!H$3:H$504,IF(E221=År2,'Resultater - Vestdanmark'!I$3:I$504,'Resultater - Vestdanmark'!J$3:J$504)),'Resultater - Vestdanmark'!$F$3:$F$504,$A221,IF(E221=År1,'Resultater - Vestdanmark'!H$3:H$504,IF(E221=År2,'Resultater - Vestdanmark'!I$3:I$504,'Resultater - Vestdanmark'!J$3:J$504)),"&gt;0"),SUMIFS(IF(E221=År1,'Resultater - Østdanmark'!H$3:H$504,IF(E221=År2,'Resultater - Østdanmark'!I$3:I$504,'Resultater - Østdanmark'!J$3:J$504)),'Resultater - Østdanmark'!$F$3:$F$504,$A221,IF(E221=År1,'Resultater - Østdanmark'!H$3:H$504,IF(E221=År2,'Resultater - Østdanmark'!I$3:I$504,'Resultater - Østdanmark'!J$3:J$504)),"&gt;0"))</f>
        <v>68227.353372786543</v>
      </c>
      <c r="H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forbrug'!H$3,'Forbrug af biomasse'!$B$2:$B$425,$F221)</f>
        <v>125246.14782667712</v>
      </c>
      <c r="I221">
        <f>IF(F221="Vestdanmark",-IF(A221="Halm",SUMIFS(IF(E221=År1,'Resultater - Vestdanmark'!H$3:H$504,IF(E221=År2,'Resultater - Vestdanmark'!I$3:I$504,'Resultater - Vestdanmark'!J$3:J$504)),'Resultater - Vestdanmark'!$F$3:$F$504,$A221,'Resultater - Vestdanmark'!H$3:H$504,"&lt;0"),0),-IF(A221="Halm",SUMIFS(IF(E221=År1,'Resultater - Østdanmark'!H$3:H$504,IF(E221=År2,'Resultater - Østdanmark'!I$3:I$504,'Resultater - Østdanmark'!J$3:J$504)),'Resultater - Østdanmark'!$F$3:$F$504,$A221,'Resultater - Østdanmark'!H$3:H$504,"&lt;0"),0))</f>
        <v>0</v>
      </c>
      <c r="J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forbrug'!J$3,'Forbrug af biomasse'!$B$2:$B$425,$F221)</f>
        <v>0</v>
      </c>
      <c r="K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forbrug'!K$3,'Forbrug af biomasse'!$B$2:$B$425,$F221)</f>
        <v>0</v>
      </c>
      <c r="L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forbrug'!L$3,'Forbrug af biomasse'!$B$2:$B$425,$F221)</f>
        <v>0</v>
      </c>
      <c r="M221" s="94">
        <f>IF(A221&lt;&gt;"Biogas",SUMIFS('Forbrug af biomasse'!$E$2:$E$425,'Forbrug af biomasse'!$C$2:$C$425,'Resultat-Produktion &amp; forbrug'!$A221,'Forbrug af biomasse'!$D$2:$D$425,'Resultat-Produktion &amp; forbrug'!$E221,'Forbrug af biomasse'!$A$2:$A$425,'Resultat-Produktion &amp; forbrug'!M$3,'Forbrug af biomasse'!$B$2:$B$425,$F221),G221)</f>
        <v>0</v>
      </c>
      <c r="N221" s="94">
        <f>SUMIFS('Forbrug af biomasse'!E:E,'Forbrug af biomasse'!C:C,'Resultat-Produktion &amp; forbrug'!$A221,'Forbrug af biomasse'!D:D,'Resultat-Produktion &amp; forbrug'!$E221,'Forbrug af biomasse'!G:G,1,'Forbrug af biomasse'!B:B,$F221)</f>
        <v>0</v>
      </c>
      <c r="O221" s="179">
        <f t="shared" si="69"/>
        <v>-57018.794453890572</v>
      </c>
      <c r="P221" s="94">
        <f t="shared" si="65"/>
        <v>0</v>
      </c>
      <c r="Q221" s="180">
        <f t="shared" si="70"/>
        <v>0</v>
      </c>
      <c r="R221">
        <f>IFERROR(VLOOKUP(A221,[1]Energiindhold!$A$2:$C$11,3,FALSE),IFERROR(VLOOKUP(A221,[1]Biogasudbytte!$A$2:$B$18,2,FALSE)*[1]Energiindhold!$C$10,0))*P221</f>
        <v>0</v>
      </c>
      <c r="S221">
        <f>IF(A221&lt;&gt;"Biogas",IFERROR(VLOOKUP(A221,[1]Biogasudbytte!$A$2:$B$18,2,FALSE)*[1]Energiindhold!$C$10,0)*K221*IFERROR(VLOOKUP(A221,Biogasanlæg!$F$3:$G$8,2,FALSE),1)+IFERROR(VLOOKUP(A221,[1]Energiindhold!$A$2:$C$11,3,FALSE),0)*M221+IF(E221&lt;&gt;År1,R221,0),0)</f>
        <v>0</v>
      </c>
      <c r="T221">
        <f>IFERROR(VLOOKUP(A221,[1]Biogasudbytte!$A$2:$B$18,2,FALSE)*[1]Energiindhold!$C$10,0)*K221*IFERROR(VLOOKUP(A221,Biogasanlæg!$F$3:$G$8,2,FALSE),1)</f>
        <v>0</v>
      </c>
      <c r="U221" s="170">
        <f t="shared" si="71"/>
        <v>0</v>
      </c>
      <c r="V221" s="169">
        <f>P221*IFERROR(VLOOKUP(A221,[1]Tørstofindhold!A$2:B$24,2,FALSE),0)</f>
        <v>0</v>
      </c>
      <c r="W221">
        <f>IF(E221=År1,Q221,SUM(P221,Q221))*IFERROR(VLOOKUP(A221,[1]Tørstofindhold!A$2:B$24,2,FALSE),0)</f>
        <v>0</v>
      </c>
      <c r="X221">
        <f>K221*IFERROR(VLOOKUP(A221,[1]Tørstofindhold!A$2:B$24,2,FALSE),0)</f>
        <v>0</v>
      </c>
      <c r="Y221" s="170">
        <f t="shared" si="72"/>
        <v>0</v>
      </c>
      <c r="Z221">
        <f t="shared" si="66"/>
        <v>1</v>
      </c>
      <c r="AA221">
        <f t="shared" si="67"/>
        <v>0</v>
      </c>
      <c r="AB221" s="94">
        <f t="shared" si="68"/>
        <v>-57018.794453890572</v>
      </c>
      <c r="AC221">
        <f>AB221*D221*10000*VLOOKUP(A221,[1]kcal!$A$2:$C$49,3,FALSE)/1000000000000</f>
        <v>0</v>
      </c>
    </row>
    <row r="222" spans="1:29" x14ac:dyDescent="0.25">
      <c r="A222" s="171" t="str">
        <f t="shared" si="62"/>
        <v>Majs</v>
      </c>
      <c r="B222" s="171" t="str">
        <f t="shared" si="63"/>
        <v>Græs og urter</v>
      </c>
      <c r="C222" s="171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1</v>
      </c>
      <c r="D222" s="171">
        <f t="shared" si="61"/>
        <v>1</v>
      </c>
      <c r="E222" s="171">
        <f t="shared" si="64"/>
        <v>2030</v>
      </c>
      <c r="F222" t="s">
        <v>24</v>
      </c>
      <c r="G222" s="94">
        <f>IF(F222="Vestdanmark",SUMIFS(IF(E222=År1,'Resultater - Vestdanmark'!H$3:H$504,IF(E222=År2,'Resultater - Vestdanmark'!I$3:I$504,'Resultater - Vestdanmark'!J$3:J$504)),'Resultater - Vestdanmark'!$F$3:$F$504,$A222,IF(E222=År1,'Resultater - Vestdanmark'!H$3:H$504,IF(E222=År2,'Resultater - Vestdanmark'!I$3:I$504,'Resultater - Vestdanmark'!J$3:J$504)),"&gt;0"),SUMIFS(IF(E222=År1,'Resultater - Østdanmark'!H$3:H$504,IF(E222=År2,'Resultater - Østdanmark'!I$3:I$504,'Resultater - Østdanmark'!J$3:J$504)),'Resultater - Østdanmark'!$F$3:$F$504,$A222,IF(E222=År1,'Resultater - Østdanmark'!H$3:H$504,IF(E222=År2,'Resultater - Østdanmark'!I$3:I$504,'Resultater - Østdanmark'!J$3:J$504)),"&gt;0"))</f>
        <v>1317840.691777108</v>
      </c>
      <c r="H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forbrug'!H$3,'Forbrug af biomasse'!$B$2:$B$425,$F222)</f>
        <v>467452.37797013356</v>
      </c>
      <c r="I222">
        <f>IF(F222="Vestdanmark",-IF(A222="Halm",SUMIFS(IF(E222=År1,'Resultater - Vestdanmark'!H$3:H$504,IF(E222=År2,'Resultater - Vestdanmark'!I$3:I$504,'Resultater - Vestdanmark'!J$3:J$504)),'Resultater - Vestdanmark'!$F$3:$F$504,$A222,'Resultater - Vestdanmark'!H$3:H$504,"&lt;0"),0),-IF(A222="Halm",SUMIFS(IF(E222=År1,'Resultater - Østdanmark'!H$3:H$504,IF(E222=År2,'Resultater - Østdanmark'!I$3:I$504,'Resultater - Østdanmark'!J$3:J$504)),'Resultater - Østdanmark'!$F$3:$F$504,$A222,'Resultater - Østdanmark'!H$3:H$504,"&lt;0"),0))</f>
        <v>0</v>
      </c>
      <c r="J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forbrug'!J$3,'Forbrug af biomasse'!$B$2:$B$425,$F222)</f>
        <v>0</v>
      </c>
      <c r="K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forbrug'!K$3,'Forbrug af biomasse'!$B$2:$B$425,$F222)</f>
        <v>0</v>
      </c>
      <c r="L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forbrug'!L$3,'Forbrug af biomasse'!$B$2:$B$425,$F222)</f>
        <v>0</v>
      </c>
      <c r="M222" s="94">
        <f>IF(A222&lt;&gt;"Biogas",SUMIFS('Forbrug af biomasse'!$E$2:$E$425,'Forbrug af biomasse'!$C$2:$C$425,'Resultat-Produktion &amp; forbrug'!$A222,'Forbrug af biomasse'!$D$2:$D$425,'Resultat-Produktion &amp; forbrug'!$E222,'Forbrug af biomasse'!$A$2:$A$425,'Resultat-Produktion &amp; forbrug'!M$3,'Forbrug af biomasse'!$B$2:$B$425,$F222),G222)</f>
        <v>0</v>
      </c>
      <c r="N222" s="94">
        <f>SUMIFS('Forbrug af biomasse'!E:E,'Forbrug af biomasse'!C:C,'Resultat-Produktion &amp; forbrug'!$A222,'Forbrug af biomasse'!D:D,'Resultat-Produktion &amp; forbrug'!$E222,'Forbrug af biomasse'!G:G,1,'Forbrug af biomasse'!B:B,$F222)</f>
        <v>0</v>
      </c>
      <c r="O222" s="179">
        <f t="shared" si="69"/>
        <v>850388.31380697445</v>
      </c>
      <c r="P222" s="94">
        <f t="shared" si="65"/>
        <v>850388.31380697445</v>
      </c>
      <c r="Q222" s="180">
        <f t="shared" si="70"/>
        <v>0</v>
      </c>
      <c r="R222">
        <f>IFERROR(VLOOKUP(A222,[1]Energiindhold!$A$2:$C$11,3,FALSE),IFERROR(VLOOKUP(A222,[1]Biogasudbytte!$A$2:$B$18,2,FALSE)*[1]Energiindhold!$C$10,0))*P222</f>
        <v>3.0528940465670384</v>
      </c>
      <c r="S222">
        <f>IF(A222&lt;&gt;"Biogas",IFERROR(VLOOKUP(A222,[1]Biogasudbytte!$A$2:$B$18,2,FALSE)*[1]Energiindhold!$C$10,0)*K222*IFERROR(VLOOKUP(A222,Biogasanlæg!$F$3:$G$8,2,FALSE),1)+IFERROR(VLOOKUP(A222,[1]Energiindhold!$A$2:$C$11,3,FALSE),0)*M222+IF(E222&lt;&gt;År1,R222,0),0)</f>
        <v>3.0528940465670384</v>
      </c>
      <c r="T222">
        <f>IFERROR(VLOOKUP(A222,[1]Biogasudbytte!$A$2:$B$18,2,FALSE)*[1]Energiindhold!$C$10,0)*K222*IFERROR(VLOOKUP(A222,Biogasanlæg!$F$3:$G$8,2,FALSE),1)</f>
        <v>0</v>
      </c>
      <c r="U222" s="170">
        <f t="shared" si="71"/>
        <v>3.0528940465670384</v>
      </c>
      <c r="V222" s="169">
        <f>P222*IFERROR(VLOOKUP(A222,[1]Tørstofindhold!A$2:B$24,2,FALSE),0)</f>
        <v>255116.49414209233</v>
      </c>
      <c r="W222">
        <f>IF(E222=År1,Q222,SUM(P222,Q222))*IFERROR(VLOOKUP(A222,[1]Tørstofindhold!A$2:B$24,2,FALSE),0)</f>
        <v>255116.49414209233</v>
      </c>
      <c r="X222">
        <f>K222*IFERROR(VLOOKUP(A222,[1]Tørstofindhold!A$2:B$24,2,FALSE),0)</f>
        <v>0</v>
      </c>
      <c r="Y222" s="170">
        <f t="shared" si="72"/>
        <v>255116.49414209233</v>
      </c>
      <c r="Z222">
        <f t="shared" si="66"/>
        <v>0</v>
      </c>
      <c r="AA222">
        <f t="shared" si="67"/>
        <v>1</v>
      </c>
      <c r="AB222" s="94">
        <f t="shared" si="68"/>
        <v>850388.31380697445</v>
      </c>
      <c r="AC222">
        <f>AB222*D222*10000*VLOOKUP(A222,[1]kcal!$A$2:$C$49,3,FALSE)/1000000000000</f>
        <v>0.7738533655643467</v>
      </c>
    </row>
    <row r="223" spans="1:29" x14ac:dyDescent="0.25">
      <c r="A223" s="171" t="str">
        <f t="shared" si="62"/>
        <v>Mejeriprodukter</v>
      </c>
      <c r="B223" s="171" t="str">
        <f t="shared" si="63"/>
        <v/>
      </c>
      <c r="C223" s="171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0</v>
      </c>
      <c r="D223" s="171">
        <f t="shared" si="61"/>
        <v>1</v>
      </c>
      <c r="E223" s="171">
        <f t="shared" si="64"/>
        <v>2030</v>
      </c>
      <c r="F223" t="s">
        <v>24</v>
      </c>
      <c r="G223" s="94">
        <f>IF(F223="Vestdanmark",SUMIFS(IF(E223=År1,'Resultater - Vestdanmark'!H$3:H$504,IF(E223=År2,'Resultater - Vestdanmark'!I$3:I$504,'Resultater - Vestdanmark'!J$3:J$504)),'Resultater - Vestdanmark'!$F$3:$F$504,$A223,IF(E223=År1,'Resultater - Vestdanmark'!H$3:H$504,IF(E223=År2,'Resultater - Vestdanmark'!I$3:I$504,'Resultater - Vestdanmark'!J$3:J$504)),"&gt;0"),SUMIFS(IF(E223=År1,'Resultater - Østdanmark'!H$3:H$504,IF(E223=År2,'Resultater - Østdanmark'!I$3:I$504,'Resultater - Østdanmark'!J$3:J$504)),'Resultater - Østdanmark'!$F$3:$F$504,$A223,IF(E223=År1,'Resultater - Østdanmark'!H$3:H$504,IF(E223=År2,'Resultater - Østdanmark'!I$3:I$504,'Resultater - Østdanmark'!J$3:J$504)),"&gt;0"))</f>
        <v>131643.38274019925</v>
      </c>
      <c r="H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forbrug'!H$3,'Forbrug af biomasse'!$B$2:$B$425,$F223)</f>
        <v>0</v>
      </c>
      <c r="I223">
        <f>IF(F223="Vestdanmark",-IF(A223="Halm",SUMIFS(IF(E223=År1,'Resultater - Vestdanmark'!H$3:H$504,IF(E223=År2,'Resultater - Vestdanmark'!I$3:I$504,'Resultater - Vestdanmark'!J$3:J$504)),'Resultater - Vestdanmark'!$F$3:$F$504,$A223,'Resultater - Vestdanmark'!H$3:H$504,"&lt;0"),0),-IF(A223="Halm",SUMIFS(IF(E223=År1,'Resultater - Østdanmark'!H$3:H$504,IF(E223=År2,'Resultater - Østdanmark'!I$3:I$504,'Resultater - Østdanmark'!J$3:J$504)),'Resultater - Østdanmark'!$F$3:$F$504,$A223,'Resultater - Østdanmark'!H$3:H$504,"&lt;0"),0))</f>
        <v>0</v>
      </c>
      <c r="J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forbrug'!J$3,'Forbrug af biomasse'!$B$2:$B$425,$F223)</f>
        <v>409035.43180711387</v>
      </c>
      <c r="K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forbrug'!K$3,'Forbrug af biomasse'!$B$2:$B$425,$F223)</f>
        <v>0</v>
      </c>
      <c r="L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forbrug'!L$3,'Forbrug af biomasse'!$B$2:$B$425,$F223)</f>
        <v>0</v>
      </c>
      <c r="M223" s="94">
        <f>IF(A223&lt;&gt;"Biogas",SUMIFS('Forbrug af biomasse'!$E$2:$E$425,'Forbrug af biomasse'!$C$2:$C$425,'Resultat-Produktion &amp; forbrug'!$A223,'Forbrug af biomasse'!$D$2:$D$425,'Resultat-Produktion &amp; forbrug'!$E223,'Forbrug af biomasse'!$A$2:$A$425,'Resultat-Produktion &amp; forbrug'!M$3,'Forbrug af biomasse'!$B$2:$B$425,$F223),G223)</f>
        <v>0</v>
      </c>
      <c r="N223" s="94">
        <f>SUMIFS('Forbrug af biomasse'!E:E,'Forbrug af biomasse'!C:C,'Resultat-Produktion &amp; forbrug'!$A223,'Forbrug af biomasse'!D:D,'Resultat-Produktion &amp; forbrug'!$E223,'Forbrug af biomasse'!G:G,1,'Forbrug af biomasse'!B:B,$F223)</f>
        <v>0</v>
      </c>
      <c r="O223" s="179">
        <f t="shared" si="69"/>
        <v>-277392.04906691459</v>
      </c>
      <c r="P223" s="94">
        <f t="shared" si="65"/>
        <v>0</v>
      </c>
      <c r="Q223" s="180">
        <f t="shared" si="70"/>
        <v>0</v>
      </c>
      <c r="R223">
        <f>IFERROR(VLOOKUP(A223,[1]Energiindhold!$A$2:$C$11,3,FALSE),IFERROR(VLOOKUP(A223,[1]Biogasudbytte!$A$2:$B$18,2,FALSE)*[1]Energiindhold!$C$10,0))*P223</f>
        <v>0</v>
      </c>
      <c r="S223">
        <f>IF(A223&lt;&gt;"Biogas",IFERROR(VLOOKUP(A223,[1]Biogasudbytte!$A$2:$B$18,2,FALSE)*[1]Energiindhold!$C$10,0)*K223*IFERROR(VLOOKUP(A223,Biogasanlæg!$F$3:$G$8,2,FALSE),1)+IFERROR(VLOOKUP(A223,[1]Energiindhold!$A$2:$C$11,3,FALSE),0)*M223+IF(E223&lt;&gt;År1,R223,0),0)</f>
        <v>0</v>
      </c>
      <c r="T223">
        <f>IFERROR(VLOOKUP(A223,[1]Biogasudbytte!$A$2:$B$18,2,FALSE)*[1]Energiindhold!$C$10,0)*K223*IFERROR(VLOOKUP(A223,Biogasanlæg!$F$3:$G$8,2,FALSE),1)</f>
        <v>0</v>
      </c>
      <c r="U223" s="170">
        <f t="shared" si="71"/>
        <v>0</v>
      </c>
      <c r="V223" s="169">
        <f>P223*IFERROR(VLOOKUP(A223,[1]Tørstofindhold!A$2:B$24,2,FALSE),0)</f>
        <v>0</v>
      </c>
      <c r="W223">
        <f>IF(E223=År1,Q223,SUM(P223,Q223))*IFERROR(VLOOKUP(A223,[1]Tørstofindhold!A$2:B$24,2,FALSE),0)</f>
        <v>0</v>
      </c>
      <c r="X223">
        <f>K223*IFERROR(VLOOKUP(A223,[1]Tørstofindhold!A$2:B$24,2,FALSE),0)</f>
        <v>0</v>
      </c>
      <c r="Y223" s="170">
        <f t="shared" si="72"/>
        <v>0</v>
      </c>
      <c r="Z223">
        <f t="shared" si="66"/>
        <v>0</v>
      </c>
      <c r="AA223">
        <f t="shared" si="67"/>
        <v>1</v>
      </c>
      <c r="AB223" s="94">
        <f t="shared" si="68"/>
        <v>131643.38274019925</v>
      </c>
      <c r="AC223">
        <f>AB223*D223*10000*VLOOKUP(A223,[1]kcal!$A$2:$C$49,3,FALSE)/1000000000000</f>
        <v>8.2935331126325534E-2</v>
      </c>
    </row>
    <row r="224" spans="1:29" x14ac:dyDescent="0.25">
      <c r="A224" s="171" t="str">
        <f t="shared" si="62"/>
        <v>Muslinger</v>
      </c>
      <c r="B224" s="171" t="str">
        <f t="shared" si="63"/>
        <v>Havbiomasse</v>
      </c>
      <c r="C224" s="171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1</v>
      </c>
      <c r="D224" s="171">
        <f t="shared" si="61"/>
        <v>1</v>
      </c>
      <c r="E224" s="171">
        <f t="shared" si="64"/>
        <v>2030</v>
      </c>
      <c r="F224" t="s">
        <v>24</v>
      </c>
      <c r="G224" s="94">
        <f>IF(F224="Vestdanmark",SUMIFS(IF(E224=År1,'Resultater - Vestdanmark'!H$3:H$504,IF(E224=År2,'Resultater - Vestdanmark'!I$3:I$504,'Resultater - Vestdanmark'!J$3:J$504)),'Resultater - Vestdanmark'!$F$3:$F$504,$A224,IF(E224=År1,'Resultater - Vestdanmark'!H$3:H$504,IF(E224=År2,'Resultater - Vestdanmark'!I$3:I$504,'Resultater - Vestdanmark'!J$3:J$504)),"&gt;0"),SUMIFS(IF(E224=År1,'Resultater - Østdanmark'!H$3:H$504,IF(E224=År2,'Resultater - Østdanmark'!I$3:I$504,'Resultater - Østdanmark'!J$3:J$504)),'Resultater - Østdanmark'!$F$3:$F$504,$A224,IF(E224=År1,'Resultater - Østdanmark'!H$3:H$504,IF(E224=År2,'Resultater - Østdanmark'!I$3:I$504,'Resultater - Østdanmark'!J$3:J$504)),"&gt;0"))</f>
        <v>1.1976865502381491</v>
      </c>
      <c r="H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forbrug'!H$3,'Forbrug af biomasse'!$B$2:$B$425,$F224)</f>
        <v>0</v>
      </c>
      <c r="I224">
        <f>IF(F224="Vestdanmark",-IF(A224="Halm",SUMIFS(IF(E224=År1,'Resultater - Vestdanmark'!H$3:H$504,IF(E224=År2,'Resultater - Vestdanmark'!I$3:I$504,'Resultater - Vestdanmark'!J$3:J$504)),'Resultater - Vestdanmark'!$F$3:$F$504,$A224,'Resultater - Vestdanmark'!H$3:H$504,"&lt;0"),0),-IF(A224="Halm",SUMIFS(IF(E224=År1,'Resultater - Østdanmark'!H$3:H$504,IF(E224=År2,'Resultater - Østdanmark'!I$3:I$504,'Resultater - Østdanmark'!J$3:J$504)),'Resultater - Østdanmark'!$F$3:$F$504,$A224,'Resultater - Østdanmark'!H$3:H$504,"&lt;0"),0))</f>
        <v>0</v>
      </c>
      <c r="J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forbrug'!J$3,'Forbrug af biomasse'!$B$2:$B$425,$F224)</f>
        <v>0</v>
      </c>
      <c r="K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forbrug'!K$3,'Forbrug af biomasse'!$B$2:$B$425,$F224)</f>
        <v>0</v>
      </c>
      <c r="L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forbrug'!L$3,'Forbrug af biomasse'!$B$2:$B$425,$F224)</f>
        <v>0</v>
      </c>
      <c r="M224" s="94">
        <f>IF(A224&lt;&gt;"Biogas",SUMIFS('Forbrug af biomasse'!$E$2:$E$425,'Forbrug af biomasse'!$C$2:$C$425,'Resultat-Produktion &amp; forbrug'!$A224,'Forbrug af biomasse'!$D$2:$D$425,'Resultat-Produktion &amp; forbrug'!$E224,'Forbrug af biomasse'!$A$2:$A$425,'Resultat-Produktion &amp; forbrug'!M$3,'Forbrug af biomasse'!$B$2:$B$425,$F224),G224)</f>
        <v>0</v>
      </c>
      <c r="N224" s="94">
        <f>SUMIFS('Forbrug af biomasse'!E:E,'Forbrug af biomasse'!C:C,'Resultat-Produktion &amp; forbrug'!$A224,'Forbrug af biomasse'!D:D,'Resultat-Produktion &amp; forbrug'!$E224,'Forbrug af biomasse'!G:G,1,'Forbrug af biomasse'!B:B,$F224)</f>
        <v>0</v>
      </c>
      <c r="O224" s="179">
        <f t="shared" si="69"/>
        <v>1.1976865502381491</v>
      </c>
      <c r="P224" s="94">
        <f t="shared" si="65"/>
        <v>1.1976865502381491</v>
      </c>
      <c r="Q224" s="180">
        <f t="shared" si="70"/>
        <v>0</v>
      </c>
      <c r="R224">
        <f>IFERROR(VLOOKUP(A224,[1]Energiindhold!$A$2:$C$11,3,FALSE),IFERROR(VLOOKUP(A224,[1]Biogasudbytte!$A$2:$B$18,2,FALSE)*[1]Energiindhold!$C$10,0))*P224</f>
        <v>1.0749236788387388E-6</v>
      </c>
      <c r="S224">
        <f>IF(A224&lt;&gt;"Biogas",IFERROR(VLOOKUP(A224,[1]Biogasudbytte!$A$2:$B$18,2,FALSE)*[1]Energiindhold!$C$10,0)*K224*IFERROR(VLOOKUP(A224,Biogasanlæg!$F$3:$G$8,2,FALSE),1)+IFERROR(VLOOKUP(A224,[1]Energiindhold!$A$2:$C$11,3,FALSE),0)*M224+IF(E224&lt;&gt;År1,R224,0),0)</f>
        <v>1.0749236788387388E-6</v>
      </c>
      <c r="T224">
        <f>IFERROR(VLOOKUP(A224,[1]Biogasudbytte!$A$2:$B$18,2,FALSE)*[1]Energiindhold!$C$10,0)*K224*IFERROR(VLOOKUP(A224,Biogasanlæg!$F$3:$G$8,2,FALSE),1)</f>
        <v>0</v>
      </c>
      <c r="U224" s="170">
        <f t="shared" si="71"/>
        <v>1.0749236788387388E-6</v>
      </c>
      <c r="V224" s="169">
        <f>P224*IFERROR(VLOOKUP(A224,[1]Tørstofindhold!A$2:B$24,2,FALSE),0)</f>
        <v>0.17965298253572234</v>
      </c>
      <c r="W224">
        <f>IF(E224=År1,Q224,SUM(P224,Q224))*IFERROR(VLOOKUP(A224,[1]Tørstofindhold!A$2:B$24,2,FALSE),0)</f>
        <v>0.17965298253572234</v>
      </c>
      <c r="X224">
        <f>K224*IFERROR(VLOOKUP(A224,[1]Tørstofindhold!A$2:B$24,2,FALSE),0)</f>
        <v>0</v>
      </c>
      <c r="Y224" s="170">
        <f t="shared" si="72"/>
        <v>0.17965298253572234</v>
      </c>
      <c r="Z224">
        <f t="shared" si="66"/>
        <v>0</v>
      </c>
      <c r="AA224">
        <f t="shared" si="67"/>
        <v>1</v>
      </c>
      <c r="AB224" s="94">
        <f t="shared" si="68"/>
        <v>1.1976865502381491</v>
      </c>
      <c r="AC224">
        <f>AB224*D224*10000*VLOOKUP(A224,[1]kcal!$A$2:$C$49,3,FALSE)/1000000000000</f>
        <v>9.9407983669766362E-7</v>
      </c>
    </row>
    <row r="225" spans="1:29" x14ac:dyDescent="0.25">
      <c r="A225" s="171" t="str">
        <f t="shared" si="62"/>
        <v>Oksekød</v>
      </c>
      <c r="B225" s="171" t="str">
        <f t="shared" si="63"/>
        <v/>
      </c>
      <c r="C225" s="171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71">
        <f t="shared" si="61"/>
        <v>1</v>
      </c>
      <c r="E225" s="171">
        <f t="shared" si="64"/>
        <v>2030</v>
      </c>
      <c r="F225" t="s">
        <v>24</v>
      </c>
      <c r="G225" s="94">
        <f>IF(F225="Vestdanmark",SUMIFS(IF(E225=År1,'Resultater - Vestdanmark'!H$3:H$504,IF(E225=År2,'Resultater - Vestdanmark'!I$3:I$504,'Resultater - Vestdanmark'!J$3:J$504)),'Resultater - Vestdanmark'!$F$3:$F$504,$A225,IF(E225=År1,'Resultater - Vestdanmark'!H$3:H$504,IF(E225=År2,'Resultater - Vestdanmark'!I$3:I$504,'Resultater - Vestdanmark'!J$3:J$504)),"&gt;0"),SUMIFS(IF(E225=År1,'Resultater - Østdanmark'!H$3:H$504,IF(E225=År2,'Resultater - Østdanmark'!I$3:I$504,'Resultater - Østdanmark'!J$3:J$504)),'Resultater - Østdanmark'!$F$3:$F$504,$A225,IF(E225=År1,'Resultater - Østdanmark'!H$3:H$504,IF(E225=År2,'Resultater - Østdanmark'!I$3:I$504,'Resultater - Østdanmark'!J$3:J$504)),"&gt;0"))</f>
        <v>3992.121653443267</v>
      </c>
      <c r="H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forbrug'!H$3,'Forbrug af biomasse'!$B$2:$B$425,$F225)</f>
        <v>0</v>
      </c>
      <c r="I225">
        <f>IF(F225="Vestdanmark",-IF(A225="Halm",SUMIFS(IF(E225=År1,'Resultater - Vestdanmark'!H$3:H$504,IF(E225=År2,'Resultater - Vestdanmark'!I$3:I$504,'Resultater - Vestdanmark'!J$3:J$504)),'Resultater - Vestdanmark'!$F$3:$F$504,$A225,'Resultater - Vestdanmark'!H$3:H$504,"&lt;0"),0),-IF(A225="Halm",SUMIFS(IF(E225=År1,'Resultater - Østdanmark'!H$3:H$504,IF(E225=År2,'Resultater - Østdanmark'!I$3:I$504,'Resultater - Østdanmark'!J$3:J$504)),'Resultater - Østdanmark'!$F$3:$F$504,$A225,'Resultater - Østdanmark'!H$3:H$504,"&lt;0"),0))</f>
        <v>0</v>
      </c>
      <c r="J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forbrug'!J$3,'Forbrug af biomasse'!$B$2:$B$425,$F225)</f>
        <v>51975.70917962808</v>
      </c>
      <c r="K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forbrug'!K$3,'Forbrug af biomasse'!$B$2:$B$425,$F225)</f>
        <v>0</v>
      </c>
      <c r="L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forbrug'!L$3,'Forbrug af biomasse'!$B$2:$B$425,$F225)</f>
        <v>0</v>
      </c>
      <c r="M225" s="94">
        <f>IF(A225&lt;&gt;"Biogas",SUMIFS('Forbrug af biomasse'!$E$2:$E$425,'Forbrug af biomasse'!$C$2:$C$425,'Resultat-Produktion &amp; forbrug'!$A225,'Forbrug af biomasse'!$D$2:$D$425,'Resultat-Produktion &amp; forbrug'!$E225,'Forbrug af biomasse'!$A$2:$A$425,'Resultat-Produktion &amp; forbrug'!M$3,'Forbrug af biomasse'!$B$2:$B$425,$F225),G225)</f>
        <v>0</v>
      </c>
      <c r="N225" s="94">
        <f>SUMIFS('Forbrug af biomasse'!E:E,'Forbrug af biomasse'!C:C,'Resultat-Produktion &amp; forbrug'!$A225,'Forbrug af biomasse'!D:D,'Resultat-Produktion &amp; forbrug'!$E225,'Forbrug af biomasse'!G:G,1,'Forbrug af biomasse'!B:B,$F225)</f>
        <v>0</v>
      </c>
      <c r="O225" s="179">
        <f t="shared" si="69"/>
        <v>-47983.587526184812</v>
      </c>
      <c r="P225" s="94">
        <f t="shared" si="65"/>
        <v>0</v>
      </c>
      <c r="Q225" s="180">
        <f t="shared" si="70"/>
        <v>0</v>
      </c>
      <c r="R225">
        <f>IFERROR(VLOOKUP(A225,[1]Energiindhold!$A$2:$C$11,3,FALSE),IFERROR(VLOOKUP(A225,[1]Biogasudbytte!$A$2:$B$18,2,FALSE)*[1]Energiindhold!$C$10,0))*P225</f>
        <v>0</v>
      </c>
      <c r="S225">
        <f>IF(A225&lt;&gt;"Biogas",IFERROR(VLOOKUP(A225,[1]Biogasudbytte!$A$2:$B$18,2,FALSE)*[1]Energiindhold!$C$10,0)*K225*IFERROR(VLOOKUP(A225,Biogasanlæg!$F$3:$G$8,2,FALSE),1)+IFERROR(VLOOKUP(A225,[1]Energiindhold!$A$2:$C$11,3,FALSE),0)*M225+IF(E225&lt;&gt;År1,R225,0),0)</f>
        <v>0</v>
      </c>
      <c r="T225">
        <f>IFERROR(VLOOKUP(A225,[1]Biogasudbytte!$A$2:$B$18,2,FALSE)*[1]Energiindhold!$C$10,0)*K225*IFERROR(VLOOKUP(A225,Biogasanlæg!$F$3:$G$8,2,FALSE),1)</f>
        <v>0</v>
      </c>
      <c r="U225" s="170">
        <f t="shared" si="71"/>
        <v>0</v>
      </c>
      <c r="V225" s="169">
        <f>P225*IFERROR(VLOOKUP(A225,[1]Tørstofindhold!A$2:B$24,2,FALSE),0)</f>
        <v>0</v>
      </c>
      <c r="W225">
        <f>IF(E225=År1,Q225,SUM(P225,Q225))*IFERROR(VLOOKUP(A225,[1]Tørstofindhold!A$2:B$24,2,FALSE),0)</f>
        <v>0</v>
      </c>
      <c r="X225">
        <f>K225*IFERROR(VLOOKUP(A225,[1]Tørstofindhold!A$2:B$24,2,FALSE),0)</f>
        <v>0</v>
      </c>
      <c r="Y225" s="170">
        <f t="shared" si="72"/>
        <v>0</v>
      </c>
      <c r="Z225">
        <f t="shared" si="66"/>
        <v>1</v>
      </c>
      <c r="AA225">
        <f t="shared" si="67"/>
        <v>0</v>
      </c>
      <c r="AB225" s="94">
        <f t="shared" si="68"/>
        <v>3992.121653443267</v>
      </c>
      <c r="AC225">
        <f>AB225*D225*10000*VLOOKUP(A225,[1]kcal!$A$2:$C$49,3,FALSE)/1000000000000</f>
        <v>7.7846372242143707E-3</v>
      </c>
    </row>
    <row r="226" spans="1:29" x14ac:dyDescent="0.25">
      <c r="A226" s="171" t="str">
        <f t="shared" si="62"/>
        <v>Øvrige</v>
      </c>
      <c r="B226" s="171" t="str">
        <f t="shared" si="63"/>
        <v/>
      </c>
      <c r="C226" s="171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0</v>
      </c>
      <c r="D226" s="171">
        <f t="shared" si="61"/>
        <v>1</v>
      </c>
      <c r="E226" s="171">
        <f t="shared" si="64"/>
        <v>2030</v>
      </c>
      <c r="F226" t="s">
        <v>24</v>
      </c>
      <c r="G226" s="94">
        <f>IF(F226="Vestdanmark",SUMIFS(IF(E226=År1,'Resultater - Vestdanmark'!H$3:H$504,IF(E226=År2,'Resultater - Vestdanmark'!I$3:I$504,'Resultater - Vestdanmark'!J$3:J$504)),'Resultater - Vestdanmark'!$F$3:$F$504,$A226,IF(E226=År1,'Resultater - Vestdanmark'!H$3:H$504,IF(E226=År2,'Resultater - Vestdanmark'!I$3:I$504,'Resultater - Vestdanmark'!J$3:J$504)),"&gt;0"),SUMIFS(IF(E226=År1,'Resultater - Østdanmark'!H$3:H$504,IF(E226=År2,'Resultater - Østdanmark'!I$3:I$504,'Resultater - Østdanmark'!J$3:J$504)),'Resultater - Østdanmark'!$F$3:$F$504,$A226,IF(E226=År1,'Resultater - Østdanmark'!H$3:H$504,IF(E226=År2,'Resultater - Østdanmark'!I$3:I$504,'Resultater - Østdanmark'!J$3:J$504)),"&gt;0"))</f>
        <v>432468.49177549983</v>
      </c>
      <c r="H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forbrug'!H$3,'Forbrug af biomasse'!$B$2:$B$425,$F226)</f>
        <v>0</v>
      </c>
      <c r="I226">
        <f>IF(F226="Vestdanmark",-IF(A226="Halm",SUMIFS(IF(E226=År1,'Resultater - Vestdanmark'!H$3:H$504,IF(E226=År2,'Resultater - Vestdanmark'!I$3:I$504,'Resultater - Vestdanmark'!J$3:J$504)),'Resultater - Vestdanmark'!$F$3:$F$504,$A226,'Resultater - Vestdanmark'!H$3:H$504,"&lt;0"),0),-IF(A226="Halm",SUMIFS(IF(E226=År1,'Resultater - Østdanmark'!H$3:H$504,IF(E226=År2,'Resultater - Østdanmark'!I$3:I$504,'Resultater - Østdanmark'!J$3:J$504)),'Resultater - Østdanmark'!$F$3:$F$504,$A226,'Resultater - Østdanmark'!H$3:H$504,"&lt;0"),0))</f>
        <v>0</v>
      </c>
      <c r="J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forbrug'!J$3,'Forbrug af biomasse'!$B$2:$B$425,$F226)</f>
        <v>0</v>
      </c>
      <c r="K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forbrug'!K$3,'Forbrug af biomasse'!$B$2:$B$425,$F226)</f>
        <v>0</v>
      </c>
      <c r="L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forbrug'!L$3,'Forbrug af biomasse'!$B$2:$B$425,$F226)</f>
        <v>0</v>
      </c>
      <c r="M226" s="94">
        <f>IF(A226&lt;&gt;"Biogas",SUMIFS('Forbrug af biomasse'!$E$2:$E$425,'Forbrug af biomasse'!$C$2:$C$425,'Resultat-Produktion &amp; forbrug'!$A226,'Forbrug af biomasse'!$D$2:$D$425,'Resultat-Produktion &amp; forbrug'!$E226,'Forbrug af biomasse'!$A$2:$A$425,'Resultat-Produktion &amp; forbrug'!M$3,'Forbrug af biomasse'!$B$2:$B$425,$F226),G226)</f>
        <v>0</v>
      </c>
      <c r="N226" s="94">
        <f>SUMIFS('Forbrug af biomasse'!E:E,'Forbrug af biomasse'!C:C,'Resultat-Produktion &amp; forbrug'!$A226,'Forbrug af biomasse'!D:D,'Resultat-Produktion &amp; forbrug'!$E226,'Forbrug af biomasse'!G:G,1,'Forbrug af biomasse'!B:B,$F226)</f>
        <v>0</v>
      </c>
      <c r="O226" s="179">
        <f t="shared" si="69"/>
        <v>432468.49177549983</v>
      </c>
      <c r="P226" s="94">
        <f t="shared" si="65"/>
        <v>0</v>
      </c>
      <c r="Q226" s="180">
        <f t="shared" si="70"/>
        <v>0</v>
      </c>
      <c r="R226">
        <f>IFERROR(VLOOKUP(A226,[1]Energiindhold!$A$2:$C$11,3,FALSE),IFERROR(VLOOKUP(A226,[1]Biogasudbytte!$A$2:$B$18,2,FALSE)*[1]Energiindhold!$C$10,0))*P226</f>
        <v>0</v>
      </c>
      <c r="S226">
        <f>IF(A226&lt;&gt;"Biogas",IFERROR(VLOOKUP(A226,[1]Biogasudbytte!$A$2:$B$18,2,FALSE)*[1]Energiindhold!$C$10,0)*K226*IFERROR(VLOOKUP(A226,Biogasanlæg!$F$3:$G$8,2,FALSE),1)+IFERROR(VLOOKUP(A226,[1]Energiindhold!$A$2:$C$11,3,FALSE),0)*M226+IF(E226&lt;&gt;År1,R226,0),0)</f>
        <v>0</v>
      </c>
      <c r="T226">
        <f>IFERROR(VLOOKUP(A226,[1]Biogasudbytte!$A$2:$B$18,2,FALSE)*[1]Energiindhold!$C$10,0)*K226*IFERROR(VLOOKUP(A226,Biogasanlæg!$F$3:$G$8,2,FALSE),1)</f>
        <v>0</v>
      </c>
      <c r="U226" s="170">
        <f t="shared" si="71"/>
        <v>0</v>
      </c>
      <c r="V226" s="169">
        <f>P226*IFERROR(VLOOKUP(A226,[1]Tørstofindhold!A$2:B$24,2,FALSE),0)</f>
        <v>0</v>
      </c>
      <c r="W226">
        <f>IF(E226=År1,Q226,SUM(P226,Q226))*IFERROR(VLOOKUP(A226,[1]Tørstofindhold!A$2:B$24,2,FALSE),0)</f>
        <v>0</v>
      </c>
      <c r="X226">
        <f>K226*IFERROR(VLOOKUP(A226,[1]Tørstofindhold!A$2:B$24,2,FALSE),0)</f>
        <v>0</v>
      </c>
      <c r="Y226" s="170">
        <f t="shared" si="72"/>
        <v>0</v>
      </c>
      <c r="Z226">
        <f t="shared" si="66"/>
        <v>0</v>
      </c>
      <c r="AA226">
        <f t="shared" si="67"/>
        <v>1</v>
      </c>
      <c r="AB226" s="94">
        <f t="shared" si="68"/>
        <v>432468.49177549983</v>
      </c>
      <c r="AC226">
        <f>AB226*D226*10000*VLOOKUP(A226,[1]kcal!$A$2:$C$49,3,FALSE)/1000000000000</f>
        <v>0.16866271179244491</v>
      </c>
    </row>
    <row r="227" spans="1:29" x14ac:dyDescent="0.25">
      <c r="A227" s="171" t="str">
        <f t="shared" si="62"/>
        <v>Pil &amp; poppel</v>
      </c>
      <c r="B227" s="171" t="str">
        <f t="shared" si="63"/>
        <v>Vedmasse</v>
      </c>
      <c r="C227" s="171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71">
        <f t="shared" si="61"/>
        <v>0</v>
      </c>
      <c r="E227" s="171">
        <f t="shared" si="64"/>
        <v>2030</v>
      </c>
      <c r="F227" t="s">
        <v>24</v>
      </c>
      <c r="G227" s="94">
        <f>IF(F227="Vestdanmark",SUMIFS(IF(E227=År1,'Resultater - Vestdanmark'!H$3:H$504,IF(E227=År2,'Resultater - Vestdanmark'!I$3:I$504,'Resultater - Vestdanmark'!J$3:J$504)),'Resultater - Vestdanmark'!$F$3:$F$504,$A227,IF(E227=År1,'Resultater - Vestdanmark'!H$3:H$504,IF(E227=År2,'Resultater - Vestdanmark'!I$3:I$504,'Resultater - Vestdanmark'!J$3:J$504)),"&gt;0"),SUMIFS(IF(E227=År1,'Resultater - Østdanmark'!H$3:H$504,IF(E227=År2,'Resultater - Østdanmark'!I$3:I$504,'Resultater - Østdanmark'!J$3:J$504)),'Resultater - Østdanmark'!$F$3:$F$504,$A227,IF(E227=År1,'Resultater - Østdanmark'!H$3:H$504,IF(E227=År2,'Resultater - Østdanmark'!I$3:I$504,'Resultater - Østdanmark'!J$3:J$504)),"&gt;0"))</f>
        <v>40786.879237447567</v>
      </c>
      <c r="H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forbrug'!H$3,'Forbrug af biomasse'!$B$2:$B$425,$F227)</f>
        <v>0</v>
      </c>
      <c r="I227">
        <f>IF(F227="Vestdanmark",-IF(A227="Halm",SUMIFS(IF(E227=År1,'Resultater - Vestdanmark'!H$3:H$504,IF(E227=År2,'Resultater - Vestdanmark'!I$3:I$504,'Resultater - Vestdanmark'!J$3:J$504)),'Resultater - Vestdanmark'!$F$3:$F$504,$A227,'Resultater - Vestdanmark'!H$3:H$504,"&lt;0"),0),-IF(A227="Halm",SUMIFS(IF(E227=År1,'Resultater - Østdanmark'!H$3:H$504,IF(E227=År2,'Resultater - Østdanmark'!I$3:I$504,'Resultater - Østdanmark'!J$3:J$504)),'Resultater - Østdanmark'!$F$3:$F$504,$A227,'Resultater - Østdanmark'!H$3:H$504,"&lt;0"),0))</f>
        <v>0</v>
      </c>
      <c r="J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forbrug'!J$3,'Forbrug af biomasse'!$B$2:$B$425,$F227)</f>
        <v>0</v>
      </c>
      <c r="K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forbrug'!K$3,'Forbrug af biomasse'!$B$2:$B$425,$F227)</f>
        <v>0</v>
      </c>
      <c r="L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forbrug'!L$3,'Forbrug af biomasse'!$B$2:$B$425,$F227)</f>
        <v>0</v>
      </c>
      <c r="M227" s="94">
        <f>IF(A227&lt;&gt;"Biogas",SUMIFS('Forbrug af biomasse'!$E$2:$E$425,'Forbrug af biomasse'!$C$2:$C$425,'Resultat-Produktion &amp; forbrug'!$A227,'Forbrug af biomasse'!$D$2:$D$425,'Resultat-Produktion &amp; forbrug'!$E227,'Forbrug af biomasse'!$A$2:$A$425,'Resultat-Produktion &amp; forbrug'!M$3,'Forbrug af biomasse'!$B$2:$B$425,$F227),G227)</f>
        <v>40786.879237447567</v>
      </c>
      <c r="N227" s="94">
        <f>SUMIFS('Forbrug af biomasse'!E:E,'Forbrug af biomasse'!C:C,'Resultat-Produktion &amp; forbrug'!$A227,'Forbrug af biomasse'!D:D,'Resultat-Produktion &amp; forbrug'!$E227,'Forbrug af biomasse'!G:G,1,'Forbrug af biomasse'!B:B,$F227)</f>
        <v>0</v>
      </c>
      <c r="O227" s="179">
        <f t="shared" si="69"/>
        <v>0</v>
      </c>
      <c r="P227" s="94">
        <f t="shared" si="65"/>
        <v>0</v>
      </c>
      <c r="Q227" s="180">
        <f t="shared" si="70"/>
        <v>40786.879237447567</v>
      </c>
      <c r="R227">
        <f>IFERROR(VLOOKUP(A227,[1]Energiindhold!$A$2:$C$11,3,FALSE),IFERROR(VLOOKUP(A227,[1]Biogasudbytte!$A$2:$B$18,2,FALSE)*[1]Energiindhold!$C$10,0))*P227</f>
        <v>0</v>
      </c>
      <c r="S227">
        <f>IF(A227&lt;&gt;"Biogas",IFERROR(VLOOKUP(A227,[1]Biogasudbytte!$A$2:$B$18,2,FALSE)*[1]Energiindhold!$C$10,0)*K227*IFERROR(VLOOKUP(A227,Biogasanlæg!$F$3:$G$8,2,FALSE),1)+IFERROR(VLOOKUP(A227,[1]Energiindhold!$A$2:$C$11,3,FALSE),0)*M227+IF(E227&lt;&gt;År1,R227,0),0)</f>
        <v>0.75047857796903505</v>
      </c>
      <c r="T227">
        <f>IFERROR(VLOOKUP(A227,[1]Biogasudbytte!$A$2:$B$18,2,FALSE)*[1]Energiindhold!$C$10,0)*K227*IFERROR(VLOOKUP(A227,Biogasanlæg!$F$3:$G$8,2,FALSE),1)</f>
        <v>0</v>
      </c>
      <c r="U227" s="170">
        <f t="shared" si="71"/>
        <v>0.75047857796903505</v>
      </c>
      <c r="V227" s="169">
        <f>P227*IFERROR(VLOOKUP(A227,[1]Tørstofindhold!A$2:B$24,2,FALSE),0)</f>
        <v>0</v>
      </c>
      <c r="W227">
        <f>IF(E227=År1,Q227,SUM(P227,Q227))*IFERROR(VLOOKUP(A227,[1]Tørstofindhold!A$2:B$24,2,FALSE),0)</f>
        <v>16926.554883540743</v>
      </c>
      <c r="X227">
        <f>K227*IFERROR(VLOOKUP(A227,[1]Tørstofindhold!A$2:B$24,2,FALSE),0)</f>
        <v>0</v>
      </c>
      <c r="Y227" s="170">
        <f t="shared" si="72"/>
        <v>16926.554883540743</v>
      </c>
      <c r="Z227">
        <f t="shared" si="66"/>
        <v>0</v>
      </c>
      <c r="AA227">
        <f t="shared" si="67"/>
        <v>0</v>
      </c>
      <c r="AB227" s="94">
        <f t="shared" si="68"/>
        <v>40786.879237447567</v>
      </c>
      <c r="AC227">
        <f>AB227*D227*10000*VLOOKUP(A227,[1]kcal!$A$2:$C$49,3,FALSE)/1000000000000</f>
        <v>0</v>
      </c>
    </row>
    <row r="228" spans="1:29" x14ac:dyDescent="0.25">
      <c r="A228" s="171" t="str">
        <f t="shared" ref="A228:A229" si="73">A180</f>
        <v>Pyrolysegas</v>
      </c>
      <c r="B228" s="171" t="str">
        <f t="shared" ref="B228:B229" si="74">IF(B180&lt;&gt;"",B180,"")</f>
        <v>Pyrolyseprodukter</v>
      </c>
      <c r="C228" s="171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71">
        <f t="shared" si="61"/>
        <v>0</v>
      </c>
      <c r="E228" s="171">
        <f t="shared" si="64"/>
        <v>2030</v>
      </c>
      <c r="F228" t="s">
        <v>24</v>
      </c>
      <c r="G228" s="94">
        <f>IF(F228="Vestdanmark",SUMIFS(IF(E228=År1,'Resultater - Vestdanmark'!H$3:H$504,IF(E228=År2,'Resultater - Vestdanmark'!I$3:I$504,'Resultater - Vestdanmark'!J$3:J$504)),'Resultater - Vestdanmark'!$F$3:$F$504,$A228,IF(E228=År1,'Resultater - Vestdanmark'!H$3:H$504,IF(E228=År2,'Resultater - Vestdanmark'!I$3:I$504,'Resultater - Vestdanmark'!J$3:J$504)),"&gt;0"),SUMIFS(IF(E228=År1,'Resultater - Østdanmark'!H$3:H$504,IF(E228=År2,'Resultater - Østdanmark'!I$3:I$504,'Resultater - Østdanmark'!J$3:J$504)),'Resultater - Østdanmark'!$F$3:$F$504,$A228,IF(E228=År1,'Resultater - Østdanmark'!H$3:H$504,IF(E228=År2,'Resultater - Østdanmark'!I$3:I$504,'Resultater - Østdanmark'!J$3:J$504)),"&gt;0"))</f>
        <v>0</v>
      </c>
      <c r="H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forbrug'!H$3,'Forbrug af biomasse'!$B$2:$B$425,$F228)</f>
        <v>0</v>
      </c>
      <c r="I228">
        <f>IF(F228="Vestdanmark",-IF(A228="Halm",SUMIFS(IF(E228=År1,'Resultater - Vestdanmark'!H$3:H$504,IF(E228=År2,'Resultater - Vestdanmark'!I$3:I$504,'Resultater - Vestdanmark'!J$3:J$504)),'Resultater - Vestdanmark'!$F$3:$F$504,$A228,'Resultater - Vestdanmark'!H$3:H$504,"&lt;0"),0),-IF(A228="Halm",SUMIFS(IF(E228=År1,'Resultater - Østdanmark'!H$3:H$504,IF(E228=År2,'Resultater - Østdanmark'!I$3:I$504,'Resultater - Østdanmark'!J$3:J$504)),'Resultater - Østdanmark'!$F$3:$F$504,$A228,'Resultater - Østdanmark'!H$3:H$504,"&lt;0"),0))</f>
        <v>0</v>
      </c>
      <c r="J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forbrug'!J$3,'Forbrug af biomasse'!$B$2:$B$425,$F228)</f>
        <v>0</v>
      </c>
      <c r="K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forbrug'!K$3,'Forbrug af biomasse'!$B$2:$B$425,$F228)</f>
        <v>0</v>
      </c>
      <c r="L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forbrug'!L$3,'Forbrug af biomasse'!$B$2:$B$425,$F228)</f>
        <v>0</v>
      </c>
      <c r="M228" s="94">
        <f>IF(A228&lt;&gt;"Biogas",SUMIFS('Forbrug af biomasse'!$E$2:$E$425,'Forbrug af biomasse'!$C$2:$C$425,'Resultat-Produktion &amp; forbrug'!$A228,'Forbrug af biomasse'!$D$2:$D$425,'Resultat-Produktion &amp; forbrug'!$E228,'Forbrug af biomasse'!$A$2:$A$425,'Resultat-Produktion &amp; forbrug'!M$3,'Forbrug af biomasse'!$B$2:$B$425,$F228),G228)</f>
        <v>0</v>
      </c>
      <c r="N228" s="94">
        <f>SUMIFS('Forbrug af biomasse'!E:E,'Forbrug af biomasse'!C:C,'Resultat-Produktion &amp; forbrug'!$A228,'Forbrug af biomasse'!D:D,'Resultat-Produktion &amp; forbrug'!$E228,'Forbrug af biomasse'!G:G,1,'Forbrug af biomasse'!B:B,$F228)</f>
        <v>0</v>
      </c>
      <c r="O228" s="179">
        <f t="shared" ref="O228:O229" si="75">G228-SUM(H228:N228)</f>
        <v>0</v>
      </c>
      <c r="P228" s="94">
        <f t="shared" si="65"/>
        <v>0</v>
      </c>
      <c r="Q228" s="180">
        <f t="shared" ref="Q228:Q229" si="76">SUM(K228,M228)</f>
        <v>0</v>
      </c>
      <c r="R228">
        <f>IFERROR(VLOOKUP(A228,[1]Energiindhold!$A$2:$C$11,3,FALSE),IFERROR(VLOOKUP(A228,[1]Biogasudbytte!$A$2:$B$18,2,FALSE)*[1]Energiindhold!$C$10,0))*P228</f>
        <v>0</v>
      </c>
      <c r="S228">
        <f>IF(A228&lt;&gt;"Biogas",IFERROR(VLOOKUP(A228,[1]Biogasudbytte!$A$2:$B$18,2,FALSE)*[1]Energiindhold!$C$10,0)*K228*IFERROR(VLOOKUP(A228,Biogasanlæg!$F$3:$G$8,2,FALSE),1)+IFERROR(VLOOKUP(A228,[1]Energiindhold!$A$2:$C$11,3,FALSE),0)*M228+IF(E228&lt;&gt;År1,R228,0),0)</f>
        <v>0</v>
      </c>
      <c r="T228">
        <f>IFERROR(VLOOKUP(A228,[1]Biogasudbytte!$A$2:$B$18,2,FALSE)*[1]Energiindhold!$C$10,0)*K228*IFERROR(VLOOKUP(A228,Biogasanlæg!$F$3:$G$8,2,FALSE),1)</f>
        <v>0</v>
      </c>
      <c r="U228" s="170">
        <f t="shared" ref="U228:U229" si="77">S228-T228</f>
        <v>0</v>
      </c>
      <c r="V228" s="169">
        <f>P228*IFERROR(VLOOKUP(A228,[1]Tørstofindhold!A$2:B$24,2,FALSE),0)</f>
        <v>0</v>
      </c>
      <c r="W228">
        <f>IF(E228=År1,Q228,SUM(P228,Q228))*IFERROR(VLOOKUP(A228,[1]Tørstofindhold!A$2:B$24,2,FALSE),0)</f>
        <v>0</v>
      </c>
      <c r="X228">
        <f>K228*IFERROR(VLOOKUP(A228,[1]Tørstofindhold!A$2:B$24,2,FALSE),0)</f>
        <v>0</v>
      </c>
      <c r="Y228" s="170">
        <f t="shared" ref="Y228:Y229" si="78">W228-X228</f>
        <v>0</v>
      </c>
      <c r="Z228">
        <f t="shared" si="66"/>
        <v>0</v>
      </c>
      <c r="AA228">
        <f t="shared" si="67"/>
        <v>0</v>
      </c>
      <c r="AB228" s="94">
        <f t="shared" si="68"/>
        <v>0</v>
      </c>
      <c r="AC228">
        <f>AB228*D228*10000*VLOOKUP(A228,[1]kcal!$A$2:$C$49,3,FALSE)/1000000000000</f>
        <v>0</v>
      </c>
    </row>
    <row r="229" spans="1:29" x14ac:dyDescent="0.25">
      <c r="A229" s="171" t="str">
        <f t="shared" si="73"/>
        <v>Pyrolyseolie</v>
      </c>
      <c r="B229" s="171" t="str">
        <f t="shared" si="74"/>
        <v>Pyrolyseprodukter</v>
      </c>
      <c r="C229" s="171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1</v>
      </c>
      <c r="D229" s="171">
        <f t="shared" si="61"/>
        <v>0</v>
      </c>
      <c r="E229" s="171">
        <f t="shared" si="64"/>
        <v>2030</v>
      </c>
      <c r="F229" t="s">
        <v>24</v>
      </c>
      <c r="G229" s="94">
        <f>IF(F229="Vestdanmark",SUMIFS(IF(E229=År1,'Resultater - Vestdanmark'!H$3:H$504,IF(E229=År2,'Resultater - Vestdanmark'!I$3:I$504,'Resultater - Vestdanmark'!J$3:J$504)),'Resultater - Vestdanmark'!$F$3:$F$504,$A229,IF(E229=År1,'Resultater - Vestdanmark'!H$3:H$504,IF(E229=År2,'Resultater - Vestdanmark'!I$3:I$504,'Resultater - Vestdanmark'!J$3:J$504)),"&gt;0"),SUMIFS(IF(E229=År1,'Resultater - Østdanmark'!H$3:H$504,IF(E229=År2,'Resultater - Østdanmark'!I$3:I$504,'Resultater - Østdanmark'!J$3:J$504)),'Resultater - Østdanmark'!$F$3:$F$504,$A229,IF(E229=År1,'Resultater - Østdanmark'!H$3:H$504,IF(E229=År2,'Resultater - Østdanmark'!I$3:I$504,'Resultater - Østdanmark'!J$3:J$504)),"&gt;0"))</f>
        <v>0</v>
      </c>
      <c r="H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forbrug'!H$3,'Forbrug af biomasse'!$B$2:$B$425,$F229)</f>
        <v>0</v>
      </c>
      <c r="I229">
        <f>IF(F229="Vestdanmark",-IF(A229="Halm",SUMIFS(IF(E229=År1,'Resultater - Vestdanmark'!H$3:H$504,IF(E229=År2,'Resultater - Vestdanmark'!I$3:I$504,'Resultater - Vestdanmark'!J$3:J$504)),'Resultater - Vestdanmark'!$F$3:$F$504,$A229,'Resultater - Vestdanmark'!H$3:H$504,"&lt;0"),0),-IF(A229="Halm",SUMIFS(IF(E229=År1,'Resultater - Østdanmark'!H$3:H$504,IF(E229=År2,'Resultater - Østdanmark'!I$3:I$504,'Resultater - Østdanmark'!J$3:J$504)),'Resultater - Østdanmark'!$F$3:$F$504,$A229,'Resultater - Østdanmark'!H$3:H$504,"&lt;0"),0))</f>
        <v>0</v>
      </c>
      <c r="J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forbrug'!J$3,'Forbrug af biomasse'!$B$2:$B$425,$F229)</f>
        <v>0</v>
      </c>
      <c r="K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forbrug'!K$3,'Forbrug af biomasse'!$B$2:$B$425,$F229)</f>
        <v>0</v>
      </c>
      <c r="L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forbrug'!L$3,'Forbrug af biomasse'!$B$2:$B$425,$F229)</f>
        <v>0</v>
      </c>
      <c r="M229" s="94">
        <f>IF(A229&lt;&gt;"Biogas",SUMIFS('Forbrug af biomasse'!$E$2:$E$425,'Forbrug af biomasse'!$C$2:$C$425,'Resultat-Produktion &amp; forbrug'!$A229,'Forbrug af biomasse'!$D$2:$D$425,'Resultat-Produktion &amp; forbrug'!$E229,'Forbrug af biomasse'!$A$2:$A$425,'Resultat-Produktion &amp; forbrug'!M$3,'Forbrug af biomasse'!$B$2:$B$425,$F229),G229)</f>
        <v>0</v>
      </c>
      <c r="N229" s="94">
        <f>SUMIFS('Forbrug af biomasse'!E:E,'Forbrug af biomasse'!C:C,'Resultat-Produktion &amp; forbrug'!$A229,'Forbrug af biomasse'!D:D,'Resultat-Produktion &amp; forbrug'!$E229,'Forbrug af biomasse'!G:G,1,'Forbrug af biomasse'!B:B,$F229)</f>
        <v>0</v>
      </c>
      <c r="O229" s="179">
        <f t="shared" si="75"/>
        <v>0</v>
      </c>
      <c r="P229" s="94">
        <f t="shared" si="65"/>
        <v>0</v>
      </c>
      <c r="Q229" s="180">
        <f t="shared" si="76"/>
        <v>0</v>
      </c>
      <c r="R229">
        <f>IFERROR(VLOOKUP(A229,[1]Energiindhold!$A$2:$C$11,3,FALSE),IFERROR(VLOOKUP(A229,[1]Biogasudbytte!$A$2:$B$18,2,FALSE)*[1]Energiindhold!$C$10,0))*P229</f>
        <v>0</v>
      </c>
      <c r="S229">
        <f>IF(A229&lt;&gt;"Biogas",IFERROR(VLOOKUP(A229,[1]Biogasudbytte!$A$2:$B$18,2,FALSE)*[1]Energiindhold!$C$10,0)*K229*IFERROR(VLOOKUP(A229,Biogasanlæg!$F$3:$G$8,2,FALSE),1)+IFERROR(VLOOKUP(A229,[1]Energiindhold!$A$2:$C$11,3,FALSE),0)*M229+IF(E229&lt;&gt;År1,R229,0),0)</f>
        <v>0</v>
      </c>
      <c r="T229">
        <f>IFERROR(VLOOKUP(A229,[1]Biogasudbytte!$A$2:$B$18,2,FALSE)*[1]Energiindhold!$C$10,0)*K229*IFERROR(VLOOKUP(A229,Biogasanlæg!$F$3:$G$8,2,FALSE),1)</f>
        <v>0</v>
      </c>
      <c r="U229" s="170">
        <f t="shared" si="77"/>
        <v>0</v>
      </c>
      <c r="V229" s="169">
        <f>P229*IFERROR(VLOOKUP(A229,[1]Tørstofindhold!A$2:B$24,2,FALSE),0)</f>
        <v>0</v>
      </c>
      <c r="W229">
        <f>IF(E229=År1,Q229,SUM(P229,Q229))*IFERROR(VLOOKUP(A229,[1]Tørstofindhold!A$2:B$24,2,FALSE),0)</f>
        <v>0</v>
      </c>
      <c r="X229">
        <f>K229*IFERROR(VLOOKUP(A229,[1]Tørstofindhold!A$2:B$24,2,FALSE),0)</f>
        <v>0</v>
      </c>
      <c r="Y229" s="170">
        <f t="shared" si="78"/>
        <v>0</v>
      </c>
      <c r="Z229">
        <f t="shared" si="66"/>
        <v>0</v>
      </c>
      <c r="AA229">
        <f t="shared" si="67"/>
        <v>0</v>
      </c>
      <c r="AB229" s="94">
        <f t="shared" si="68"/>
        <v>0</v>
      </c>
      <c r="AC229">
        <f>AB229*D229*10000*VLOOKUP(A229,[1]kcal!$A$2:$C$49,3,FALSE)/1000000000000</f>
        <v>0</v>
      </c>
    </row>
    <row r="230" spans="1:29" x14ac:dyDescent="0.25">
      <c r="A230" s="171" t="str">
        <f t="shared" ref="A230:A275" si="79">A182</f>
        <v>Råmælk</v>
      </c>
      <c r="B230" s="171" t="str">
        <f t="shared" ref="B230:B275" si="80">IF(B182&lt;&gt;"",B182,"")</f>
        <v/>
      </c>
      <c r="C230" s="171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71">
        <f t="shared" si="61"/>
        <v>0</v>
      </c>
      <c r="E230" s="171">
        <f t="shared" si="64"/>
        <v>2030</v>
      </c>
      <c r="F230" t="s">
        <v>24</v>
      </c>
      <c r="G230" s="94">
        <f>IF(F230="Vestdanmark",SUMIFS(IF(E230=År1,'Resultater - Vestdanmark'!H$3:H$504,IF(E230=År2,'Resultater - Vestdanmark'!I$3:I$504,'Resultater - Vestdanmark'!J$3:J$504)),'Resultater - Vestdanmark'!$F$3:$F$504,$A230,IF(E230=År1,'Resultater - Vestdanmark'!H$3:H$504,IF(E230=År2,'Resultater - Vestdanmark'!I$3:I$504,'Resultater - Vestdanmark'!J$3:J$504)),"&gt;0"),SUMIFS(IF(E230=År1,'Resultater - Østdanmark'!H$3:H$504,IF(E230=År2,'Resultater - Østdanmark'!I$3:I$504,'Resultater - Østdanmark'!J$3:J$504)),'Resultater - Østdanmark'!$F$3:$F$504,$A230,IF(E230=År1,'Resultater - Østdanmark'!H$3:H$504,IF(E230=År2,'Resultater - Østdanmark'!I$3:I$504,'Resultater - Østdanmark'!J$3:J$504)),"&gt;0"))</f>
        <v>204995.62678254952</v>
      </c>
      <c r="H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forbrug'!H$3,'Forbrug af biomasse'!$B$2:$B$425,$F230)</f>
        <v>0</v>
      </c>
      <c r="I230">
        <f>IF(F230="Vestdanmark",-IF(A230="Halm",SUMIFS(IF(E230=År1,'Resultater - Vestdanmark'!H$3:H$504,IF(E230=År2,'Resultater - Vestdanmark'!I$3:I$504,'Resultater - Vestdanmark'!J$3:J$504)),'Resultater - Vestdanmark'!$F$3:$F$504,$A230,'Resultater - Vestdanmark'!H$3:H$504,"&lt;0"),0),-IF(A230="Halm",SUMIFS(IF(E230=År1,'Resultater - Østdanmark'!H$3:H$504,IF(E230=År2,'Resultater - Østdanmark'!I$3:I$504,'Resultater - Østdanmark'!J$3:J$504)),'Resultater - Østdanmark'!$F$3:$F$504,$A230,'Resultater - Østdanmark'!H$3:H$504,"&lt;0"),0))</f>
        <v>0</v>
      </c>
      <c r="J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forbrug'!J$3,'Forbrug af biomasse'!$B$2:$B$425,$F230)</f>
        <v>0</v>
      </c>
      <c r="K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forbrug'!K$3,'Forbrug af biomasse'!$B$2:$B$425,$F230)</f>
        <v>0</v>
      </c>
      <c r="L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forbrug'!L$3,'Forbrug af biomasse'!$B$2:$B$425,$F230)</f>
        <v>0</v>
      </c>
      <c r="M230" s="94">
        <f>IF(A230&lt;&gt;"Biogas",SUMIFS('Forbrug af biomasse'!$E$2:$E$425,'Forbrug af biomasse'!$C$2:$C$425,'Resultat-Produktion &amp; forbrug'!$A230,'Forbrug af biomasse'!$D$2:$D$425,'Resultat-Produktion &amp; forbrug'!$E230,'Forbrug af biomasse'!$A$2:$A$425,'Resultat-Produktion &amp; forbrug'!M$3,'Forbrug af biomasse'!$B$2:$B$425,$F230),G230)</f>
        <v>0</v>
      </c>
      <c r="N230" s="94">
        <f>SUMIFS('Forbrug af biomasse'!E:E,'Forbrug af biomasse'!C:C,'Resultat-Produktion &amp; forbrug'!$A230,'Forbrug af biomasse'!D:D,'Resultat-Produktion &amp; forbrug'!$E230,'Forbrug af biomasse'!G:G,1,'Forbrug af biomasse'!B:B,$F230)</f>
        <v>0</v>
      </c>
      <c r="O230" s="179">
        <f t="shared" si="69"/>
        <v>204995.62678254952</v>
      </c>
      <c r="P230" s="94">
        <f t="shared" si="65"/>
        <v>0</v>
      </c>
      <c r="Q230" s="180">
        <f t="shared" si="70"/>
        <v>0</v>
      </c>
      <c r="R230">
        <f>IFERROR(VLOOKUP(A230,[1]Energiindhold!$A$2:$C$11,3,FALSE),IFERROR(VLOOKUP(A230,[1]Biogasudbytte!$A$2:$B$18,2,FALSE)*[1]Energiindhold!$C$10,0))*P230</f>
        <v>0</v>
      </c>
      <c r="S230">
        <f>IF(A230&lt;&gt;"Biogas",IFERROR(VLOOKUP(A230,[1]Biogasudbytte!$A$2:$B$18,2,FALSE)*[1]Energiindhold!$C$10,0)*K230*IFERROR(VLOOKUP(A230,Biogasanlæg!$F$3:$G$8,2,FALSE),1)+IFERROR(VLOOKUP(A230,[1]Energiindhold!$A$2:$C$11,3,FALSE),0)*M230+IF(E230&lt;&gt;År1,R230,0),0)</f>
        <v>0</v>
      </c>
      <c r="T230">
        <f>IFERROR(VLOOKUP(A230,[1]Biogasudbytte!$A$2:$B$18,2,FALSE)*[1]Energiindhold!$C$10,0)*K230*IFERROR(VLOOKUP(A230,Biogasanlæg!$F$3:$G$8,2,FALSE),1)</f>
        <v>0</v>
      </c>
      <c r="U230" s="170">
        <f t="shared" si="71"/>
        <v>0</v>
      </c>
      <c r="V230" s="169">
        <f>P230*IFERROR(VLOOKUP(A230,[1]Tørstofindhold!A$2:B$24,2,FALSE),0)</f>
        <v>0</v>
      </c>
      <c r="W230">
        <f>IF(E230=År1,Q230,SUM(P230,Q230))*IFERROR(VLOOKUP(A230,[1]Tørstofindhold!A$2:B$24,2,FALSE),0)</f>
        <v>0</v>
      </c>
      <c r="X230">
        <f>K230*IFERROR(VLOOKUP(A230,[1]Tørstofindhold!A$2:B$24,2,FALSE),0)</f>
        <v>0</v>
      </c>
      <c r="Y230" s="170">
        <f t="shared" si="72"/>
        <v>0</v>
      </c>
      <c r="Z230">
        <f t="shared" si="66"/>
        <v>0</v>
      </c>
      <c r="AA230">
        <f t="shared" si="67"/>
        <v>1</v>
      </c>
      <c r="AB230" s="94">
        <f t="shared" si="68"/>
        <v>204995.62678254952</v>
      </c>
      <c r="AC230">
        <f>AB230*D230*10000*VLOOKUP(A230,[1]kcal!$A$2:$C$49,3,FALSE)/1000000000000</f>
        <v>0</v>
      </c>
    </row>
    <row r="231" spans="1:29" x14ac:dyDescent="0.25">
      <c r="A231" s="171" t="str">
        <f t="shared" si="79"/>
        <v>Raps</v>
      </c>
      <c r="B231" s="171" t="str">
        <f t="shared" si="80"/>
        <v/>
      </c>
      <c r="C231" s="171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71">
        <f t="shared" si="61"/>
        <v>0</v>
      </c>
      <c r="E231" s="171">
        <f t="shared" si="64"/>
        <v>2030</v>
      </c>
      <c r="F231" t="s">
        <v>24</v>
      </c>
      <c r="G231" s="94">
        <f>IF(F231="Vestdanmark",SUMIFS(IF(E231=År1,'Resultater - Vestdanmark'!H$3:H$504,IF(E231=År2,'Resultater - Vestdanmark'!I$3:I$504,'Resultater - Vestdanmark'!J$3:J$504)),'Resultater - Vestdanmark'!$F$3:$F$504,$A231,IF(E231=År1,'Resultater - Vestdanmark'!H$3:H$504,IF(E231=År2,'Resultater - Vestdanmark'!I$3:I$504,'Resultater - Vestdanmark'!J$3:J$504)),"&gt;0"),SUMIFS(IF(E231=År1,'Resultater - Østdanmark'!H$3:H$504,IF(E231=År2,'Resultater - Østdanmark'!I$3:I$504,'Resultater - Østdanmark'!J$3:J$504)),'Resultater - Østdanmark'!$F$3:$F$504,$A231,IF(E231=År1,'Resultater - Østdanmark'!H$3:H$504,IF(E231=År2,'Resultater - Østdanmark'!I$3:I$504,'Resultater - Østdanmark'!J$3:J$504)),"&gt;0"))</f>
        <v>148274.85806676943</v>
      </c>
      <c r="H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forbrug'!H$3,'Forbrug af biomasse'!$B$2:$B$425,$F231)</f>
        <v>0</v>
      </c>
      <c r="I231">
        <f>IF(F231="Vestdanmark",-IF(A231="Halm",SUMIFS(IF(E231=År1,'Resultater - Vestdanmark'!H$3:H$504,IF(E231=År2,'Resultater - Vestdanmark'!I$3:I$504,'Resultater - Vestdanmark'!J$3:J$504)),'Resultater - Vestdanmark'!$F$3:$F$504,$A231,'Resultater - Vestdanmark'!H$3:H$504,"&lt;0"),0),-IF(A231="Halm",SUMIFS(IF(E231=År1,'Resultater - Østdanmark'!H$3:H$504,IF(E231=År2,'Resultater - Østdanmark'!I$3:I$504,'Resultater - Østdanmark'!J$3:J$504)),'Resultater - Østdanmark'!$F$3:$F$504,$A231,'Resultater - Østdanmark'!H$3:H$504,"&lt;0"),0))</f>
        <v>0</v>
      </c>
      <c r="J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forbrug'!J$3,'Forbrug af biomasse'!$B$2:$B$425,$F231)</f>
        <v>0</v>
      </c>
      <c r="K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forbrug'!K$3,'Forbrug af biomasse'!$B$2:$B$425,$F231)</f>
        <v>0</v>
      </c>
      <c r="L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forbrug'!L$3,'Forbrug af biomasse'!$B$2:$B$425,$F231)</f>
        <v>0</v>
      </c>
      <c r="M231" s="94">
        <f>IF(A231&lt;&gt;"Biogas",SUMIFS('Forbrug af biomasse'!$E$2:$E$425,'Forbrug af biomasse'!$C$2:$C$425,'Resultat-Produktion &amp; forbrug'!$A231,'Forbrug af biomasse'!$D$2:$D$425,'Resultat-Produktion &amp; forbrug'!$E231,'Forbrug af biomasse'!$A$2:$A$425,'Resultat-Produktion &amp; forbrug'!M$3,'Forbrug af biomasse'!$B$2:$B$425,$F231),G231)</f>
        <v>0</v>
      </c>
      <c r="N231" s="94">
        <f>SUMIFS('Forbrug af biomasse'!E:E,'Forbrug af biomasse'!C:C,'Resultat-Produktion &amp; forbrug'!$A231,'Forbrug af biomasse'!D:D,'Resultat-Produktion &amp; forbrug'!$E231,'Forbrug af biomasse'!G:G,1,'Forbrug af biomasse'!B:B,$F231)</f>
        <v>148274.85806676943</v>
      </c>
      <c r="O231" s="179">
        <f t="shared" si="69"/>
        <v>0</v>
      </c>
      <c r="P231" s="94">
        <f t="shared" si="65"/>
        <v>0</v>
      </c>
      <c r="Q231" s="180">
        <f t="shared" si="70"/>
        <v>0</v>
      </c>
      <c r="R231">
        <f>IFERROR(VLOOKUP(A231,[1]Energiindhold!$A$2:$C$11,3,FALSE),IFERROR(VLOOKUP(A231,[1]Biogasudbytte!$A$2:$B$18,2,FALSE)*[1]Energiindhold!$C$10,0))*P231</f>
        <v>0</v>
      </c>
      <c r="S231">
        <f>IF(A231&lt;&gt;"Biogas",IFERROR(VLOOKUP(A231,[1]Biogasudbytte!$A$2:$B$18,2,FALSE)*[1]Energiindhold!$C$10,0)*K231*IFERROR(VLOOKUP(A231,Biogasanlæg!$F$3:$G$8,2,FALSE),1)+IFERROR(VLOOKUP(A231,[1]Energiindhold!$A$2:$C$11,3,FALSE),0)*M231+IF(E231&lt;&gt;År1,R231,0),0)</f>
        <v>0</v>
      </c>
      <c r="T231">
        <f>IFERROR(VLOOKUP(A231,[1]Biogasudbytte!$A$2:$B$18,2,FALSE)*[1]Energiindhold!$C$10,0)*K231*IFERROR(VLOOKUP(A231,Biogasanlæg!$F$3:$G$8,2,FALSE),1)</f>
        <v>0</v>
      </c>
      <c r="U231" s="170">
        <f t="shared" si="71"/>
        <v>0</v>
      </c>
      <c r="V231" s="169">
        <f>P231*IFERROR(VLOOKUP(A231,[1]Tørstofindhold!A$2:B$24,2,FALSE),0)</f>
        <v>0</v>
      </c>
      <c r="W231">
        <f>IF(E231=År1,Q231,SUM(P231,Q231))*IFERROR(VLOOKUP(A231,[1]Tørstofindhold!A$2:B$24,2,FALSE),0)</f>
        <v>0</v>
      </c>
      <c r="X231">
        <f>K231*IFERROR(VLOOKUP(A231,[1]Tørstofindhold!A$2:B$24,2,FALSE),0)</f>
        <v>0</v>
      </c>
      <c r="Y231" s="170">
        <f t="shared" si="72"/>
        <v>0</v>
      </c>
      <c r="Z231">
        <f t="shared" si="66"/>
        <v>0</v>
      </c>
      <c r="AA231">
        <f t="shared" si="67"/>
        <v>0</v>
      </c>
      <c r="AB231" s="94">
        <f t="shared" si="68"/>
        <v>148274.85806676943</v>
      </c>
      <c r="AC231">
        <f>AB231*D231*10000*VLOOKUP(A231,[1]kcal!$A$2:$C$49,3,FALSE)/1000000000000</f>
        <v>0</v>
      </c>
    </row>
    <row r="232" spans="1:29" x14ac:dyDescent="0.25">
      <c r="A232" s="171" t="str">
        <f t="shared" si="79"/>
        <v>Rapskage</v>
      </c>
      <c r="B232" s="171" t="str">
        <f t="shared" si="80"/>
        <v/>
      </c>
      <c r="C232" s="171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0</v>
      </c>
      <c r="D232" s="171">
        <f t="shared" si="61"/>
        <v>0</v>
      </c>
      <c r="E232" s="171">
        <f t="shared" si="64"/>
        <v>2030</v>
      </c>
      <c r="F232" t="s">
        <v>24</v>
      </c>
      <c r="G232" s="94">
        <f>IF(F232="Vestdanmark",SUMIFS(IF(E232=År1,'Resultater - Vestdanmark'!H$3:H$504,IF(E232=År2,'Resultater - Vestdanmark'!I$3:I$504,'Resultater - Vestdanmark'!J$3:J$504)),'Resultater - Vestdanmark'!$F$3:$F$504,$A232,IF(E232=År1,'Resultater - Vestdanmark'!H$3:H$504,IF(E232=År2,'Resultater - Vestdanmark'!I$3:I$504,'Resultater - Vestdanmark'!J$3:J$504)),"&gt;0"),SUMIFS(IF(E232=År1,'Resultater - Østdanmark'!H$3:H$504,IF(E232=År2,'Resultater - Østdanmark'!I$3:I$504,'Resultater - Østdanmark'!J$3:J$504)),'Resultater - Østdanmark'!$F$3:$F$504,$A232,IF(E232=År1,'Resultater - Østdanmark'!H$3:H$504,IF(E232=År2,'Resultater - Østdanmark'!I$3:I$504,'Resultater - Østdanmark'!J$3:J$504)),"&gt;0"))</f>
        <v>74137.429033384717</v>
      </c>
      <c r="H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forbrug'!H$3,'Forbrug af biomasse'!$B$2:$B$425,$F232)</f>
        <v>17691.388493248127</v>
      </c>
      <c r="I232">
        <f>IF(F232="Vestdanmark",-IF(A232="Halm",SUMIFS(IF(E232=År1,'Resultater - Vestdanmark'!H$3:H$504,IF(E232=År2,'Resultater - Vestdanmark'!I$3:I$504,'Resultater - Vestdanmark'!J$3:J$504)),'Resultater - Vestdanmark'!$F$3:$F$504,$A232,'Resultater - Vestdanmark'!H$3:H$504,"&lt;0"),0),-IF(A232="Halm",SUMIFS(IF(E232=År1,'Resultater - Østdanmark'!H$3:H$504,IF(E232=År2,'Resultater - Østdanmark'!I$3:I$504,'Resultater - Østdanmark'!J$3:J$504)),'Resultater - Østdanmark'!$F$3:$F$504,$A232,'Resultater - Østdanmark'!H$3:H$504,"&lt;0"),0))</f>
        <v>0</v>
      </c>
      <c r="J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forbrug'!J$3,'Forbrug af biomasse'!$B$2:$B$425,$F232)</f>
        <v>0</v>
      </c>
      <c r="K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forbrug'!K$3,'Forbrug af biomasse'!$B$2:$B$425,$F232)</f>
        <v>0</v>
      </c>
      <c r="L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forbrug'!L$3,'Forbrug af biomasse'!$B$2:$B$425,$F232)</f>
        <v>0</v>
      </c>
      <c r="M232" s="94">
        <f>IF(A232&lt;&gt;"Biogas",SUMIFS('Forbrug af biomasse'!$E$2:$E$425,'Forbrug af biomasse'!$C$2:$C$425,'Resultat-Produktion &amp; forbrug'!$A232,'Forbrug af biomasse'!$D$2:$D$425,'Resultat-Produktion &amp; forbrug'!$E232,'Forbrug af biomasse'!$A$2:$A$425,'Resultat-Produktion &amp; forbrug'!M$3,'Forbrug af biomasse'!$B$2:$B$425,$F232),G232)</f>
        <v>0</v>
      </c>
      <c r="N232" s="94">
        <f>SUMIFS('Forbrug af biomasse'!E:E,'Forbrug af biomasse'!C:C,'Resultat-Produktion &amp; forbrug'!$A232,'Forbrug af biomasse'!D:D,'Resultat-Produktion &amp; forbrug'!$E232,'Forbrug af biomasse'!G:G,1,'Forbrug af biomasse'!B:B,$F232)</f>
        <v>0</v>
      </c>
      <c r="O232" s="179">
        <f t="shared" si="69"/>
        <v>56446.040540136586</v>
      </c>
      <c r="P232" s="94">
        <f t="shared" si="65"/>
        <v>0</v>
      </c>
      <c r="Q232" s="180">
        <f t="shared" si="70"/>
        <v>0</v>
      </c>
      <c r="R232">
        <f>IFERROR(VLOOKUP(A232,[1]Energiindhold!$A$2:$C$11,3,FALSE),IFERROR(VLOOKUP(A232,[1]Biogasudbytte!$A$2:$B$18,2,FALSE)*[1]Energiindhold!$C$10,0))*P232</f>
        <v>0</v>
      </c>
      <c r="S232">
        <f>IF(A232&lt;&gt;"Biogas",IFERROR(VLOOKUP(A232,[1]Biogasudbytte!$A$2:$B$18,2,FALSE)*[1]Energiindhold!$C$10,0)*K232*IFERROR(VLOOKUP(A232,Biogasanlæg!$F$3:$G$8,2,FALSE),1)+IFERROR(VLOOKUP(A232,[1]Energiindhold!$A$2:$C$11,3,FALSE),0)*M232+IF(E232&lt;&gt;År1,R232,0),0)</f>
        <v>0</v>
      </c>
      <c r="T232">
        <f>IFERROR(VLOOKUP(A232,[1]Biogasudbytte!$A$2:$B$18,2,FALSE)*[1]Energiindhold!$C$10,0)*K232*IFERROR(VLOOKUP(A232,Biogasanlæg!$F$3:$G$8,2,FALSE),1)</f>
        <v>0</v>
      </c>
      <c r="U232" s="170">
        <f t="shared" si="71"/>
        <v>0</v>
      </c>
      <c r="V232" s="169">
        <f>P232*IFERROR(VLOOKUP(A232,[1]Tørstofindhold!A$2:B$24,2,FALSE),0)</f>
        <v>0</v>
      </c>
      <c r="W232">
        <f>IF(E232=År1,Q232,SUM(P232,Q232))*IFERROR(VLOOKUP(A232,[1]Tørstofindhold!A$2:B$24,2,FALSE),0)</f>
        <v>0</v>
      </c>
      <c r="X232">
        <f>K232*IFERROR(VLOOKUP(A232,[1]Tørstofindhold!A$2:B$24,2,FALSE),0)</f>
        <v>0</v>
      </c>
      <c r="Y232" s="170">
        <f t="shared" si="72"/>
        <v>0</v>
      </c>
      <c r="Z232">
        <f t="shared" si="66"/>
        <v>0</v>
      </c>
      <c r="AA232">
        <f t="shared" si="67"/>
        <v>1</v>
      </c>
      <c r="AB232" s="94">
        <f t="shared" si="68"/>
        <v>56446.040540136586</v>
      </c>
      <c r="AC232">
        <f>AB232*D232*10000*VLOOKUP(A232,[1]kcal!$A$2:$C$49,3,FALSE)/1000000000000</f>
        <v>0</v>
      </c>
    </row>
    <row r="233" spans="1:29" x14ac:dyDescent="0.25">
      <c r="A233" s="171" t="str">
        <f t="shared" si="79"/>
        <v>Rapsolie</v>
      </c>
      <c r="B233" s="171" t="str">
        <f t="shared" si="80"/>
        <v>Rapsolie</v>
      </c>
      <c r="C233" s="171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71">
        <f t="shared" si="61"/>
        <v>1</v>
      </c>
      <c r="E233" s="171">
        <f t="shared" si="64"/>
        <v>2030</v>
      </c>
      <c r="F233" t="s">
        <v>24</v>
      </c>
      <c r="G233" s="94">
        <f>IF(F233="Vestdanmark",SUMIFS(IF(E233=År1,'Resultater - Vestdanmark'!H$3:H$504,IF(E233=År2,'Resultater - Vestdanmark'!I$3:I$504,'Resultater - Vestdanmark'!J$3:J$504)),'Resultater - Vestdanmark'!$F$3:$F$504,$A233,IF(E233=År1,'Resultater - Vestdanmark'!H$3:H$504,IF(E233=År2,'Resultater - Vestdanmark'!I$3:I$504,'Resultater - Vestdanmark'!J$3:J$504)),"&gt;0"),SUMIFS(IF(E233=År1,'Resultater - Østdanmark'!H$3:H$504,IF(E233=År2,'Resultater - Østdanmark'!I$3:I$504,'Resultater - Østdanmark'!J$3:J$504)),'Resultater - Østdanmark'!$F$3:$F$504,$A233,IF(E233=År1,'Resultater - Østdanmark'!H$3:H$504,IF(E233=År2,'Resultater - Østdanmark'!I$3:I$504,'Resultater - Østdanmark'!J$3:J$504)),"&gt;0"))</f>
        <v>47447.954581366219</v>
      </c>
      <c r="H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forbrug'!H$3,'Forbrug af biomasse'!$B$2:$B$425,$F233)</f>
        <v>0</v>
      </c>
      <c r="I233">
        <f>IF(F233="Vestdanmark",-IF(A233="Halm",SUMIFS(IF(E233=År1,'Resultater - Vestdanmark'!H$3:H$504,IF(E233=År2,'Resultater - Vestdanmark'!I$3:I$504,'Resultater - Vestdanmark'!J$3:J$504)),'Resultater - Vestdanmark'!$F$3:$F$504,$A233,'Resultater - Vestdanmark'!H$3:H$504,"&lt;0"),0),-IF(A233="Halm",SUMIFS(IF(E233=År1,'Resultater - Østdanmark'!H$3:H$504,IF(E233=År2,'Resultater - Østdanmark'!I$3:I$504,'Resultater - Østdanmark'!J$3:J$504)),'Resultater - Østdanmark'!$F$3:$F$504,$A233,'Resultater - Østdanmark'!H$3:H$504,"&lt;0"),0))</f>
        <v>0</v>
      </c>
      <c r="J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forbrug'!J$3,'Forbrug af biomasse'!$B$2:$B$425,$F233)</f>
        <v>0</v>
      </c>
      <c r="K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forbrug'!K$3,'Forbrug af biomasse'!$B$2:$B$425,$F233)</f>
        <v>0</v>
      </c>
      <c r="L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forbrug'!L$3,'Forbrug af biomasse'!$B$2:$B$425,$F233)</f>
        <v>0</v>
      </c>
      <c r="M233" s="94">
        <f>IF(A233&lt;&gt;"Biogas",SUMIFS('Forbrug af biomasse'!$E$2:$E$425,'Forbrug af biomasse'!$C$2:$C$425,'Resultat-Produktion &amp; forbrug'!$A233,'Forbrug af biomasse'!$D$2:$D$425,'Resultat-Produktion &amp; forbrug'!$E233,'Forbrug af biomasse'!$A$2:$A$425,'Resultat-Produktion &amp; forbrug'!M$3,'Forbrug af biomasse'!$B$2:$B$425,$F233),G233)</f>
        <v>47447.954581366219</v>
      </c>
      <c r="N233" s="94">
        <f>SUMIFS('Forbrug af biomasse'!E:E,'Forbrug af biomasse'!C:C,'Resultat-Produktion &amp; forbrug'!$A233,'Forbrug af biomasse'!D:D,'Resultat-Produktion &amp; forbrug'!$E233,'Forbrug af biomasse'!G:G,1,'Forbrug af biomasse'!B:B,$F233)</f>
        <v>0</v>
      </c>
      <c r="O233" s="179">
        <f t="shared" si="69"/>
        <v>0</v>
      </c>
      <c r="P233" s="94">
        <f t="shared" si="65"/>
        <v>0</v>
      </c>
      <c r="Q233" s="180">
        <f t="shared" si="70"/>
        <v>47447.954581366219</v>
      </c>
      <c r="R233">
        <f>IFERROR(VLOOKUP(A233,[1]Energiindhold!$A$2:$C$11,3,FALSE),IFERROR(VLOOKUP(A233,[1]Biogasudbytte!$A$2:$B$18,2,FALSE)*[1]Energiindhold!$C$10,0))*P233</f>
        <v>0</v>
      </c>
      <c r="S233">
        <f>IF(A233&lt;&gt;"Biogas",IFERROR(VLOOKUP(A233,[1]Biogasudbytte!$A$2:$B$18,2,FALSE)*[1]Energiindhold!$C$10,0)*K233*IFERROR(VLOOKUP(A233,Biogasanlæg!$F$3:$G$8,2,FALSE),1)+IFERROR(VLOOKUP(A233,[1]Energiindhold!$A$2:$C$11,3,FALSE),0)*M233+IF(E233&lt;&gt;År1,R233,0),0)</f>
        <v>1.6606784103478176</v>
      </c>
      <c r="T233">
        <f>IFERROR(VLOOKUP(A233,[1]Biogasudbytte!$A$2:$B$18,2,FALSE)*[1]Energiindhold!$C$10,0)*K233*IFERROR(VLOOKUP(A233,Biogasanlæg!$F$3:$G$8,2,FALSE),1)</f>
        <v>0</v>
      </c>
      <c r="U233" s="170">
        <f t="shared" si="71"/>
        <v>1.6606784103478176</v>
      </c>
      <c r="V233" s="169">
        <f>P233*IFERROR(VLOOKUP(A233,[1]Tørstofindhold!A$2:B$24,2,FALSE),0)</f>
        <v>0</v>
      </c>
      <c r="W233">
        <f>IF(E233=År1,Q233,SUM(P233,Q233))*IFERROR(VLOOKUP(A233,[1]Tørstofindhold!A$2:B$24,2,FALSE),0)</f>
        <v>0</v>
      </c>
      <c r="X233">
        <f>K233*IFERROR(VLOOKUP(A233,[1]Tørstofindhold!A$2:B$24,2,FALSE),0)</f>
        <v>0</v>
      </c>
      <c r="Y233" s="170">
        <f t="shared" si="72"/>
        <v>0</v>
      </c>
      <c r="Z233">
        <f t="shared" si="66"/>
        <v>0</v>
      </c>
      <c r="AA233">
        <f t="shared" si="67"/>
        <v>0</v>
      </c>
      <c r="AB233" s="94">
        <f t="shared" si="68"/>
        <v>47447.954581366219</v>
      </c>
      <c r="AC233">
        <f>AB233*D233*10000*VLOOKUP(A233,[1]kcal!$A$2:$C$49,3,FALSE)/1000000000000</f>
        <v>0.42703159123229595</v>
      </c>
    </row>
    <row r="234" spans="1:29" x14ac:dyDescent="0.25">
      <c r="A234" s="171" t="str">
        <f t="shared" si="79"/>
        <v>Roer</v>
      </c>
      <c r="B234" s="171" t="str">
        <f t="shared" si="80"/>
        <v>Græs og urter</v>
      </c>
      <c r="C234" s="171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1</v>
      </c>
      <c r="D234" s="171">
        <f t="shared" si="61"/>
        <v>1</v>
      </c>
      <c r="E234" s="171">
        <f t="shared" si="64"/>
        <v>2030</v>
      </c>
      <c r="F234" t="s">
        <v>24</v>
      </c>
      <c r="G234" s="94">
        <f>IF(F234="Vestdanmark",SUMIFS(IF(E234=År1,'Resultater - Vestdanmark'!H$3:H$504,IF(E234=År2,'Resultater - Vestdanmark'!I$3:I$504,'Resultater - Vestdanmark'!J$3:J$504)),'Resultater - Vestdanmark'!$F$3:$F$504,$A234,IF(E234=År1,'Resultater - Vestdanmark'!H$3:H$504,IF(E234=År2,'Resultater - Vestdanmark'!I$3:I$504,'Resultater - Vestdanmark'!J$3:J$504)),"&gt;0"),SUMIFS(IF(E234=År1,'Resultater - Østdanmark'!H$3:H$504,IF(E234=År2,'Resultater - Østdanmark'!I$3:I$504,'Resultater - Østdanmark'!J$3:J$504)),'Resultater - Østdanmark'!$F$3:$F$504,$A234,IF(E234=År1,'Resultater - Østdanmark'!H$3:H$504,IF(E234=År2,'Resultater - Østdanmark'!I$3:I$504,'Resultater - Østdanmark'!J$3:J$504)),"&gt;0"))</f>
        <v>568748.18023765879</v>
      </c>
      <c r="H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forbrug'!H$3,'Forbrug af biomasse'!$B$2:$B$425,$F234)</f>
        <v>69507.170691045991</v>
      </c>
      <c r="I234">
        <f>IF(F234="Vestdanmark",-IF(A234="Halm",SUMIFS(IF(E234=År1,'Resultater - Vestdanmark'!H$3:H$504,IF(E234=År2,'Resultater - Vestdanmark'!I$3:I$504,'Resultater - Vestdanmark'!J$3:J$504)),'Resultater - Vestdanmark'!$F$3:$F$504,$A234,'Resultater - Vestdanmark'!H$3:H$504,"&lt;0"),0),-IF(A234="Halm",SUMIFS(IF(E234=År1,'Resultater - Østdanmark'!H$3:H$504,IF(E234=År2,'Resultater - Østdanmark'!I$3:I$504,'Resultater - Østdanmark'!J$3:J$504)),'Resultater - Østdanmark'!$F$3:$F$504,$A234,'Resultater - Østdanmark'!H$3:H$504,"&lt;0"),0))</f>
        <v>0</v>
      </c>
      <c r="J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forbrug'!J$3,'Forbrug af biomasse'!$B$2:$B$425,$F234)</f>
        <v>0</v>
      </c>
      <c r="K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forbrug'!K$3,'Forbrug af biomasse'!$B$2:$B$425,$F234)</f>
        <v>0</v>
      </c>
      <c r="L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forbrug'!L$3,'Forbrug af biomasse'!$B$2:$B$425,$F234)</f>
        <v>0</v>
      </c>
      <c r="M234" s="94">
        <f>IF(A234&lt;&gt;"Biogas",SUMIFS('Forbrug af biomasse'!$E$2:$E$425,'Forbrug af biomasse'!$C$2:$C$425,'Resultat-Produktion &amp; forbrug'!$A234,'Forbrug af biomasse'!$D$2:$D$425,'Resultat-Produktion &amp; forbrug'!$E234,'Forbrug af biomasse'!$A$2:$A$425,'Resultat-Produktion &amp; forbrug'!M$3,'Forbrug af biomasse'!$B$2:$B$425,$F234),G234)</f>
        <v>0</v>
      </c>
      <c r="N234" s="94">
        <f>SUMIFS('Forbrug af biomasse'!E:E,'Forbrug af biomasse'!C:C,'Resultat-Produktion &amp; forbrug'!$A234,'Forbrug af biomasse'!D:D,'Resultat-Produktion &amp; forbrug'!$E234,'Forbrug af biomasse'!G:G,1,'Forbrug af biomasse'!B:B,$F234)</f>
        <v>0</v>
      </c>
      <c r="O234" s="179">
        <f t="shared" si="69"/>
        <v>499241.0095466128</v>
      </c>
      <c r="P234" s="94">
        <f t="shared" si="65"/>
        <v>499241.0095466128</v>
      </c>
      <c r="Q234" s="180">
        <f t="shared" si="70"/>
        <v>0</v>
      </c>
      <c r="R234">
        <f>IFERROR(VLOOKUP(A234,[1]Energiindhold!$A$2:$C$11,3,FALSE),IFERROR(VLOOKUP(A234,[1]Biogasudbytte!$A$2:$B$18,2,FALSE)*[1]Energiindhold!$C$10,0))*P234</f>
        <v>1.3549600695498889</v>
      </c>
      <c r="S234">
        <f>IF(A234&lt;&gt;"Biogas",IFERROR(VLOOKUP(A234,[1]Biogasudbytte!$A$2:$B$18,2,FALSE)*[1]Energiindhold!$C$10,0)*K234*IFERROR(VLOOKUP(A234,Biogasanlæg!$F$3:$G$8,2,FALSE),1)+IFERROR(VLOOKUP(A234,[1]Energiindhold!$A$2:$C$11,3,FALSE),0)*M234+IF(E234&lt;&gt;År1,R234,0),0)</f>
        <v>1.3549600695498889</v>
      </c>
      <c r="T234">
        <f>IFERROR(VLOOKUP(A234,[1]Biogasudbytte!$A$2:$B$18,2,FALSE)*[1]Energiindhold!$C$10,0)*K234*IFERROR(VLOOKUP(A234,Biogasanlæg!$F$3:$G$8,2,FALSE),1)</f>
        <v>0</v>
      </c>
      <c r="U234" s="170">
        <f t="shared" si="71"/>
        <v>1.3549600695498889</v>
      </c>
      <c r="V234" s="169">
        <f>P234*IFERROR(VLOOKUP(A234,[1]Tørstofindhold!A$2:B$24,2,FALSE),0)</f>
        <v>99848.201909322568</v>
      </c>
      <c r="W234">
        <f>IF(E234=År1,Q234,SUM(P234,Q234))*IFERROR(VLOOKUP(A234,[1]Tørstofindhold!A$2:B$24,2,FALSE),0)</f>
        <v>99848.201909322568</v>
      </c>
      <c r="X234">
        <f>K234*IFERROR(VLOOKUP(A234,[1]Tørstofindhold!A$2:B$24,2,FALSE),0)</f>
        <v>0</v>
      </c>
      <c r="Y234" s="170">
        <f t="shared" si="72"/>
        <v>99848.201909322568</v>
      </c>
      <c r="Z234">
        <f t="shared" si="66"/>
        <v>0</v>
      </c>
      <c r="AA234">
        <f t="shared" si="67"/>
        <v>1</v>
      </c>
      <c r="AB234" s="94">
        <f t="shared" si="68"/>
        <v>499241.0095466128</v>
      </c>
      <c r="AC234">
        <f>AB234*D234*10000*VLOOKUP(A234,[1]kcal!$A$2:$C$49,3,FALSE)/1000000000000</f>
        <v>0.14977230286398385</v>
      </c>
    </row>
    <row r="235" spans="1:29" x14ac:dyDescent="0.25">
      <c r="A235" s="171" t="str">
        <f t="shared" si="79"/>
        <v>Slagteriaffald til andet</v>
      </c>
      <c r="B235" s="171" t="str">
        <f t="shared" si="80"/>
        <v/>
      </c>
      <c r="C235" s="171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71">
        <f t="shared" si="61"/>
        <v>0</v>
      </c>
      <c r="E235" s="171">
        <f t="shared" si="64"/>
        <v>2030</v>
      </c>
      <c r="F235" t="s">
        <v>24</v>
      </c>
      <c r="G235" s="94">
        <f>IF(F235="Vestdanmark",SUMIFS(IF(E235=År1,'Resultater - Vestdanmark'!H$3:H$504,IF(E235=År2,'Resultater - Vestdanmark'!I$3:I$504,'Resultater - Vestdanmark'!J$3:J$504)),'Resultater - Vestdanmark'!$F$3:$F$504,$A235,IF(E235=År1,'Resultater - Vestdanmark'!H$3:H$504,IF(E235=År2,'Resultater - Vestdanmark'!I$3:I$504,'Resultater - Vestdanmark'!J$3:J$504)),"&gt;0"),SUMIFS(IF(E235=År1,'Resultater - Østdanmark'!H$3:H$504,IF(E235=År2,'Resultater - Østdanmark'!I$3:I$504,'Resultater - Østdanmark'!J$3:J$504)),'Resultater - Østdanmark'!$F$3:$F$504,$A235,IF(E235=År1,'Resultater - Østdanmark'!H$3:H$504,IF(E235=År2,'Resultater - Østdanmark'!I$3:I$504,'Resultater - Østdanmark'!J$3:J$504)),"&gt;0"))</f>
        <v>11804.917672589359</v>
      </c>
      <c r="H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forbrug'!H$3,'Forbrug af biomasse'!$B$2:$B$425,$F235)</f>
        <v>0</v>
      </c>
      <c r="I235">
        <f>IF(F235="Vestdanmark",-IF(A235="Halm",SUMIFS(IF(E235=År1,'Resultater - Vestdanmark'!H$3:H$504,IF(E235=År2,'Resultater - Vestdanmark'!I$3:I$504,'Resultater - Vestdanmark'!J$3:J$504)),'Resultater - Vestdanmark'!$F$3:$F$504,$A235,'Resultater - Vestdanmark'!H$3:H$504,"&lt;0"),0),-IF(A235="Halm",SUMIFS(IF(E235=År1,'Resultater - Østdanmark'!H$3:H$504,IF(E235=År2,'Resultater - Østdanmark'!I$3:I$504,'Resultater - Østdanmark'!J$3:J$504)),'Resultater - Østdanmark'!$F$3:$F$504,$A235,'Resultater - Østdanmark'!H$3:H$504,"&lt;0"),0))</f>
        <v>0</v>
      </c>
      <c r="J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forbrug'!J$3,'Forbrug af biomasse'!$B$2:$B$425,$F235)</f>
        <v>0</v>
      </c>
      <c r="K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forbrug'!K$3,'Forbrug af biomasse'!$B$2:$B$425,$F235)</f>
        <v>0</v>
      </c>
      <c r="L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forbrug'!L$3,'Forbrug af biomasse'!$B$2:$B$425,$F235)</f>
        <v>0</v>
      </c>
      <c r="M235" s="94">
        <f>IF(A235&lt;&gt;"Biogas",SUMIFS('Forbrug af biomasse'!$E$2:$E$425,'Forbrug af biomasse'!$C$2:$C$425,'Resultat-Produktion &amp; forbrug'!$A235,'Forbrug af biomasse'!$D$2:$D$425,'Resultat-Produktion &amp; forbrug'!$E235,'Forbrug af biomasse'!$A$2:$A$425,'Resultat-Produktion &amp; forbrug'!M$3,'Forbrug af biomasse'!$B$2:$B$425,$F235),G235)</f>
        <v>0</v>
      </c>
      <c r="N235" s="94">
        <f>SUMIFS('Forbrug af biomasse'!E:E,'Forbrug af biomasse'!C:C,'Resultat-Produktion &amp; forbrug'!$A235,'Forbrug af biomasse'!D:D,'Resultat-Produktion &amp; forbrug'!$E235,'Forbrug af biomasse'!G:G,1,'Forbrug af biomasse'!B:B,$F235)</f>
        <v>0</v>
      </c>
      <c r="O235" s="179">
        <f t="shared" si="69"/>
        <v>11804.917672589359</v>
      </c>
      <c r="P235" s="94">
        <f t="shared" si="65"/>
        <v>0</v>
      </c>
      <c r="Q235" s="180">
        <f t="shared" si="70"/>
        <v>0</v>
      </c>
      <c r="R235">
        <f>IFERROR(VLOOKUP(A235,[1]Energiindhold!$A$2:$C$11,3,FALSE),IFERROR(VLOOKUP(A235,[1]Biogasudbytte!$A$2:$B$18,2,FALSE)*[1]Energiindhold!$C$10,0))*P235</f>
        <v>0</v>
      </c>
      <c r="S235">
        <f>IF(A235&lt;&gt;"Biogas",IFERROR(VLOOKUP(A235,[1]Biogasudbytte!$A$2:$B$18,2,FALSE)*[1]Energiindhold!$C$10,0)*K235*IFERROR(VLOOKUP(A235,Biogasanlæg!$F$3:$G$8,2,FALSE),1)+IFERROR(VLOOKUP(A235,[1]Energiindhold!$A$2:$C$11,3,FALSE),0)*M235+IF(E235&lt;&gt;År1,R235,0),0)</f>
        <v>0</v>
      </c>
      <c r="T235">
        <f>IFERROR(VLOOKUP(A235,[1]Biogasudbytte!$A$2:$B$18,2,FALSE)*[1]Energiindhold!$C$10,0)*K235*IFERROR(VLOOKUP(A235,Biogasanlæg!$F$3:$G$8,2,FALSE),1)</f>
        <v>0</v>
      </c>
      <c r="U235" s="170">
        <f t="shared" si="71"/>
        <v>0</v>
      </c>
      <c r="V235" s="169">
        <f>P235*IFERROR(VLOOKUP(A235,[1]Tørstofindhold!A$2:B$24,2,FALSE),0)</f>
        <v>0</v>
      </c>
      <c r="W235">
        <f>IF(E235=År1,Q235,SUM(P235,Q235))*IFERROR(VLOOKUP(A235,[1]Tørstofindhold!A$2:B$24,2,FALSE),0)</f>
        <v>0</v>
      </c>
      <c r="X235">
        <f>K235*IFERROR(VLOOKUP(A235,[1]Tørstofindhold!A$2:B$24,2,FALSE),0)</f>
        <v>0</v>
      </c>
      <c r="Y235" s="170">
        <f t="shared" si="72"/>
        <v>0</v>
      </c>
      <c r="Z235">
        <f t="shared" si="66"/>
        <v>0</v>
      </c>
      <c r="AA235">
        <f t="shared" si="67"/>
        <v>1</v>
      </c>
      <c r="AB235" s="94">
        <f t="shared" si="68"/>
        <v>11804.917672589359</v>
      </c>
      <c r="AC235">
        <f>AB235*D235*10000*VLOOKUP(A235,[1]kcal!$A$2:$C$49,3,FALSE)/1000000000000</f>
        <v>0</v>
      </c>
    </row>
    <row r="236" spans="1:29" x14ac:dyDescent="0.25">
      <c r="A236" s="171" t="str">
        <f t="shared" si="79"/>
        <v>Slagteriaffald til foder</v>
      </c>
      <c r="B236" s="171" t="str">
        <f t="shared" si="80"/>
        <v/>
      </c>
      <c r="C236" s="171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0</v>
      </c>
      <c r="D236" s="171">
        <f t="shared" si="61"/>
        <v>0</v>
      </c>
      <c r="E236" s="171">
        <f t="shared" si="64"/>
        <v>2030</v>
      </c>
      <c r="F236" t="s">
        <v>24</v>
      </c>
      <c r="G236" s="94">
        <f>IF(F236="Vestdanmark",SUMIFS(IF(E236=År1,'Resultater - Vestdanmark'!H$3:H$504,IF(E236=År2,'Resultater - Vestdanmark'!I$3:I$504,'Resultater - Vestdanmark'!J$3:J$504)),'Resultater - Vestdanmark'!$F$3:$F$504,$A236,IF(E236=År1,'Resultater - Vestdanmark'!H$3:H$504,IF(E236=År2,'Resultater - Vestdanmark'!I$3:I$504,'Resultater - Vestdanmark'!J$3:J$504)),"&gt;0"),SUMIFS(IF(E236=År1,'Resultater - Østdanmark'!H$3:H$504,IF(E236=År2,'Resultater - Østdanmark'!I$3:I$504,'Resultater - Østdanmark'!J$3:J$504)),'Resultater - Østdanmark'!$F$3:$F$504,$A236,IF(E236=År1,'Resultater - Østdanmark'!H$3:H$504,IF(E236=År2,'Resultater - Østdanmark'!I$3:I$504,'Resultater - Østdanmark'!J$3:J$504)),"&gt;0"))</f>
        <v>9557.2932196157453</v>
      </c>
      <c r="H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forbrug'!H$3,'Forbrug af biomasse'!$B$2:$B$425,$F236)</f>
        <v>3256.9920238615805</v>
      </c>
      <c r="I236">
        <f>IF(F236="Vestdanmark",-IF(A236="Halm",SUMIFS(IF(E236=År1,'Resultater - Vestdanmark'!H$3:H$504,IF(E236=År2,'Resultater - Vestdanmark'!I$3:I$504,'Resultater - Vestdanmark'!J$3:J$504)),'Resultater - Vestdanmark'!$F$3:$F$504,$A236,'Resultater - Vestdanmark'!H$3:H$504,"&lt;0"),0),-IF(A236="Halm",SUMIFS(IF(E236=År1,'Resultater - Østdanmark'!H$3:H$504,IF(E236=År2,'Resultater - Østdanmark'!I$3:I$504,'Resultater - Østdanmark'!J$3:J$504)),'Resultater - Østdanmark'!$F$3:$F$504,$A236,'Resultater - Østdanmark'!H$3:H$504,"&lt;0"),0))</f>
        <v>0</v>
      </c>
      <c r="J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forbrug'!J$3,'Forbrug af biomasse'!$B$2:$B$425,$F236)</f>
        <v>0</v>
      </c>
      <c r="K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forbrug'!K$3,'Forbrug af biomasse'!$B$2:$B$425,$F236)</f>
        <v>0</v>
      </c>
      <c r="L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forbrug'!L$3,'Forbrug af biomasse'!$B$2:$B$425,$F236)</f>
        <v>0</v>
      </c>
      <c r="M236" s="94">
        <f>IF(A236&lt;&gt;"Biogas",SUMIFS('Forbrug af biomasse'!$E$2:$E$425,'Forbrug af biomasse'!$C$2:$C$425,'Resultat-Produktion &amp; forbrug'!$A236,'Forbrug af biomasse'!$D$2:$D$425,'Resultat-Produktion &amp; forbrug'!$E236,'Forbrug af biomasse'!$A$2:$A$425,'Resultat-Produktion &amp; forbrug'!M$3,'Forbrug af biomasse'!$B$2:$B$425,$F236),G236)</f>
        <v>0</v>
      </c>
      <c r="N236" s="94">
        <f>SUMIFS('Forbrug af biomasse'!E:E,'Forbrug af biomasse'!C:C,'Resultat-Produktion &amp; forbrug'!$A236,'Forbrug af biomasse'!D:D,'Resultat-Produktion &amp; forbrug'!$E236,'Forbrug af biomasse'!G:G,1,'Forbrug af biomasse'!B:B,$F236)</f>
        <v>0</v>
      </c>
      <c r="O236" s="179">
        <f t="shared" si="69"/>
        <v>6300.3011957541648</v>
      </c>
      <c r="P236" s="94">
        <f t="shared" si="65"/>
        <v>0</v>
      </c>
      <c r="Q236" s="180">
        <f t="shared" si="70"/>
        <v>0</v>
      </c>
      <c r="R236">
        <f>IFERROR(VLOOKUP(A236,[1]Energiindhold!$A$2:$C$11,3,FALSE),IFERROR(VLOOKUP(A236,[1]Biogasudbytte!$A$2:$B$18,2,FALSE)*[1]Energiindhold!$C$10,0))*P236</f>
        <v>0</v>
      </c>
      <c r="S236">
        <f>IF(A236&lt;&gt;"Biogas",IFERROR(VLOOKUP(A236,[1]Biogasudbytte!$A$2:$B$18,2,FALSE)*[1]Energiindhold!$C$10,0)*K236*IFERROR(VLOOKUP(A236,Biogasanlæg!$F$3:$G$8,2,FALSE),1)+IFERROR(VLOOKUP(A236,[1]Energiindhold!$A$2:$C$11,3,FALSE),0)*M236+IF(E236&lt;&gt;År1,R236,0),0)</f>
        <v>0</v>
      </c>
      <c r="T236">
        <f>IFERROR(VLOOKUP(A236,[1]Biogasudbytte!$A$2:$B$18,2,FALSE)*[1]Energiindhold!$C$10,0)*K236*IFERROR(VLOOKUP(A236,Biogasanlæg!$F$3:$G$8,2,FALSE),1)</f>
        <v>0</v>
      </c>
      <c r="U236" s="170">
        <f t="shared" si="71"/>
        <v>0</v>
      </c>
      <c r="V236" s="169">
        <f>P236*IFERROR(VLOOKUP(A236,[1]Tørstofindhold!A$2:B$24,2,FALSE),0)</f>
        <v>0</v>
      </c>
      <c r="W236">
        <f>IF(E236=År1,Q236,SUM(P236,Q236))*IFERROR(VLOOKUP(A236,[1]Tørstofindhold!A$2:B$24,2,FALSE),0)</f>
        <v>0</v>
      </c>
      <c r="X236">
        <f>K236*IFERROR(VLOOKUP(A236,[1]Tørstofindhold!A$2:B$24,2,FALSE),0)</f>
        <v>0</v>
      </c>
      <c r="Y236" s="170">
        <f t="shared" si="72"/>
        <v>0</v>
      </c>
      <c r="Z236">
        <f t="shared" si="66"/>
        <v>0</v>
      </c>
      <c r="AA236">
        <f t="shared" si="67"/>
        <v>1</v>
      </c>
      <c r="AB236" s="94">
        <f t="shared" si="68"/>
        <v>6300.3011957541648</v>
      </c>
      <c r="AC236">
        <f>AB236*D236*10000*VLOOKUP(A236,[1]kcal!$A$2:$C$49,3,FALSE)/1000000000000</f>
        <v>0</v>
      </c>
    </row>
    <row r="237" spans="1:29" x14ac:dyDescent="0.25">
      <c r="A237" s="171" t="str">
        <f t="shared" si="79"/>
        <v>Spildevandsslam</v>
      </c>
      <c r="B237" s="171" t="str">
        <f t="shared" si="80"/>
        <v>Bionedbrydeligt affald</v>
      </c>
      <c r="C237" s="171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71">
        <f t="shared" si="61"/>
        <v>0</v>
      </c>
      <c r="E237" s="171">
        <f t="shared" si="64"/>
        <v>2030</v>
      </c>
      <c r="F237" t="s">
        <v>24</v>
      </c>
      <c r="G237" s="94">
        <f>IF(F237="Vestdanmark",SUMIFS(IF(E237=År1,'Resultater - Vestdanmark'!H$3:H$504,IF(E237=År2,'Resultater - Vestdanmark'!I$3:I$504,'Resultater - Vestdanmark'!J$3:J$504)),'Resultater - Vestdanmark'!$F$3:$F$504,$A237,IF(E237=År1,'Resultater - Vestdanmark'!H$3:H$504,IF(E237=År2,'Resultater - Vestdanmark'!I$3:I$504,'Resultater - Vestdanmark'!J$3:J$504)),"&gt;0"),SUMIFS(IF(E237=År1,'Resultater - Østdanmark'!H$3:H$504,IF(E237=År2,'Resultater - Østdanmark'!I$3:I$504,'Resultater - Østdanmark'!J$3:J$504)),'Resultater - Østdanmark'!$F$3:$F$504,$A237,IF(E237=År1,'Resultater - Østdanmark'!H$3:H$504,IF(E237=År2,'Resultater - Østdanmark'!I$3:I$504,'Resultater - Østdanmark'!J$3:J$504)),"&gt;0"))</f>
        <v>3340524.9539653622</v>
      </c>
      <c r="H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forbrug'!H$3,'Forbrug af biomasse'!$B$2:$B$425,$F237)</f>
        <v>0</v>
      </c>
      <c r="I237">
        <f>IF(F237="Vestdanmark",-IF(A237="Halm",SUMIFS(IF(E237=År1,'Resultater - Vestdanmark'!H$3:H$504,IF(E237=År2,'Resultater - Vestdanmark'!I$3:I$504,'Resultater - Vestdanmark'!J$3:J$504)),'Resultater - Vestdanmark'!$F$3:$F$504,$A237,'Resultater - Vestdanmark'!H$3:H$504,"&lt;0"),0),-IF(A237="Halm",SUMIFS(IF(E237=År1,'Resultater - Østdanmark'!H$3:H$504,IF(E237=År2,'Resultater - Østdanmark'!I$3:I$504,'Resultater - Østdanmark'!J$3:J$504)),'Resultater - Østdanmark'!$F$3:$F$504,$A237,'Resultater - Østdanmark'!H$3:H$504,"&lt;0"),0))</f>
        <v>0</v>
      </c>
      <c r="J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forbrug'!J$3,'Forbrug af biomasse'!$B$2:$B$425,$F237)</f>
        <v>0</v>
      </c>
      <c r="K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forbrug'!K$3,'Forbrug af biomasse'!$B$2:$B$425,$F237)</f>
        <v>2505393.7154740216</v>
      </c>
      <c r="L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forbrug'!L$3,'Forbrug af biomasse'!$B$2:$B$425,$F237)</f>
        <v>0</v>
      </c>
      <c r="M237" s="94">
        <f>IF(A237&lt;&gt;"Biogas",SUMIFS('Forbrug af biomasse'!$E$2:$E$425,'Forbrug af biomasse'!$C$2:$C$425,'Resultat-Produktion &amp; forbrug'!$A237,'Forbrug af biomasse'!$D$2:$D$425,'Resultat-Produktion &amp; forbrug'!$E237,'Forbrug af biomasse'!$A$2:$A$425,'Resultat-Produktion &amp; forbrug'!M$3,'Forbrug af biomasse'!$B$2:$B$425,$F237),G237)</f>
        <v>0</v>
      </c>
      <c r="N237" s="94">
        <f>SUMIFS('Forbrug af biomasse'!E:E,'Forbrug af biomasse'!C:C,'Resultat-Produktion &amp; forbrug'!$A237,'Forbrug af biomasse'!D:D,'Resultat-Produktion &amp; forbrug'!$E237,'Forbrug af biomasse'!G:G,1,'Forbrug af biomasse'!B:B,$F237)</f>
        <v>0</v>
      </c>
      <c r="O237" s="179">
        <f t="shared" si="69"/>
        <v>835131.23849134054</v>
      </c>
      <c r="P237" s="94">
        <f t="shared" si="65"/>
        <v>835131.23849134054</v>
      </c>
      <c r="Q237" s="180">
        <f t="shared" si="70"/>
        <v>2505393.7154740216</v>
      </c>
      <c r="R237">
        <f>IFERROR(VLOOKUP(A237,[1]Energiindhold!$A$2:$C$11,3,FALSE),IFERROR(VLOOKUP(A237,[1]Biogasudbytte!$A$2:$B$18,2,FALSE)*[1]Energiindhold!$C$10,0))*P237</f>
        <v>0.4167388393195639</v>
      </c>
      <c r="S237">
        <f>IF(A237&lt;&gt;"Biogas",IFERROR(VLOOKUP(A237,[1]Biogasudbytte!$A$2:$B$18,2,FALSE)*[1]Energiindhold!$C$10,0)*K237*IFERROR(VLOOKUP(A237,Biogasanlæg!$F$3:$G$8,2,FALSE),1)+IFERROR(VLOOKUP(A237,[1]Energiindhold!$A$2:$C$11,3,FALSE),0)*M237+IF(E237&lt;&gt;År1,R237,0),0)</f>
        <v>1.6669553572782556</v>
      </c>
      <c r="T237">
        <f>IFERROR(VLOOKUP(A237,[1]Biogasudbytte!$A$2:$B$18,2,FALSE)*[1]Energiindhold!$C$10,0)*K237*IFERROR(VLOOKUP(A237,Biogasanlæg!$F$3:$G$8,2,FALSE),1)</f>
        <v>1.2502165179586917</v>
      </c>
      <c r="U237" s="170">
        <f t="shared" si="71"/>
        <v>0.4167388393195639</v>
      </c>
      <c r="V237" s="169">
        <f>P237*IFERROR(VLOOKUP(A237,[1]Tørstofindhold!A$2:B$24,2,FALSE),0)</f>
        <v>50107.87430948043</v>
      </c>
      <c r="W237">
        <f>IF(E237=År1,Q237,SUM(P237,Q237))*IFERROR(VLOOKUP(A237,[1]Tørstofindhold!A$2:B$24,2,FALSE),0)</f>
        <v>200431.49723792172</v>
      </c>
      <c r="X237">
        <f>K237*IFERROR(VLOOKUP(A237,[1]Tørstofindhold!A$2:B$24,2,FALSE),0)</f>
        <v>150323.6229284413</v>
      </c>
      <c r="Y237" s="170">
        <f t="shared" si="72"/>
        <v>50107.874309480423</v>
      </c>
      <c r="Z237">
        <f t="shared" si="66"/>
        <v>0</v>
      </c>
      <c r="AA237">
        <f t="shared" si="67"/>
        <v>1</v>
      </c>
      <c r="AB237" s="94">
        <f t="shared" si="68"/>
        <v>835131.23849134054</v>
      </c>
      <c r="AC237">
        <f>AB237*D237*10000*VLOOKUP(A237,[1]kcal!$A$2:$C$49,3,FALSE)/1000000000000</f>
        <v>0</v>
      </c>
    </row>
    <row r="238" spans="1:29" x14ac:dyDescent="0.25">
      <c r="A238" s="171" t="str">
        <f t="shared" si="79"/>
        <v>Svinegylle</v>
      </c>
      <c r="B238" s="171" t="str">
        <f t="shared" si="80"/>
        <v>Husdyrgødning</v>
      </c>
      <c r="C238" s="171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1</v>
      </c>
      <c r="D238" s="171">
        <f t="shared" si="61"/>
        <v>0</v>
      </c>
      <c r="E238" s="171">
        <f t="shared" si="64"/>
        <v>2030</v>
      </c>
      <c r="F238" t="s">
        <v>24</v>
      </c>
      <c r="G238" s="94">
        <f>IF(F238="Vestdanmark",SUMIFS(IF(E238=År1,'Resultater - Vestdanmark'!H$3:H$504,IF(E238=År2,'Resultater - Vestdanmark'!I$3:I$504,'Resultater - Vestdanmark'!J$3:J$504)),'Resultater - Vestdanmark'!$F$3:$F$504,$A238,IF(E238=År1,'Resultater - Vestdanmark'!H$3:H$504,IF(E238=År2,'Resultater - Vestdanmark'!I$3:I$504,'Resultater - Vestdanmark'!J$3:J$504)),"&gt;0"),SUMIFS(IF(E238=År1,'Resultater - Østdanmark'!H$3:H$504,IF(E238=År2,'Resultater - Østdanmark'!I$3:I$504,'Resultater - Østdanmark'!J$3:J$504)),'Resultater - Østdanmark'!$F$3:$F$504,$A238,IF(E238=År1,'Resultater - Østdanmark'!H$3:H$504,IF(E238=År2,'Resultater - Østdanmark'!I$3:I$504,'Resultater - Østdanmark'!J$3:J$504)),"&gt;0"))</f>
        <v>964437.67916622036</v>
      </c>
      <c r="H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forbrug'!H$3,'Forbrug af biomasse'!$B$2:$B$425,$F238)</f>
        <v>0</v>
      </c>
      <c r="I238">
        <f>IF(F238="Vestdanmark",-IF(A238="Halm",SUMIFS(IF(E238=År1,'Resultater - Vestdanmark'!H$3:H$504,IF(E238=År2,'Resultater - Vestdanmark'!I$3:I$504,'Resultater - Vestdanmark'!J$3:J$504)),'Resultater - Vestdanmark'!$F$3:$F$504,$A238,'Resultater - Vestdanmark'!H$3:H$504,"&lt;0"),0),-IF(A238="Halm",SUMIFS(IF(E238=År1,'Resultater - Østdanmark'!H$3:H$504,IF(E238=År2,'Resultater - Østdanmark'!I$3:I$504,'Resultater - Østdanmark'!J$3:J$504)),'Resultater - Østdanmark'!$F$3:$F$504,$A238,'Resultater - Østdanmark'!H$3:H$504,"&lt;0"),0))</f>
        <v>0</v>
      </c>
      <c r="J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forbrug'!J$3,'Forbrug af biomasse'!$B$2:$B$425,$F238)</f>
        <v>0</v>
      </c>
      <c r="K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forbrug'!K$3,'Forbrug af biomasse'!$B$2:$B$425,$F238)</f>
        <v>723328.25937466533</v>
      </c>
      <c r="L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forbrug'!L$3,'Forbrug af biomasse'!$B$2:$B$425,$F238)</f>
        <v>241109.41979155506</v>
      </c>
      <c r="M238" s="94">
        <f>IF(A238&lt;&gt;"Biogas",SUMIFS('Forbrug af biomasse'!$E$2:$E$425,'Forbrug af biomasse'!$C$2:$C$425,'Resultat-Produktion &amp; forbrug'!$A238,'Forbrug af biomasse'!$D$2:$D$425,'Resultat-Produktion &amp; forbrug'!$E238,'Forbrug af biomasse'!$A$2:$A$425,'Resultat-Produktion &amp; forbrug'!M$3,'Forbrug af biomasse'!$B$2:$B$425,$F238),G238)</f>
        <v>0</v>
      </c>
      <c r="N238" s="94">
        <f>SUMIFS('Forbrug af biomasse'!E:E,'Forbrug af biomasse'!C:C,'Resultat-Produktion &amp; forbrug'!$A238,'Forbrug af biomasse'!D:D,'Resultat-Produktion &amp; forbrug'!$E238,'Forbrug af biomasse'!G:G,1,'Forbrug af biomasse'!B:B,$F238)</f>
        <v>0</v>
      </c>
      <c r="O238" s="179">
        <f t="shared" si="69"/>
        <v>0</v>
      </c>
      <c r="P238" s="94">
        <f t="shared" si="65"/>
        <v>0</v>
      </c>
      <c r="Q238" s="180">
        <f t="shared" si="70"/>
        <v>723328.25937466533</v>
      </c>
      <c r="R238">
        <f>IFERROR(VLOOKUP(A238,[1]Energiindhold!$A$2:$C$11,3,FALSE),IFERROR(VLOOKUP(A238,[1]Biogasudbytte!$A$2:$B$18,2,FALSE)*[1]Energiindhold!$C$10,0))*P238</f>
        <v>0</v>
      </c>
      <c r="S238">
        <f>IF(A238&lt;&gt;"Biogas",IFERROR(VLOOKUP(A238,[1]Biogasudbytte!$A$2:$B$18,2,FALSE)*[1]Energiindhold!$C$10,0)*K238*IFERROR(VLOOKUP(A238,Biogasanlæg!$F$3:$G$8,2,FALSE),1)+IFERROR(VLOOKUP(A238,[1]Energiindhold!$A$2:$C$11,3,FALSE),0)*M238+IF(E238&lt;&gt;År1,R238,0),0)</f>
        <v>0.31160981413860589</v>
      </c>
      <c r="T238">
        <f>IFERROR(VLOOKUP(A238,[1]Biogasudbytte!$A$2:$B$18,2,FALSE)*[1]Energiindhold!$C$10,0)*K238*IFERROR(VLOOKUP(A238,Biogasanlæg!$F$3:$G$8,2,FALSE),1)</f>
        <v>0.31160981413860589</v>
      </c>
      <c r="U238" s="170">
        <f t="shared" si="71"/>
        <v>0</v>
      </c>
      <c r="V238" s="169">
        <f>P238*IFERROR(VLOOKUP(A238,[1]Tørstofindhold!A$2:B$24,2,FALSE),0)</f>
        <v>0</v>
      </c>
      <c r="W238">
        <f>IF(E238=År1,Q238,SUM(P238,Q238))*IFERROR(VLOOKUP(A238,[1]Tørstofindhold!A$2:B$24,2,FALSE),0)</f>
        <v>36166.412968733268</v>
      </c>
      <c r="X238">
        <f>K238*IFERROR(VLOOKUP(A238,[1]Tørstofindhold!A$2:B$24,2,FALSE),0)</f>
        <v>36166.412968733268</v>
      </c>
      <c r="Y238" s="170">
        <f t="shared" si="72"/>
        <v>0</v>
      </c>
      <c r="Z238">
        <f t="shared" si="66"/>
        <v>0</v>
      </c>
      <c r="AA238">
        <f t="shared" si="67"/>
        <v>0</v>
      </c>
      <c r="AB238" s="94">
        <f t="shared" si="68"/>
        <v>0</v>
      </c>
      <c r="AC238">
        <f>AB238*D238*10000*VLOOKUP(A238,[1]kcal!$A$2:$C$49,3,FALSE)/1000000000000</f>
        <v>0</v>
      </c>
    </row>
    <row r="239" spans="1:29" x14ac:dyDescent="0.25">
      <c r="A239" s="171" t="str">
        <f t="shared" si="79"/>
        <v>Svinekød</v>
      </c>
      <c r="B239" s="171" t="str">
        <f t="shared" si="80"/>
        <v/>
      </c>
      <c r="C239" s="171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0</v>
      </c>
      <c r="D239" s="171">
        <f t="shared" si="61"/>
        <v>1</v>
      </c>
      <c r="E239" s="171">
        <f t="shared" si="64"/>
        <v>2030</v>
      </c>
      <c r="F239" t="s">
        <v>24</v>
      </c>
      <c r="G239" s="94">
        <f>IF(F239="Vestdanmark",SUMIFS(IF(E239=År1,'Resultater - Vestdanmark'!H$3:H$504,IF(E239=År2,'Resultater - Vestdanmark'!I$3:I$504,'Resultater - Vestdanmark'!J$3:J$504)),'Resultater - Vestdanmark'!$F$3:$F$504,$A239,IF(E239=År1,'Resultater - Vestdanmark'!H$3:H$504,IF(E239=År2,'Resultater - Vestdanmark'!I$3:I$504,'Resultater - Vestdanmark'!J$3:J$504)),"&gt;0"),SUMIFS(IF(E239=År1,'Resultater - Østdanmark'!H$3:H$504,IF(E239=År2,'Resultater - Østdanmark'!I$3:I$504,'Resultater - Østdanmark'!J$3:J$504)),'Resultater - Østdanmark'!$F$3:$F$504,$A239,IF(E239=År1,'Resultater - Østdanmark'!H$3:H$504,IF(E239=År2,'Resultater - Østdanmark'!I$3:I$504,'Resultater - Østdanmark'!J$3:J$504)),"&gt;0"))</f>
        <v>104298.25769715841</v>
      </c>
      <c r="H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forbrug'!H$3,'Forbrug af biomasse'!$B$2:$B$425,$F239)</f>
        <v>0</v>
      </c>
      <c r="I239">
        <f>IF(F239="Vestdanmark",-IF(A239="Halm",SUMIFS(IF(E239=År1,'Resultater - Vestdanmark'!H$3:H$504,IF(E239=År2,'Resultater - Vestdanmark'!I$3:I$504,'Resultater - Vestdanmark'!J$3:J$504)),'Resultater - Vestdanmark'!$F$3:$F$504,$A239,'Resultater - Vestdanmark'!H$3:H$504,"&lt;0"),0),-IF(A239="Halm",SUMIFS(IF(E239=År1,'Resultater - Østdanmark'!H$3:H$504,IF(E239=År2,'Resultater - Østdanmark'!I$3:I$504,'Resultater - Østdanmark'!J$3:J$504)),'Resultater - Østdanmark'!$F$3:$F$504,$A239,'Resultater - Østdanmark'!H$3:H$504,"&lt;0"),0))</f>
        <v>0</v>
      </c>
      <c r="J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forbrug'!J$3,'Forbrug af biomasse'!$B$2:$B$425,$F239)</f>
        <v>105526.43984954793</v>
      </c>
      <c r="K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forbrug'!K$3,'Forbrug af biomasse'!$B$2:$B$425,$F239)</f>
        <v>0</v>
      </c>
      <c r="L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forbrug'!L$3,'Forbrug af biomasse'!$B$2:$B$425,$F239)</f>
        <v>0</v>
      </c>
      <c r="M239" s="94">
        <f>IF(A239&lt;&gt;"Biogas",SUMIFS('Forbrug af biomasse'!$E$2:$E$425,'Forbrug af biomasse'!$C$2:$C$425,'Resultat-Produktion &amp; forbrug'!$A239,'Forbrug af biomasse'!$D$2:$D$425,'Resultat-Produktion &amp; forbrug'!$E239,'Forbrug af biomasse'!$A$2:$A$425,'Resultat-Produktion &amp; forbrug'!M$3,'Forbrug af biomasse'!$B$2:$B$425,$F239),G239)</f>
        <v>0</v>
      </c>
      <c r="N239" s="94">
        <f>SUMIFS('Forbrug af biomasse'!E:E,'Forbrug af biomasse'!C:C,'Resultat-Produktion &amp; forbrug'!$A239,'Forbrug af biomasse'!D:D,'Resultat-Produktion &amp; forbrug'!$E239,'Forbrug af biomasse'!G:G,1,'Forbrug af biomasse'!B:B,$F239)</f>
        <v>0</v>
      </c>
      <c r="O239" s="179">
        <f t="shared" si="69"/>
        <v>-1228.1821523895196</v>
      </c>
      <c r="P239" s="94">
        <f t="shared" si="65"/>
        <v>0</v>
      </c>
      <c r="Q239" s="180">
        <f t="shared" si="70"/>
        <v>0</v>
      </c>
      <c r="R239">
        <f>IFERROR(VLOOKUP(A239,[1]Energiindhold!$A$2:$C$11,3,FALSE),IFERROR(VLOOKUP(A239,[1]Biogasudbytte!$A$2:$B$18,2,FALSE)*[1]Energiindhold!$C$10,0))*P239</f>
        <v>0</v>
      </c>
      <c r="S239">
        <f>IF(A239&lt;&gt;"Biogas",IFERROR(VLOOKUP(A239,[1]Biogasudbytte!$A$2:$B$18,2,FALSE)*[1]Energiindhold!$C$10,0)*K239*IFERROR(VLOOKUP(A239,Biogasanlæg!$F$3:$G$8,2,FALSE),1)+IFERROR(VLOOKUP(A239,[1]Energiindhold!$A$2:$C$11,3,FALSE),0)*M239+IF(E239&lt;&gt;År1,R239,0),0)</f>
        <v>0</v>
      </c>
      <c r="T239">
        <f>IFERROR(VLOOKUP(A239,[1]Biogasudbytte!$A$2:$B$18,2,FALSE)*[1]Energiindhold!$C$10,0)*K239*IFERROR(VLOOKUP(A239,Biogasanlæg!$F$3:$G$8,2,FALSE),1)</f>
        <v>0</v>
      </c>
      <c r="U239" s="170">
        <f t="shared" si="71"/>
        <v>0</v>
      </c>
      <c r="V239" s="169">
        <f>P239*IFERROR(VLOOKUP(A239,[1]Tørstofindhold!A$2:B$24,2,FALSE),0)</f>
        <v>0</v>
      </c>
      <c r="W239">
        <f>IF(E239=År1,Q239,SUM(P239,Q239))*IFERROR(VLOOKUP(A239,[1]Tørstofindhold!A$2:B$24,2,FALSE),0)</f>
        <v>0</v>
      </c>
      <c r="X239">
        <f>K239*IFERROR(VLOOKUP(A239,[1]Tørstofindhold!A$2:B$24,2,FALSE),0)</f>
        <v>0</v>
      </c>
      <c r="Y239" s="170">
        <f t="shared" si="72"/>
        <v>0</v>
      </c>
      <c r="Z239">
        <f t="shared" si="66"/>
        <v>0</v>
      </c>
      <c r="AA239">
        <f t="shared" si="67"/>
        <v>1</v>
      </c>
      <c r="AB239" s="94">
        <f t="shared" si="68"/>
        <v>104298.25769715841</v>
      </c>
      <c r="AC239">
        <f>AB239*D239*10000*VLOOKUP(A239,[1]kcal!$A$2:$C$49,3,FALSE)/1000000000000</f>
        <v>0.20338160250945889</v>
      </c>
    </row>
    <row r="240" spans="1:29" x14ac:dyDescent="0.25">
      <c r="A240" s="171" t="str">
        <f t="shared" si="79"/>
        <v>Tang</v>
      </c>
      <c r="B240" s="171" t="str">
        <f t="shared" si="80"/>
        <v>Havbiomasse</v>
      </c>
      <c r="C240" s="171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71">
        <f t="shared" si="61"/>
        <v>1</v>
      </c>
      <c r="E240" s="171">
        <f t="shared" si="64"/>
        <v>2030</v>
      </c>
      <c r="F240" t="s">
        <v>24</v>
      </c>
      <c r="G240" s="94">
        <f>IF(F240="Vestdanmark",SUMIFS(IF(E240=År1,'Resultater - Vestdanmark'!H$3:H$504,IF(E240=År2,'Resultater - Vestdanmark'!I$3:I$504,'Resultater - Vestdanmark'!J$3:J$504)),'Resultater - Vestdanmark'!$F$3:$F$504,$A240,IF(E240=År1,'Resultater - Vestdanmark'!H$3:H$504,IF(E240=År2,'Resultater - Vestdanmark'!I$3:I$504,'Resultater - Vestdanmark'!J$3:J$504)),"&gt;0"),SUMIFS(IF(E240=År1,'Resultater - Østdanmark'!H$3:H$504,IF(E240=År2,'Resultater - Østdanmark'!I$3:I$504,'Resultater - Østdanmark'!J$3:J$504)),'Resultater - Østdanmark'!$F$3:$F$504,$A240,IF(E240=År1,'Resultater - Østdanmark'!H$3:H$504,IF(E240=År2,'Resultater - Østdanmark'!I$3:I$504,'Resultater - Østdanmark'!J$3:J$504)),"&gt;0"))</f>
        <v>0</v>
      </c>
      <c r="H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forbrug'!H$3,'Forbrug af biomasse'!$B$2:$B$425,$F240)</f>
        <v>0</v>
      </c>
      <c r="I240">
        <f>IF(F240="Vestdanmark",-IF(A240="Halm",SUMIFS(IF(E240=År1,'Resultater - Vestdanmark'!H$3:H$504,IF(E240=År2,'Resultater - Vestdanmark'!I$3:I$504,'Resultater - Vestdanmark'!J$3:J$504)),'Resultater - Vestdanmark'!$F$3:$F$504,$A240,'Resultater - Vestdanmark'!H$3:H$504,"&lt;0"),0),-IF(A240="Halm",SUMIFS(IF(E240=År1,'Resultater - Østdanmark'!H$3:H$504,IF(E240=År2,'Resultater - Østdanmark'!I$3:I$504,'Resultater - Østdanmark'!J$3:J$504)),'Resultater - Østdanmark'!$F$3:$F$504,$A240,'Resultater - Østdanmark'!H$3:H$504,"&lt;0"),0))</f>
        <v>0</v>
      </c>
      <c r="J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forbrug'!J$3,'Forbrug af biomasse'!$B$2:$B$425,$F240)</f>
        <v>0</v>
      </c>
      <c r="K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forbrug'!K$3,'Forbrug af biomasse'!$B$2:$B$425,$F240)</f>
        <v>0</v>
      </c>
      <c r="L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forbrug'!L$3,'Forbrug af biomasse'!$B$2:$B$425,$F240)</f>
        <v>0</v>
      </c>
      <c r="M240" s="94">
        <f>IF(A240&lt;&gt;"Biogas",SUMIFS('Forbrug af biomasse'!$E$2:$E$425,'Forbrug af biomasse'!$C$2:$C$425,'Resultat-Produktion &amp; forbrug'!$A240,'Forbrug af biomasse'!$D$2:$D$425,'Resultat-Produktion &amp; forbrug'!$E240,'Forbrug af biomasse'!$A$2:$A$425,'Resultat-Produktion &amp; forbrug'!M$3,'Forbrug af biomasse'!$B$2:$B$425,$F240),G240)</f>
        <v>0</v>
      </c>
      <c r="N240" s="94">
        <f>SUMIFS('Forbrug af biomasse'!E:E,'Forbrug af biomasse'!C:C,'Resultat-Produktion &amp; forbrug'!$A240,'Forbrug af biomasse'!D:D,'Resultat-Produktion &amp; forbrug'!$E240,'Forbrug af biomasse'!G:G,1,'Forbrug af biomasse'!B:B,$F240)</f>
        <v>0</v>
      </c>
      <c r="O240" s="179">
        <f t="shared" si="69"/>
        <v>0</v>
      </c>
      <c r="P240" s="94">
        <f t="shared" si="65"/>
        <v>0</v>
      </c>
      <c r="Q240" s="180">
        <f t="shared" si="70"/>
        <v>0</v>
      </c>
      <c r="R240">
        <f>IFERROR(VLOOKUP(A240,[1]Energiindhold!$A$2:$C$11,3,FALSE),IFERROR(VLOOKUP(A240,[1]Biogasudbytte!$A$2:$B$18,2,FALSE)*[1]Energiindhold!$C$10,0))*P240</f>
        <v>0</v>
      </c>
      <c r="S240">
        <f>IF(A240&lt;&gt;"Biogas",IFERROR(VLOOKUP(A240,[1]Biogasudbytte!$A$2:$B$18,2,FALSE)*[1]Energiindhold!$C$10,0)*K240*IFERROR(VLOOKUP(A240,Biogasanlæg!$F$3:$G$8,2,FALSE),1)+IFERROR(VLOOKUP(A240,[1]Energiindhold!$A$2:$C$11,3,FALSE),0)*M240+IF(E240&lt;&gt;År1,R240,0),0)</f>
        <v>0</v>
      </c>
      <c r="T240">
        <f>IFERROR(VLOOKUP(A240,[1]Biogasudbytte!$A$2:$B$18,2,FALSE)*[1]Energiindhold!$C$10,0)*K240*IFERROR(VLOOKUP(A240,Biogasanlæg!$F$3:$G$8,2,FALSE),1)</f>
        <v>0</v>
      </c>
      <c r="U240" s="170">
        <f t="shared" si="71"/>
        <v>0</v>
      </c>
      <c r="V240" s="169">
        <f>P240*IFERROR(VLOOKUP(A240,[1]Tørstofindhold!A$2:B$24,2,FALSE),0)</f>
        <v>0</v>
      </c>
      <c r="W240">
        <f>IF(E240=År1,Q240,SUM(P240,Q240))*IFERROR(VLOOKUP(A240,[1]Tørstofindhold!A$2:B$24,2,FALSE),0)</f>
        <v>0</v>
      </c>
      <c r="X240">
        <f>K240*IFERROR(VLOOKUP(A240,[1]Tørstofindhold!A$2:B$24,2,FALSE),0)</f>
        <v>0</v>
      </c>
      <c r="Y240" s="170">
        <f t="shared" si="72"/>
        <v>0</v>
      </c>
      <c r="Z240">
        <f t="shared" si="66"/>
        <v>0</v>
      </c>
      <c r="AA240">
        <f t="shared" si="67"/>
        <v>1</v>
      </c>
      <c r="AB240" s="94">
        <f t="shared" si="68"/>
        <v>0</v>
      </c>
      <c r="AC240">
        <f>AB240*D240*10000*VLOOKUP(A240,[1]kcal!$A$2:$C$49,3,FALSE)/1000000000000</f>
        <v>0</v>
      </c>
    </row>
    <row r="241" spans="1:29" x14ac:dyDescent="0.25">
      <c r="A241" s="171" t="str">
        <f t="shared" si="79"/>
        <v>Total til biogas</v>
      </c>
      <c r="B241" s="171" t="str">
        <f t="shared" si="80"/>
        <v/>
      </c>
      <c r="C241" s="171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71">
        <f t="shared" si="61"/>
        <v>0</v>
      </c>
      <c r="E241" s="171">
        <f t="shared" si="64"/>
        <v>2030</v>
      </c>
      <c r="F241" t="s">
        <v>24</v>
      </c>
      <c r="G241" s="94">
        <f>IF(F241="Vestdanmark",SUMIFS(IF(E241=År1,'Resultater - Vestdanmark'!H$3:H$504,IF(E241=År2,'Resultater - Vestdanmark'!I$3:I$504,'Resultater - Vestdanmark'!J$3:J$504)),'Resultater - Vestdanmark'!$F$3:$F$504,$A241,IF(E241=År1,'Resultater - Vestdanmark'!H$3:H$504,IF(E241=År2,'Resultater - Vestdanmark'!I$3:I$504,'Resultater - Vestdanmark'!J$3:J$504)),"&gt;0"),SUMIFS(IF(E241=År1,'Resultater - Østdanmark'!H$3:H$504,IF(E241=År2,'Resultater - Østdanmark'!I$3:I$504,'Resultater - Østdanmark'!J$3:J$504)),'Resultater - Østdanmark'!$F$3:$F$504,$A241,IF(E241=År1,'Resultater - Østdanmark'!H$3:H$504,IF(E241=År2,'Resultater - Østdanmark'!I$3:I$504,'Resultater - Østdanmark'!J$3:J$504)),"&gt;0"))</f>
        <v>0</v>
      </c>
      <c r="H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forbrug'!H$3,'Forbrug af biomasse'!$B$2:$B$425,$F241)</f>
        <v>0</v>
      </c>
      <c r="I241">
        <f>IF(F241="Vestdanmark",-IF(A241="Halm",SUMIFS(IF(E241=År1,'Resultater - Vestdanmark'!H$3:H$504,IF(E241=År2,'Resultater - Vestdanmark'!I$3:I$504,'Resultater - Vestdanmark'!J$3:J$504)),'Resultater - Vestdanmark'!$F$3:$F$504,$A241,'Resultater - Vestdanmark'!H$3:H$504,"&lt;0"),0),-IF(A241="Halm",SUMIFS(IF(E241=År1,'Resultater - Østdanmark'!H$3:H$504,IF(E241=År2,'Resultater - Østdanmark'!I$3:I$504,'Resultater - Østdanmark'!J$3:J$504)),'Resultater - Østdanmark'!$F$3:$F$504,$A241,'Resultater - Østdanmark'!H$3:H$504,"&lt;0"),0))</f>
        <v>0</v>
      </c>
      <c r="J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forbrug'!J$3,'Forbrug af biomasse'!$B$2:$B$425,$F241)</f>
        <v>0</v>
      </c>
      <c r="K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forbrug'!K$3,'Forbrug af biomasse'!$B$2:$B$425,$F241)</f>
        <v>0</v>
      </c>
      <c r="L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forbrug'!L$3,'Forbrug af biomasse'!$B$2:$B$425,$F241)</f>
        <v>0</v>
      </c>
      <c r="M241" s="94">
        <f>IF(A241&lt;&gt;"Biogas",SUMIFS('Forbrug af biomasse'!$E$2:$E$425,'Forbrug af biomasse'!$C$2:$C$425,'Resultat-Produktion &amp; forbrug'!$A241,'Forbrug af biomasse'!$D$2:$D$425,'Resultat-Produktion &amp; forbrug'!$E241,'Forbrug af biomasse'!$A$2:$A$425,'Resultat-Produktion &amp; forbrug'!M$3,'Forbrug af biomasse'!$B$2:$B$425,$F241),G241)</f>
        <v>0</v>
      </c>
      <c r="N241" s="94">
        <f>SUMIFS('Forbrug af biomasse'!E:E,'Forbrug af biomasse'!C:C,'Resultat-Produktion &amp; forbrug'!$A241,'Forbrug af biomasse'!D:D,'Resultat-Produktion &amp; forbrug'!$E241,'Forbrug af biomasse'!G:G,1,'Forbrug af biomasse'!B:B,$F241)</f>
        <v>0</v>
      </c>
      <c r="O241" s="179">
        <f t="shared" si="69"/>
        <v>0</v>
      </c>
      <c r="P241" s="94">
        <f t="shared" si="65"/>
        <v>0</v>
      </c>
      <c r="Q241" s="180">
        <f t="shared" si="70"/>
        <v>0</v>
      </c>
      <c r="R241">
        <f>IFERROR(VLOOKUP(A241,[1]Energiindhold!$A$2:$C$11,3,FALSE),IFERROR(VLOOKUP(A241,[1]Biogasudbytte!$A$2:$B$18,2,FALSE)*[1]Energiindhold!$C$10,0))*P241</f>
        <v>0</v>
      </c>
      <c r="S241">
        <f>IF(A241&lt;&gt;"Biogas",IFERROR(VLOOKUP(A241,[1]Biogasudbytte!$A$2:$B$18,2,FALSE)*[1]Energiindhold!$C$10,0)*K241*IFERROR(VLOOKUP(A241,Biogasanlæg!$F$3:$G$8,2,FALSE),1)+IFERROR(VLOOKUP(A241,[1]Energiindhold!$A$2:$C$11,3,FALSE),0)*M241+IF(E241&lt;&gt;År1,R241,0),0)</f>
        <v>0</v>
      </c>
      <c r="T241">
        <f>IFERROR(VLOOKUP(A241,[1]Biogasudbytte!$A$2:$B$18,2,FALSE)*[1]Energiindhold!$C$10,0)*K241*IFERROR(VLOOKUP(A241,Biogasanlæg!$F$3:$G$8,2,FALSE),1)</f>
        <v>0</v>
      </c>
      <c r="U241" s="170">
        <f t="shared" si="71"/>
        <v>0</v>
      </c>
      <c r="V241" s="169">
        <f>P241*IFERROR(VLOOKUP(A241,[1]Tørstofindhold!A$2:B$24,2,FALSE),0)</f>
        <v>0</v>
      </c>
      <c r="W241">
        <f>IF(E241=År1,Q241,SUM(P241,Q241))*IFERROR(VLOOKUP(A241,[1]Tørstofindhold!A$2:B$24,2,FALSE),0)</f>
        <v>0</v>
      </c>
      <c r="X241">
        <f>K241*IFERROR(VLOOKUP(A241,[1]Tørstofindhold!A$2:B$24,2,FALSE),0)</f>
        <v>0</v>
      </c>
      <c r="Y241" s="170">
        <f t="shared" si="72"/>
        <v>0</v>
      </c>
      <c r="Z241">
        <f t="shared" si="66"/>
        <v>0</v>
      </c>
      <c r="AA241">
        <f t="shared" si="67"/>
        <v>0</v>
      </c>
      <c r="AB241" s="94">
        <f t="shared" si="68"/>
        <v>0</v>
      </c>
      <c r="AC241">
        <f>AB241*D241*10000*VLOOKUP(A241,[1]kcal!$A$2:$C$49,3,FALSE)/1000000000000</f>
        <v>0</v>
      </c>
    </row>
    <row r="242" spans="1:29" x14ac:dyDescent="0.25">
      <c r="A242" s="171" t="str">
        <f t="shared" si="79"/>
        <v>Træ til energi</v>
      </c>
      <c r="B242" s="171" t="str">
        <f t="shared" si="80"/>
        <v>Vedmasse</v>
      </c>
      <c r="C242" s="171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1</v>
      </c>
      <c r="D242" s="171">
        <f t="shared" si="61"/>
        <v>0</v>
      </c>
      <c r="E242" s="171">
        <f t="shared" si="64"/>
        <v>2030</v>
      </c>
      <c r="F242" t="s">
        <v>24</v>
      </c>
      <c r="G242" s="94">
        <f ca="1">IF(F242="Vestdanmark",SUMIFS(IF(E242=År1,'Resultater - Vestdanmark'!H$3:H$504,IF(E242=År2,'Resultater - Vestdanmark'!I$3:I$504,'Resultater - Vestdanmark'!J$3:J$504)),'Resultater - Vestdanmark'!$F$3:$F$504,$A242,IF(E242=År1,'Resultater - Vestdanmark'!H$3:H$504,IF(E242=År2,'Resultater - Vestdanmark'!I$3:I$504,'Resultater - Vestdanmark'!J$3:J$504)),"&gt;0"),SUMIFS(IF(E242=År1,'Resultater - Østdanmark'!H$3:H$504,IF(E242=År2,'Resultater - Østdanmark'!I$3:I$504,'Resultater - Østdanmark'!J$3:J$504)),'Resultater - Østdanmark'!$F$3:$F$504,$A242,IF(E242=År1,'Resultater - Østdanmark'!H$3:H$504,IF(E242=År2,'Resultater - Østdanmark'!I$3:I$504,'Resultater - Østdanmark'!J$3:J$504)),"&gt;0"))</f>
        <v>647645.86028338596</v>
      </c>
      <c r="H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forbrug'!H$3,'Forbrug af biomasse'!$B$2:$B$425,$F242)</f>
        <v>0</v>
      </c>
      <c r="I242">
        <f>IF(F242="Vestdanmark",-IF(A242="Halm",SUMIFS(IF(E242=År1,'Resultater - Vestdanmark'!H$3:H$504,IF(E242=År2,'Resultater - Vestdanmark'!I$3:I$504,'Resultater - Vestdanmark'!J$3:J$504)),'Resultater - Vestdanmark'!$F$3:$F$504,$A242,'Resultater - Vestdanmark'!H$3:H$504,"&lt;0"),0),-IF(A242="Halm",SUMIFS(IF(E242=År1,'Resultater - Østdanmark'!H$3:H$504,IF(E242=År2,'Resultater - Østdanmark'!I$3:I$504,'Resultater - Østdanmark'!J$3:J$504)),'Resultater - Østdanmark'!$F$3:$F$504,$A242,'Resultater - Østdanmark'!H$3:H$504,"&lt;0"),0))</f>
        <v>0</v>
      </c>
      <c r="J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forbrug'!J$3,'Forbrug af biomasse'!$B$2:$B$425,$F242)</f>
        <v>0</v>
      </c>
      <c r="K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forbrug'!K$3,'Forbrug af biomasse'!$B$2:$B$425,$F242)</f>
        <v>0</v>
      </c>
      <c r="L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forbrug'!L$3,'Forbrug af biomasse'!$B$2:$B$425,$F242)</f>
        <v>0</v>
      </c>
      <c r="M242" s="94">
        <f ca="1">IF(A242&lt;&gt;"Biogas",SUMIFS('Forbrug af biomasse'!$E$2:$E$425,'Forbrug af biomasse'!$C$2:$C$425,'Resultat-Produktion &amp; forbrug'!$A242,'Forbrug af biomasse'!$D$2:$D$425,'Resultat-Produktion &amp; forbrug'!$E242,'Forbrug af biomasse'!$A$2:$A$425,'Resultat-Produktion &amp; forbrug'!M$3,'Forbrug af biomasse'!$B$2:$B$425,$F242),G242)</f>
        <v>647645.86028338596</v>
      </c>
      <c r="N242" s="94">
        <f>SUMIFS('Forbrug af biomasse'!E:E,'Forbrug af biomasse'!C:C,'Resultat-Produktion &amp; forbrug'!$A242,'Forbrug af biomasse'!D:D,'Resultat-Produktion &amp; forbrug'!$E242,'Forbrug af biomasse'!G:G,1,'Forbrug af biomasse'!B:B,$F242)</f>
        <v>0</v>
      </c>
      <c r="O242" s="179">
        <f t="shared" ca="1" si="69"/>
        <v>0</v>
      </c>
      <c r="P242" s="94">
        <f t="shared" ca="1" si="65"/>
        <v>0</v>
      </c>
      <c r="Q242" s="180">
        <f t="shared" ca="1" si="70"/>
        <v>647645.86028338596</v>
      </c>
      <c r="R242">
        <f ca="1">IFERROR(VLOOKUP(A242,[1]Energiindhold!$A$2:$C$11,3,FALSE),IFERROR(VLOOKUP(A242,[1]Biogasudbytte!$A$2:$B$18,2,FALSE)*[1]Energiindhold!$C$10,0))*P242</f>
        <v>0</v>
      </c>
      <c r="S242">
        <f ca="1">IF(A242&lt;&gt;"Biogas",IFERROR(VLOOKUP(A242,[1]Biogasudbytte!$A$2:$B$18,2,FALSE)*[1]Energiindhold!$C$10,0)*K242*IFERROR(VLOOKUP(A242,Biogasanlæg!$F$3:$G$8,2,FALSE),1)+IFERROR(VLOOKUP(A242,[1]Energiindhold!$A$2:$C$11,3,FALSE),0)*M242+IF(E242&lt;&gt;År1,R242,0),0)</f>
        <v>9.3866998993191597</v>
      </c>
      <c r="T242">
        <f>IFERROR(VLOOKUP(A242,[1]Biogasudbytte!$A$2:$B$18,2,FALSE)*[1]Energiindhold!$C$10,0)*K242*IFERROR(VLOOKUP(A242,Biogasanlæg!$F$3:$G$8,2,FALSE),1)</f>
        <v>0</v>
      </c>
      <c r="U242" s="170">
        <f t="shared" ca="1" si="71"/>
        <v>9.3866998993191597</v>
      </c>
      <c r="V242" s="169">
        <f ca="1">P242*IFERROR(VLOOKUP(A242,[1]Tørstofindhold!A$2:B$24,2,FALSE),0)</f>
        <v>0</v>
      </c>
      <c r="W242">
        <f ca="1">IF(E242=År1,Q242,SUM(P242,Q242))*IFERROR(VLOOKUP(A242,[1]Tørstofindhold!A$2:B$24,2,FALSE),0)</f>
        <v>320314.84839849127</v>
      </c>
      <c r="X242">
        <f>K242*IFERROR(VLOOKUP(A242,[1]Tørstofindhold!A$2:B$24,2,FALSE),0)</f>
        <v>0</v>
      </c>
      <c r="Y242" s="170">
        <f t="shared" ca="1" si="72"/>
        <v>320314.84839849127</v>
      </c>
      <c r="Z242">
        <f t="shared" ca="1" si="66"/>
        <v>0</v>
      </c>
      <c r="AA242">
        <f t="shared" ca="1" si="67"/>
        <v>0</v>
      </c>
      <c r="AB242" s="94">
        <f t="shared" ca="1" si="68"/>
        <v>647645.86028338596</v>
      </c>
      <c r="AC242">
        <f ca="1">AB242*D242*10000*VLOOKUP(A242,[1]kcal!$A$2:$C$49,3,FALSE)/1000000000000</f>
        <v>0</v>
      </c>
    </row>
    <row r="243" spans="1:29" x14ac:dyDescent="0.25">
      <c r="A243" s="171" t="str">
        <f t="shared" si="79"/>
        <v>Træmaterialer</v>
      </c>
      <c r="B243" s="171" t="str">
        <f t="shared" si="80"/>
        <v/>
      </c>
      <c r="C243" s="171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71">
        <f t="shared" si="61"/>
        <v>0</v>
      </c>
      <c r="E243" s="171">
        <f t="shared" si="64"/>
        <v>2030</v>
      </c>
      <c r="F243" t="s">
        <v>24</v>
      </c>
      <c r="G243" s="94">
        <f ca="1">IF(F243="Vestdanmark",SUMIFS(IF(E243=År1,'Resultater - Vestdanmark'!H$3:H$504,IF(E243=År2,'Resultater - Vestdanmark'!I$3:I$504,'Resultater - Vestdanmark'!J$3:J$504)),'Resultater - Vestdanmark'!$F$3:$F$504,$A243,IF(E243=År1,'Resultater - Vestdanmark'!H$3:H$504,IF(E243=År2,'Resultater - Vestdanmark'!I$3:I$504,'Resultater - Vestdanmark'!J$3:J$504)),"&gt;0"),SUMIFS(IF(E243=År1,'Resultater - Østdanmark'!H$3:H$504,IF(E243=År2,'Resultater - Østdanmark'!I$3:I$504,'Resultater - Østdanmark'!J$3:J$504)),'Resultater - Østdanmark'!$F$3:$F$504,$A243,IF(E243=År1,'Resultater - Østdanmark'!H$3:H$504,IF(E243=År2,'Resultater - Østdanmark'!I$3:I$504,'Resultater - Østdanmark'!J$3:J$504)),"&gt;0"))</f>
        <v>178235.22139277839</v>
      </c>
      <c r="H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forbrug'!H$3,'Forbrug af biomasse'!$B$2:$B$425,$F243)</f>
        <v>0</v>
      </c>
      <c r="I243">
        <f>IF(F243="Vestdanmark",-IF(A243="Halm",SUMIFS(IF(E243=År1,'Resultater - Vestdanmark'!H$3:H$504,IF(E243=År2,'Resultater - Vestdanmark'!I$3:I$504,'Resultater - Vestdanmark'!J$3:J$504)),'Resultater - Vestdanmark'!$F$3:$F$504,$A243,'Resultater - Vestdanmark'!H$3:H$504,"&lt;0"),0),-IF(A243="Halm",SUMIFS(IF(E243=År1,'Resultater - Østdanmark'!H$3:H$504,IF(E243=År2,'Resultater - Østdanmark'!I$3:I$504,'Resultater - Østdanmark'!J$3:J$504)),'Resultater - Østdanmark'!$F$3:$F$504,$A243,'Resultater - Østdanmark'!H$3:H$504,"&lt;0"),0))</f>
        <v>0</v>
      </c>
      <c r="J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forbrug'!J$3,'Forbrug af biomasse'!$B$2:$B$425,$F243)</f>
        <v>0</v>
      </c>
      <c r="K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forbrug'!K$3,'Forbrug af biomasse'!$B$2:$B$425,$F243)</f>
        <v>0</v>
      </c>
      <c r="L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forbrug'!L$3,'Forbrug af biomasse'!$B$2:$B$425,$F243)</f>
        <v>0</v>
      </c>
      <c r="M243" s="94">
        <f>IF(A243&lt;&gt;"Biogas",SUMIFS('Forbrug af biomasse'!$E$2:$E$425,'Forbrug af biomasse'!$C$2:$C$425,'Resultat-Produktion &amp; forbrug'!$A243,'Forbrug af biomasse'!$D$2:$D$425,'Resultat-Produktion &amp; forbrug'!$E243,'Forbrug af biomasse'!$A$2:$A$425,'Resultat-Produktion &amp; forbrug'!M$3,'Forbrug af biomasse'!$B$2:$B$425,$F243),G243)</f>
        <v>0</v>
      </c>
      <c r="N243" s="94">
        <f ca="1">SUMIFS('Forbrug af biomasse'!E:E,'Forbrug af biomasse'!C:C,'Resultat-Produktion &amp; forbrug'!$A243,'Forbrug af biomasse'!D:D,'Resultat-Produktion &amp; forbrug'!$E243,'Forbrug af biomasse'!G:G,1,'Forbrug af biomasse'!B:B,$F243)</f>
        <v>178235.22139277839</v>
      </c>
      <c r="O243" s="179">
        <f t="shared" ca="1" si="69"/>
        <v>0</v>
      </c>
      <c r="P243" s="94">
        <f t="shared" si="65"/>
        <v>0</v>
      </c>
      <c r="Q243" s="180">
        <f t="shared" si="70"/>
        <v>0</v>
      </c>
      <c r="R243">
        <f>IFERROR(VLOOKUP(A243,[1]Energiindhold!$A$2:$C$11,3,FALSE),IFERROR(VLOOKUP(A243,[1]Biogasudbytte!$A$2:$B$18,2,FALSE)*[1]Energiindhold!$C$10,0))*P243</f>
        <v>0</v>
      </c>
      <c r="S243">
        <f>IF(A243&lt;&gt;"Biogas",IFERROR(VLOOKUP(A243,[1]Biogasudbytte!$A$2:$B$18,2,FALSE)*[1]Energiindhold!$C$10,0)*K243*IFERROR(VLOOKUP(A243,Biogasanlæg!$F$3:$G$8,2,FALSE),1)+IFERROR(VLOOKUP(A243,[1]Energiindhold!$A$2:$C$11,3,FALSE),0)*M243+IF(E243&lt;&gt;År1,R243,0),0)</f>
        <v>0</v>
      </c>
      <c r="T243">
        <f>IFERROR(VLOOKUP(A243,[1]Biogasudbytte!$A$2:$B$18,2,FALSE)*[1]Energiindhold!$C$10,0)*K243*IFERROR(VLOOKUP(A243,Biogasanlæg!$F$3:$G$8,2,FALSE),1)</f>
        <v>0</v>
      </c>
      <c r="U243" s="170">
        <f t="shared" si="71"/>
        <v>0</v>
      </c>
      <c r="V243" s="169">
        <f>P243*IFERROR(VLOOKUP(A243,[1]Tørstofindhold!A$2:B$24,2,FALSE),0)</f>
        <v>0</v>
      </c>
      <c r="W243">
        <f>IF(E243=År1,Q243,SUM(P243,Q243))*IFERROR(VLOOKUP(A243,[1]Tørstofindhold!A$2:B$24,2,FALSE),0)</f>
        <v>0</v>
      </c>
      <c r="X243">
        <f>K243*IFERROR(VLOOKUP(A243,[1]Tørstofindhold!A$2:B$24,2,FALSE),0)</f>
        <v>0</v>
      </c>
      <c r="Y243" s="170">
        <f t="shared" si="72"/>
        <v>0</v>
      </c>
      <c r="Z243">
        <f t="shared" ca="1" si="66"/>
        <v>0</v>
      </c>
      <c r="AA243">
        <f t="shared" ca="1" si="67"/>
        <v>0</v>
      </c>
      <c r="AB243" s="94">
        <f t="shared" ca="1" si="68"/>
        <v>178235.22139277839</v>
      </c>
      <c r="AC243">
        <f ca="1">AB243*D243*10000*VLOOKUP(A243,[1]kcal!$A$2:$C$49,3,FALSE)/1000000000000</f>
        <v>0</v>
      </c>
    </row>
    <row r="244" spans="1:29" x14ac:dyDescent="0.25">
      <c r="A244" s="171" t="str">
        <f t="shared" si="79"/>
        <v>Æg</v>
      </c>
      <c r="B244" s="171" t="str">
        <f t="shared" si="80"/>
        <v/>
      </c>
      <c r="C244" s="171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71">
        <f t="shared" si="61"/>
        <v>1</v>
      </c>
      <c r="E244" s="171">
        <f t="shared" ref="E244:E282" si="81">År3</f>
        <v>2050</v>
      </c>
      <c r="F244" t="s">
        <v>24</v>
      </c>
      <c r="G244" s="94">
        <f>IF(F244="Vestdanmark",SUMIFS(IF(E244=År1,'Resultater - Vestdanmark'!H$3:H$504,IF(E244=År2,'Resultater - Vestdanmark'!I$3:I$504,'Resultater - Vestdanmark'!J$3:J$504)),'Resultater - Vestdanmark'!$F$3:$F$504,$A244,IF(E244=År1,'Resultater - Vestdanmark'!H$3:H$504,IF(E244=År2,'Resultater - Vestdanmark'!I$3:I$504,'Resultater - Vestdanmark'!J$3:J$504)),"&gt;0"),SUMIFS(IF(E244=År1,'Resultater - Østdanmark'!H$3:H$504,IF(E244=År2,'Resultater - Østdanmark'!I$3:I$504,'Resultater - Østdanmark'!J$3:J$504)),'Resultater - Østdanmark'!$F$3:$F$504,$A244,IF(E244=År1,'Resultater - Østdanmark'!H$3:H$504,IF(E244=År2,'Resultater - Østdanmark'!I$3:I$504,'Resultater - Østdanmark'!J$3:J$504)),"&gt;0"))</f>
        <v>3268.9483710154163</v>
      </c>
      <c r="H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forbrug'!H$3,'Forbrug af biomasse'!$B$2:$B$425,$F244)</f>
        <v>0</v>
      </c>
      <c r="I244">
        <f>IF(F244="Vestdanmark",-IF(A244="Halm",SUMIFS(IF(E244=År1,'Resultater - Vestdanmark'!H$3:H$504,IF(E244=År2,'Resultater - Vestdanmark'!I$3:I$504,'Resultater - Vestdanmark'!J$3:J$504)),'Resultater - Vestdanmark'!$F$3:$F$504,$A244,'Resultater - Vestdanmark'!H$3:H$504,"&lt;0"),0),-IF(A244="Halm",SUMIFS(IF(E244=År1,'Resultater - Østdanmark'!H$3:H$504,IF(E244=År2,'Resultater - Østdanmark'!I$3:I$504,'Resultater - Østdanmark'!J$3:J$504)),'Resultater - Østdanmark'!$F$3:$F$504,$A244,'Resultater - Østdanmark'!H$3:H$504,"&lt;0"),0))</f>
        <v>0</v>
      </c>
      <c r="J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forbrug'!J$3,'Forbrug af biomasse'!$B$2:$B$425,$F244)</f>
        <v>29532.002020101954</v>
      </c>
      <c r="K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forbrug'!K$3,'Forbrug af biomasse'!$B$2:$B$425,$F244)</f>
        <v>0</v>
      </c>
      <c r="L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forbrug'!L$3,'Forbrug af biomasse'!$B$2:$B$425,$F244)</f>
        <v>0</v>
      </c>
      <c r="M244" s="94">
        <f>IF(A244&lt;&gt;"Biogas",SUMIFS('Forbrug af biomasse'!$E$2:$E$425,'Forbrug af biomasse'!$C$2:$C$425,'Resultat-Produktion &amp; forbrug'!$A244,'Forbrug af biomasse'!$D$2:$D$425,'Resultat-Produktion &amp; forbrug'!$E244,'Forbrug af biomasse'!$A$2:$A$425,'Resultat-Produktion &amp; forbrug'!M$3,'Forbrug af biomasse'!$B$2:$B$425,$F244),G244)</f>
        <v>0</v>
      </c>
      <c r="N244" s="94">
        <f>SUMIFS('Forbrug af biomasse'!E:E,'Forbrug af biomasse'!C:C,'Resultat-Produktion &amp; forbrug'!$A244,'Forbrug af biomasse'!D:D,'Resultat-Produktion &amp; forbrug'!$E244,'Forbrug af biomasse'!G:G,1,'Forbrug af biomasse'!B:B,$F244)</f>
        <v>0</v>
      </c>
      <c r="O244" s="179">
        <f t="shared" si="69"/>
        <v>-26263.053649086538</v>
      </c>
      <c r="P244" s="94">
        <f t="shared" si="65"/>
        <v>0</v>
      </c>
      <c r="Q244" s="180">
        <f t="shared" si="70"/>
        <v>0</v>
      </c>
      <c r="R244">
        <f>IFERROR(VLOOKUP(A244,[1]Energiindhold!$A$2:$C$11,3,FALSE),IFERROR(VLOOKUP(A244,[1]Biogasudbytte!$A$2:$B$18,2,FALSE)*[1]Energiindhold!$C$10,0))*P244</f>
        <v>0</v>
      </c>
      <c r="S244">
        <f>IF(A244&lt;&gt;"Biogas",IFERROR(VLOOKUP(A244,[1]Biogasudbytte!$A$2:$B$18,2,FALSE)*[1]Energiindhold!$C$10,0)*K244*IFERROR(VLOOKUP(A244,Biogasanlæg!$F$3:$G$8,2,FALSE),1)+IFERROR(VLOOKUP(A244,[1]Energiindhold!$A$2:$C$11,3,FALSE),0)*M244+IF(E244&lt;&gt;År1,R244,0),0)</f>
        <v>0</v>
      </c>
      <c r="T244">
        <f>IFERROR(VLOOKUP(A244,[1]Biogasudbytte!$A$2:$B$18,2,FALSE)*[1]Energiindhold!$C$10,0)*K244*IFERROR(VLOOKUP(A244,Biogasanlæg!$F$3:$G$8,2,FALSE),1)</f>
        <v>0</v>
      </c>
      <c r="U244" s="170">
        <f t="shared" si="71"/>
        <v>0</v>
      </c>
      <c r="V244" s="169">
        <f>P244*IFERROR(VLOOKUP(A244,[1]Tørstofindhold!A$2:B$24,2,FALSE),0)</f>
        <v>0</v>
      </c>
      <c r="W244">
        <f>IF(E244=År1,Q244,SUM(P244,Q244))*IFERROR(VLOOKUP(A244,[1]Tørstofindhold!A$2:B$24,2,FALSE),0)</f>
        <v>0</v>
      </c>
      <c r="X244">
        <f>K244*IFERROR(VLOOKUP(A244,[1]Tørstofindhold!A$2:B$24,2,FALSE),0)</f>
        <v>0</v>
      </c>
      <c r="Y244" s="170">
        <f t="shared" si="72"/>
        <v>0</v>
      </c>
      <c r="Z244">
        <f t="shared" si="66"/>
        <v>1</v>
      </c>
      <c r="AA244">
        <f t="shared" si="67"/>
        <v>0</v>
      </c>
      <c r="AB244" s="94">
        <f t="shared" si="68"/>
        <v>3268.9483710154163</v>
      </c>
      <c r="AC244">
        <f>AB244*D244*10000*VLOOKUP(A244,[1]kcal!$A$2:$C$49,3,FALSE)/1000000000000</f>
        <v>4.511148752001275E-3</v>
      </c>
    </row>
    <row r="245" spans="1:29" x14ac:dyDescent="0.25">
      <c r="A245" s="171" t="str">
        <f t="shared" si="79"/>
        <v>Bælgsæd</v>
      </c>
      <c r="B245" s="171" t="str">
        <f t="shared" si="80"/>
        <v/>
      </c>
      <c r="C245" s="171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0</v>
      </c>
      <c r="D245" s="171">
        <f t="shared" ref="D245:D291" si="82">D197</f>
        <v>1</v>
      </c>
      <c r="E245" s="171">
        <f t="shared" si="81"/>
        <v>2050</v>
      </c>
      <c r="F245" t="s">
        <v>24</v>
      </c>
      <c r="G245" s="94">
        <f>IF(F245="Vestdanmark",SUMIFS(IF(E245=År1,'Resultater - Vestdanmark'!H$3:H$504,IF(E245=År2,'Resultater - Vestdanmark'!I$3:I$504,'Resultater - Vestdanmark'!J$3:J$504)),'Resultater - Vestdanmark'!$F$3:$F$504,$A245,IF(E245=År1,'Resultater - Vestdanmark'!H$3:H$504,IF(E245=År2,'Resultater - Vestdanmark'!I$3:I$504,'Resultater - Vestdanmark'!J$3:J$504)),"&gt;0"),SUMIFS(IF(E245=År1,'Resultater - Østdanmark'!H$3:H$504,IF(E245=År2,'Resultater - Østdanmark'!I$3:I$504,'Resultater - Østdanmark'!J$3:J$504)),'Resultater - Østdanmark'!$F$3:$F$504,$A245,IF(E245=År1,'Resultater - Østdanmark'!H$3:H$504,IF(E245=År2,'Resultater - Østdanmark'!I$3:I$504,'Resultater - Østdanmark'!J$3:J$504)),"&gt;0"))</f>
        <v>457930.53874458285</v>
      </c>
      <c r="H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forbrug'!H$3,'Forbrug af biomasse'!$B$2:$B$425,$F245)</f>
        <v>625.99887183421856</v>
      </c>
      <c r="I245">
        <f>IF(F245="Vestdanmark",-IF(A245="Halm",SUMIFS(IF(E245=År1,'Resultater - Vestdanmark'!H$3:H$504,IF(E245=År2,'Resultater - Vestdanmark'!I$3:I$504,'Resultater - Vestdanmark'!J$3:J$504)),'Resultater - Vestdanmark'!$F$3:$F$504,$A245,'Resultater - Vestdanmark'!H$3:H$504,"&lt;0"),0),-IF(A245="Halm",SUMIFS(IF(E245=År1,'Resultater - Østdanmark'!H$3:H$504,IF(E245=År2,'Resultater - Østdanmark'!I$3:I$504,'Resultater - Østdanmark'!J$3:J$504)),'Resultater - Østdanmark'!$F$3:$F$504,$A245,'Resultater - Østdanmark'!H$3:H$504,"&lt;0"),0))</f>
        <v>0</v>
      </c>
      <c r="J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forbrug'!J$3,'Forbrug af biomasse'!$B$2:$B$425,$F245)</f>
        <v>0</v>
      </c>
      <c r="K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forbrug'!K$3,'Forbrug af biomasse'!$B$2:$B$425,$F245)</f>
        <v>0</v>
      </c>
      <c r="L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forbrug'!L$3,'Forbrug af biomasse'!$B$2:$B$425,$F245)</f>
        <v>0</v>
      </c>
      <c r="M245" s="94">
        <f>IF(A245&lt;&gt;"Biogas",SUMIFS('Forbrug af biomasse'!$E$2:$E$425,'Forbrug af biomasse'!$C$2:$C$425,'Resultat-Produktion &amp; forbrug'!$A245,'Forbrug af biomasse'!$D$2:$D$425,'Resultat-Produktion &amp; forbrug'!$E245,'Forbrug af biomasse'!$A$2:$A$425,'Resultat-Produktion &amp; forbrug'!M$3,'Forbrug af biomasse'!$B$2:$B$425,$F245),G245)</f>
        <v>0</v>
      </c>
      <c r="N245" s="94">
        <f>SUMIFS('Forbrug af biomasse'!E:E,'Forbrug af biomasse'!C:C,'Resultat-Produktion &amp; forbrug'!$A245,'Forbrug af biomasse'!D:D,'Resultat-Produktion &amp; forbrug'!$E245,'Forbrug af biomasse'!G:G,1,'Forbrug af biomasse'!B:B,$F245)</f>
        <v>0</v>
      </c>
      <c r="O245" s="179">
        <f t="shared" si="69"/>
        <v>457304.53987274866</v>
      </c>
      <c r="P245" s="94">
        <f t="shared" si="65"/>
        <v>0</v>
      </c>
      <c r="Q245" s="180">
        <f t="shared" si="70"/>
        <v>0</v>
      </c>
      <c r="R245">
        <f>IFERROR(VLOOKUP(A245,[1]Energiindhold!$A$2:$C$11,3,FALSE),IFERROR(VLOOKUP(A245,[1]Biogasudbytte!$A$2:$B$18,2,FALSE)*[1]Energiindhold!$C$10,0))*P245</f>
        <v>0</v>
      </c>
      <c r="S245">
        <f>IF(A245&lt;&gt;"Biogas",IFERROR(VLOOKUP(A245,[1]Biogasudbytte!$A$2:$B$18,2,FALSE)*[1]Energiindhold!$C$10,0)*K245*IFERROR(VLOOKUP(A245,Biogasanlæg!$F$3:$G$8,2,FALSE),1)+IFERROR(VLOOKUP(A245,[1]Energiindhold!$A$2:$C$11,3,FALSE),0)*M245+IF(E245&lt;&gt;År1,R245,0),0)</f>
        <v>0</v>
      </c>
      <c r="T245">
        <f>IFERROR(VLOOKUP(A245,[1]Biogasudbytte!$A$2:$B$18,2,FALSE)*[1]Energiindhold!$C$10,0)*K245*IFERROR(VLOOKUP(A245,Biogasanlæg!$F$3:$G$8,2,FALSE),1)</f>
        <v>0</v>
      </c>
      <c r="U245" s="170">
        <f t="shared" si="71"/>
        <v>0</v>
      </c>
      <c r="V245" s="169">
        <f>P245*IFERROR(VLOOKUP(A245,[1]Tørstofindhold!A$2:B$24,2,FALSE),0)</f>
        <v>0</v>
      </c>
      <c r="W245">
        <f>IF(E245=År1,Q245,SUM(P245,Q245))*IFERROR(VLOOKUP(A245,[1]Tørstofindhold!A$2:B$24,2,FALSE),0)</f>
        <v>0</v>
      </c>
      <c r="X245">
        <f>K245*IFERROR(VLOOKUP(A245,[1]Tørstofindhold!A$2:B$24,2,FALSE),0)</f>
        <v>0</v>
      </c>
      <c r="Y245" s="170">
        <f t="shared" si="72"/>
        <v>0</v>
      </c>
      <c r="Z245">
        <f t="shared" si="66"/>
        <v>0</v>
      </c>
      <c r="AA245">
        <f t="shared" si="67"/>
        <v>1</v>
      </c>
      <c r="AB245" s="94">
        <f t="shared" si="68"/>
        <v>457304.53987274866</v>
      </c>
      <c r="AC245">
        <f>AB245*D245*10000*VLOOKUP(A245,[1]kcal!$A$2:$C$49,3,FALSE)/1000000000000</f>
        <v>3.1759800294162392</v>
      </c>
    </row>
    <row r="246" spans="1:29" x14ac:dyDescent="0.25">
      <c r="A246" s="171" t="str">
        <f t="shared" si="79"/>
        <v>Bioaffald</v>
      </c>
      <c r="B246" s="171" t="str">
        <f t="shared" si="80"/>
        <v>Bionedbrydeligt affald</v>
      </c>
      <c r="C246" s="171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71">
        <f t="shared" si="82"/>
        <v>0</v>
      </c>
      <c r="E246" s="171">
        <f t="shared" si="81"/>
        <v>2050</v>
      </c>
      <c r="F246" t="s">
        <v>24</v>
      </c>
      <c r="G246" s="94">
        <f ca="1">IF(F246="Vestdanmark",SUMIFS(IF(E246=År1,'Resultater - Vestdanmark'!H$3:H$504,IF(E246=År2,'Resultater - Vestdanmark'!I$3:I$504,'Resultater - Vestdanmark'!J$3:J$504)),'Resultater - Vestdanmark'!$F$3:$F$504,$A246,IF(E246=År1,'Resultater - Vestdanmark'!H$3:H$504,IF(E246=År2,'Resultater - Vestdanmark'!I$3:I$504,'Resultater - Vestdanmark'!J$3:J$504)),"&gt;0"),SUMIFS(IF(E246=År1,'Resultater - Østdanmark'!H$3:H$504,IF(E246=År2,'Resultater - Østdanmark'!I$3:I$504,'Resultater - Østdanmark'!J$3:J$504)),'Resultater - Østdanmark'!$F$3:$F$504,$A246,IF(E246=År1,'Resultater - Østdanmark'!H$3:H$504,IF(E246=År2,'Resultater - Østdanmark'!I$3:I$504,'Resultater - Østdanmark'!J$3:J$504)),"&gt;0"))</f>
        <v>172292.68030975034</v>
      </c>
      <c r="H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forbrug'!H$3,'Forbrug af biomasse'!$B$2:$B$425,$F246)</f>
        <v>0</v>
      </c>
      <c r="I246">
        <f>IF(F246="Vestdanmark",-IF(A246="Halm",SUMIFS(IF(E246=År1,'Resultater - Vestdanmark'!H$3:H$504,IF(E246=År2,'Resultater - Vestdanmark'!I$3:I$504,'Resultater - Vestdanmark'!J$3:J$504)),'Resultater - Vestdanmark'!$F$3:$F$504,$A246,'Resultater - Vestdanmark'!H$3:H$504,"&lt;0"),0),-IF(A246="Halm",SUMIFS(IF(E246=År1,'Resultater - Østdanmark'!H$3:H$504,IF(E246=År2,'Resultater - Østdanmark'!I$3:I$504,'Resultater - Østdanmark'!J$3:J$504)),'Resultater - Østdanmark'!$F$3:$F$504,$A246,'Resultater - Østdanmark'!H$3:H$504,"&lt;0"),0))</f>
        <v>0</v>
      </c>
      <c r="J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forbrug'!J$3,'Forbrug af biomasse'!$B$2:$B$425,$F246)</f>
        <v>0</v>
      </c>
      <c r="K246" s="94">
        <f ca="1">SUMIFS('Forbrug af biomasse'!$E$2:$E$425,'Forbrug af biomasse'!$C$2:$C$425,'Resultat-Produktion &amp; forbrug'!$A246,'Forbrug af biomasse'!$D$2:$D$425,'Resultat-Produktion &amp; forbrug'!$E246,'Forbrug af biomasse'!$A$2:$A$425,'Resultat-Produktion &amp; forbrug'!K$3,'Forbrug af biomasse'!$B$2:$B$425,$F246)</f>
        <v>0</v>
      </c>
      <c r="L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forbrug'!L$3,'Forbrug af biomasse'!$B$2:$B$425,$F246)</f>
        <v>0</v>
      </c>
      <c r="M246" s="94">
        <f ca="1">IF(A246&lt;&gt;"Biogas",SUMIFS('Forbrug af biomasse'!$E$2:$E$425,'Forbrug af biomasse'!$C$2:$C$425,'Resultat-Produktion &amp; forbrug'!$A246,'Forbrug af biomasse'!$D$2:$D$425,'Resultat-Produktion &amp; forbrug'!$E246,'Forbrug af biomasse'!$A$2:$A$425,'Resultat-Produktion &amp; forbrug'!M$3,'Forbrug af biomasse'!$B$2:$B$425,$F246),G246)</f>
        <v>172292.68030975034</v>
      </c>
      <c r="N246" s="94">
        <f ca="1">SUMIFS('Forbrug af biomasse'!E:E,'Forbrug af biomasse'!C:C,'Resultat-Produktion &amp; forbrug'!$A246,'Forbrug af biomasse'!D:D,'Resultat-Produktion &amp; forbrug'!$E246,'Forbrug af biomasse'!G:G,1,'Forbrug af biomasse'!B:B,$F246)</f>
        <v>0</v>
      </c>
      <c r="O246" s="179">
        <f t="shared" ca="1" si="69"/>
        <v>0</v>
      </c>
      <c r="P246" s="94">
        <f t="shared" ca="1" si="65"/>
        <v>0</v>
      </c>
      <c r="Q246" s="180">
        <f t="shared" ca="1" si="70"/>
        <v>172292.68030975034</v>
      </c>
      <c r="R246">
        <f ca="1">IFERROR(VLOOKUP(A246,[1]Energiindhold!$A$2:$C$11,3,FALSE),IFERROR(VLOOKUP(A246,[1]Biogasudbytte!$A$2:$B$18,2,FALSE)*[1]Energiindhold!$C$10,0))*P246</f>
        <v>0</v>
      </c>
      <c r="S246">
        <f ca="1">IF(A246&lt;&gt;"Biogas",IFERROR(VLOOKUP(A246,[1]Biogasudbytte!$A$2:$B$18,2,FALSE)*[1]Energiindhold!$C$10,0)*K246*IFERROR(VLOOKUP(A246,Biogasanlæg!$F$3:$G$8,2,FALSE),1)+IFERROR(VLOOKUP(A246,[1]Energiindhold!$A$2:$C$11,3,FALSE),0)*M246+IF(E246&lt;&gt;År1,R246,0),0)</f>
        <v>3.0758069229876184</v>
      </c>
      <c r="T246">
        <f ca="1">IFERROR(VLOOKUP(A246,[1]Biogasudbytte!$A$2:$B$18,2,FALSE)*[1]Energiindhold!$C$10,0)*K246*IFERROR(VLOOKUP(A246,Biogasanlæg!$F$3:$G$8,2,FALSE),1)</f>
        <v>0</v>
      </c>
      <c r="U246" s="170">
        <f t="shared" ca="1" si="71"/>
        <v>3.0758069229876184</v>
      </c>
      <c r="V246" s="169">
        <f ca="1">P246*IFERROR(VLOOKUP(A246,[1]Tørstofindhold!A$2:B$24,2,FALSE),0)</f>
        <v>0</v>
      </c>
      <c r="W246">
        <f ca="1">IF(E246=År1,Q246,SUM(P246,Q246))*IFERROR(VLOOKUP(A246,[1]Tørstofindhold!A$2:B$24,2,FALSE),0)</f>
        <v>48241.9504867301</v>
      </c>
      <c r="X246">
        <f ca="1">K246*IFERROR(VLOOKUP(A246,[1]Tørstofindhold!A$2:B$24,2,FALSE),0)</f>
        <v>0</v>
      </c>
      <c r="Y246" s="170">
        <f t="shared" ca="1" si="72"/>
        <v>48241.9504867301</v>
      </c>
      <c r="Z246">
        <f t="shared" ca="1" si="66"/>
        <v>0</v>
      </c>
      <c r="AA246">
        <f t="shared" ca="1" si="67"/>
        <v>0</v>
      </c>
      <c r="AB246" s="94">
        <f t="shared" ca="1" si="68"/>
        <v>172292.68030975034</v>
      </c>
      <c r="AC246">
        <f ca="1">AB246*D246*10000*VLOOKUP(A246,[1]kcal!$A$2:$C$49,3,FALSE)/1000000000000</f>
        <v>0</v>
      </c>
    </row>
    <row r="247" spans="1:29" x14ac:dyDescent="0.25">
      <c r="A247" s="171" t="str">
        <f t="shared" si="79"/>
        <v>Biogas</v>
      </c>
      <c r="B247" s="171" t="str">
        <f t="shared" si="80"/>
        <v/>
      </c>
      <c r="C247" s="171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1</v>
      </c>
      <c r="D247" s="171">
        <f t="shared" si="82"/>
        <v>0</v>
      </c>
      <c r="E247" s="171">
        <f t="shared" si="81"/>
        <v>2050</v>
      </c>
      <c r="F247" t="s">
        <v>24</v>
      </c>
      <c r="G247" s="94">
        <f ca="1">IF(F247="Vestdanmark",SUMIFS(IF(E247=År1,'Resultater - Vestdanmark'!H$3:H$504,IF(E247=År2,'Resultater - Vestdanmark'!I$3:I$504,'Resultater - Vestdanmark'!J$3:J$504)),'Resultater - Vestdanmark'!$F$3:$F$504,$A247,IF(E247=År1,'Resultater - Vestdanmark'!H$3:H$504,IF(E247=År2,'Resultater - Vestdanmark'!I$3:I$504,'Resultater - Vestdanmark'!J$3:J$504)),"&gt;0"),SUMIFS(IF(E247=År1,'Resultater - Østdanmark'!H$3:H$504,IF(E247=År2,'Resultater - Østdanmark'!I$3:I$504,'Resultater - Østdanmark'!J$3:J$504)),'Resultater - Østdanmark'!$F$3:$F$504,$A247,IF(E247=År1,'Resultater - Østdanmark'!H$3:H$504,IF(E247=År2,'Resultater - Østdanmark'!I$3:I$504,'Resultater - Østdanmark'!J$3:J$504)),"&gt;0"))</f>
        <v>81094605.554408431</v>
      </c>
      <c r="H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forbrug'!H$3,'Forbrug af biomasse'!$B$2:$B$425,$F247)</f>
        <v>0</v>
      </c>
      <c r="I247">
        <f>IF(F247="Vestdanmark",-IF(A247="Halm",SUMIFS(IF(E247=År1,'Resultater - Vestdanmark'!H$3:H$504,IF(E247=År2,'Resultater - Vestdanmark'!I$3:I$504,'Resultater - Vestdanmark'!J$3:J$504)),'Resultater - Vestdanmark'!$F$3:$F$504,$A247,'Resultater - Vestdanmark'!H$3:H$504,"&lt;0"),0),-IF(A247="Halm",SUMIFS(IF(E247=År1,'Resultater - Østdanmark'!H$3:H$504,IF(E247=År2,'Resultater - Østdanmark'!I$3:I$504,'Resultater - Østdanmark'!J$3:J$504)),'Resultater - Østdanmark'!$F$3:$F$504,$A247,'Resultater - Østdanmark'!H$3:H$504,"&lt;0"),0))</f>
        <v>0</v>
      </c>
      <c r="J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forbrug'!J$3,'Forbrug af biomasse'!$B$2:$B$425,$F247)</f>
        <v>0</v>
      </c>
      <c r="K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forbrug'!K$3,'Forbrug af biomasse'!$B$2:$B$425,$F247)</f>
        <v>0</v>
      </c>
      <c r="L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forbrug'!L$3,'Forbrug af biomasse'!$B$2:$B$425,$F247)</f>
        <v>0</v>
      </c>
      <c r="M247" s="94">
        <f ca="1">IF(A247&lt;&gt;"Biogas",SUMIFS('Forbrug af biomasse'!$E$2:$E$425,'Forbrug af biomasse'!$C$2:$C$425,'Resultat-Produktion &amp; forbrug'!$A247,'Forbrug af biomasse'!$D$2:$D$425,'Resultat-Produktion &amp; forbrug'!$E247,'Forbrug af biomasse'!$A$2:$A$425,'Resultat-Produktion &amp; forbrug'!M$3,'Forbrug af biomasse'!$B$2:$B$425,$F247),G247)</f>
        <v>81094605.554408431</v>
      </c>
      <c r="N247" s="94">
        <f>SUMIFS('Forbrug af biomasse'!E:E,'Forbrug af biomasse'!C:C,'Resultat-Produktion &amp; forbrug'!$A247,'Forbrug af biomasse'!D:D,'Resultat-Produktion &amp; forbrug'!$E247,'Forbrug af biomasse'!G:G,1,'Forbrug af biomasse'!B:B,$F247)</f>
        <v>0</v>
      </c>
      <c r="O247" s="179">
        <f t="shared" ca="1" si="69"/>
        <v>0</v>
      </c>
      <c r="P247" s="94">
        <f t="shared" ca="1" si="65"/>
        <v>0</v>
      </c>
      <c r="Q247" s="180">
        <f t="shared" ca="1" si="70"/>
        <v>81094605.554408431</v>
      </c>
      <c r="R247">
        <f ca="1">IFERROR(VLOOKUP(A247,[1]Energiindhold!$A$2:$C$11,3,FALSE),IFERROR(VLOOKUP(A247,[1]Biogasudbytte!$A$2:$B$18,2,FALSE)*[1]Energiindhold!$C$10,0))*P247</f>
        <v>0</v>
      </c>
      <c r="S247">
        <f>IF(A247&lt;&gt;"Biogas",IFERROR(VLOOKUP(A247,[1]Biogasudbytte!$A$2:$B$18,2,FALSE)*[1]Energiindhold!$C$10,0)*K247*IFERROR(VLOOKUP(A247,Biogasanlæg!$F$3:$G$8,2,FALSE),1)+IFERROR(VLOOKUP(A247,[1]Energiindhold!$A$2:$C$11,3,FALSE),0)*M247+IF(E247&lt;&gt;År1,R247,0),0)</f>
        <v>0</v>
      </c>
      <c r="T247">
        <f>IFERROR(VLOOKUP(A247,[1]Biogasudbytte!$A$2:$B$18,2,FALSE)*[1]Energiindhold!$C$10,0)*K247*IFERROR(VLOOKUP(A247,Biogasanlæg!$F$3:$G$8,2,FALSE),1)</f>
        <v>0</v>
      </c>
      <c r="U247" s="170">
        <f t="shared" si="71"/>
        <v>0</v>
      </c>
      <c r="V247" s="169">
        <f ca="1">P247*IFERROR(VLOOKUP(A247,[1]Tørstofindhold!A$2:B$24,2,FALSE),0)</f>
        <v>0</v>
      </c>
      <c r="W247">
        <f ca="1">IF(E247=År1,Q247,SUM(P247,Q247))*IFERROR(VLOOKUP(A247,[1]Tørstofindhold!A$2:B$24,2,FALSE),0)</f>
        <v>0</v>
      </c>
      <c r="X247">
        <f>K247*IFERROR(VLOOKUP(A247,[1]Tørstofindhold!A$2:B$24,2,FALSE),0)</f>
        <v>0</v>
      </c>
      <c r="Y247" s="170">
        <f t="shared" ca="1" si="72"/>
        <v>0</v>
      </c>
      <c r="Z247">
        <f t="shared" ca="1" si="66"/>
        <v>0</v>
      </c>
      <c r="AA247">
        <f t="shared" ca="1" si="67"/>
        <v>0</v>
      </c>
      <c r="AB247" s="94">
        <f t="shared" ca="1" si="68"/>
        <v>81094605.554408431</v>
      </c>
      <c r="AC247">
        <f ca="1">AB247*D247*10000*VLOOKUP(A247,[1]kcal!$A$2:$C$49,3,FALSE)/1000000000000</f>
        <v>0</v>
      </c>
    </row>
    <row r="248" spans="1:29" x14ac:dyDescent="0.25">
      <c r="A248" s="171" t="str">
        <f t="shared" si="79"/>
        <v>Biogasgylle</v>
      </c>
      <c r="B248" s="171" t="str">
        <f t="shared" si="80"/>
        <v/>
      </c>
      <c r="C248" s="171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0</v>
      </c>
      <c r="D248" s="171">
        <f t="shared" si="82"/>
        <v>0</v>
      </c>
      <c r="E248" s="171">
        <f t="shared" si="81"/>
        <v>2050</v>
      </c>
      <c r="F248" t="s">
        <v>24</v>
      </c>
      <c r="G248" s="94">
        <f ca="1">IF(F248="Vestdanmark",SUMIFS(IF(E248=År1,'Resultater - Vestdanmark'!H$3:H$504,IF(E248=År2,'Resultater - Vestdanmark'!I$3:I$504,'Resultater - Vestdanmark'!J$3:J$504)),'Resultater - Vestdanmark'!$F$3:$F$504,$A248,IF(E248=År1,'Resultater - Vestdanmark'!H$3:H$504,IF(E248=År2,'Resultater - Vestdanmark'!I$3:I$504,'Resultater - Vestdanmark'!J$3:J$504)),"&gt;0"),SUMIFS(IF(E248=År1,'Resultater - Østdanmark'!H$3:H$504,IF(E248=År2,'Resultater - Østdanmark'!I$3:I$504,'Resultater - Østdanmark'!J$3:J$504)),'Resultater - Østdanmark'!$F$3:$F$504,$A248,IF(E248=År1,'Resultater - Østdanmark'!H$3:H$504,IF(E248=År2,'Resultater - Østdanmark'!I$3:I$504,'Resultater - Østdanmark'!J$3:J$504)),"&gt;0"))</f>
        <v>3428084.2294498845</v>
      </c>
      <c r="H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forbrug'!H$3,'Forbrug af biomasse'!$B$2:$B$425,$F248)</f>
        <v>0</v>
      </c>
      <c r="I248">
        <f>IF(F248="Vestdanmark",-IF(A248="Halm",SUMIFS(IF(E248=År1,'Resultater - Vestdanmark'!H$3:H$504,IF(E248=År2,'Resultater - Vestdanmark'!I$3:I$504,'Resultater - Vestdanmark'!J$3:J$504)),'Resultater - Vestdanmark'!$F$3:$F$504,$A248,'Resultater - Vestdanmark'!H$3:H$504,"&lt;0"),0),-IF(A248="Halm",SUMIFS(IF(E248=År1,'Resultater - Østdanmark'!H$3:H$504,IF(E248=År2,'Resultater - Østdanmark'!I$3:I$504,'Resultater - Østdanmark'!J$3:J$504)),'Resultater - Østdanmark'!$F$3:$F$504,$A248,'Resultater - Østdanmark'!H$3:H$504,"&lt;0"),0))</f>
        <v>0</v>
      </c>
      <c r="J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forbrug'!J$3,'Forbrug af biomasse'!$B$2:$B$425,$F248)</f>
        <v>0</v>
      </c>
      <c r="K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forbrug'!K$3,'Forbrug af biomasse'!$B$2:$B$425,$F248)</f>
        <v>0</v>
      </c>
      <c r="L248" s="94">
        <f ca="1">SUMIFS('Forbrug af biomasse'!$E$2:$E$425,'Forbrug af biomasse'!$C$2:$C$425,'Resultat-Produktion &amp; forbrug'!$A248,'Forbrug af biomasse'!$D$2:$D$425,'Resultat-Produktion &amp; forbrug'!$E248,'Forbrug af biomasse'!$A$2:$A$425,'Resultat-Produktion &amp; forbrug'!L$3,'Forbrug af biomasse'!$B$2:$B$425,$F248)</f>
        <v>347663.70899388671</v>
      </c>
      <c r="M248" s="94">
        <f>IF(A248&lt;&gt;"Biogas",SUMIFS('Forbrug af biomasse'!$E$2:$E$425,'Forbrug af biomasse'!$C$2:$C$425,'Resultat-Produktion &amp; forbrug'!$A248,'Forbrug af biomasse'!$D$2:$D$425,'Resultat-Produktion &amp; forbrug'!$E248,'Forbrug af biomasse'!$A$2:$A$425,'Resultat-Produktion &amp; forbrug'!M$3,'Forbrug af biomasse'!$B$2:$B$425,$F248),G248)</f>
        <v>0</v>
      </c>
      <c r="N248" s="94">
        <f>SUMIFS('Forbrug af biomasse'!E:E,'Forbrug af biomasse'!C:C,'Resultat-Produktion &amp; forbrug'!$A248,'Forbrug af biomasse'!D:D,'Resultat-Produktion &amp; forbrug'!$E248,'Forbrug af biomasse'!G:G,1,'Forbrug af biomasse'!B:B,$F248)</f>
        <v>0</v>
      </c>
      <c r="O248" s="179">
        <f t="shared" ca="1" si="69"/>
        <v>3080420.5204559979</v>
      </c>
      <c r="P248" s="94">
        <f t="shared" si="65"/>
        <v>0</v>
      </c>
      <c r="Q248" s="180">
        <f t="shared" si="70"/>
        <v>0</v>
      </c>
      <c r="R248">
        <f>IFERROR(VLOOKUP(A248,[1]Energiindhold!$A$2:$C$11,3,FALSE),IFERROR(VLOOKUP(A248,[1]Biogasudbytte!$A$2:$B$18,2,FALSE)*[1]Energiindhold!$C$10,0))*P248</f>
        <v>0</v>
      </c>
      <c r="S248">
        <f>IF(A248&lt;&gt;"Biogas",IFERROR(VLOOKUP(A248,[1]Biogasudbytte!$A$2:$B$18,2,FALSE)*[1]Energiindhold!$C$10,0)*K248*IFERROR(VLOOKUP(A248,Biogasanlæg!$F$3:$G$8,2,FALSE),1)+IFERROR(VLOOKUP(A248,[1]Energiindhold!$A$2:$C$11,3,FALSE),0)*M248+IF(E248&lt;&gt;År1,R248,0),0)</f>
        <v>0</v>
      </c>
      <c r="T248">
        <f>IFERROR(VLOOKUP(A248,[1]Biogasudbytte!$A$2:$B$18,2,FALSE)*[1]Energiindhold!$C$10,0)*K248*IFERROR(VLOOKUP(A248,Biogasanlæg!$F$3:$G$8,2,FALSE),1)</f>
        <v>0</v>
      </c>
      <c r="U248" s="170">
        <f t="shared" si="71"/>
        <v>0</v>
      </c>
      <c r="V248" s="169">
        <f>P248*IFERROR(VLOOKUP(A248,[1]Tørstofindhold!A$2:B$24,2,FALSE),0)</f>
        <v>0</v>
      </c>
      <c r="W248">
        <f>IF(E248=År1,Q248,SUM(P248,Q248))*IFERROR(VLOOKUP(A248,[1]Tørstofindhold!A$2:B$24,2,FALSE),0)</f>
        <v>0</v>
      </c>
      <c r="X248">
        <f>K248*IFERROR(VLOOKUP(A248,[1]Tørstofindhold!A$2:B$24,2,FALSE),0)</f>
        <v>0</v>
      </c>
      <c r="Y248" s="170">
        <f t="shared" si="72"/>
        <v>0</v>
      </c>
      <c r="Z248">
        <f t="shared" ca="1" si="66"/>
        <v>0</v>
      </c>
      <c r="AA248">
        <f t="shared" ca="1" si="67"/>
        <v>1</v>
      </c>
      <c r="AB248" s="94">
        <f t="shared" ca="1" si="68"/>
        <v>3080420.5204559979</v>
      </c>
      <c r="AC248">
        <f ca="1">AB248*D248*10000*VLOOKUP(A248,[1]kcal!$A$2:$C$49,3,FALSE)/1000000000000</f>
        <v>0</v>
      </c>
    </row>
    <row r="249" spans="1:29" x14ac:dyDescent="0.25">
      <c r="A249" s="171" t="str">
        <f t="shared" si="79"/>
        <v>Brun saft</v>
      </c>
      <c r="B249" s="171" t="str">
        <f t="shared" si="80"/>
        <v>Bionedbrydeligt affald</v>
      </c>
      <c r="C249" s="171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71">
        <f t="shared" si="82"/>
        <v>0</v>
      </c>
      <c r="E249" s="171">
        <f t="shared" si="81"/>
        <v>2050</v>
      </c>
      <c r="F249" t="s">
        <v>24</v>
      </c>
      <c r="G249" s="94">
        <f>IF(F249="Vestdanmark",SUMIFS(IF(E249=År1,'Resultater - Vestdanmark'!H$3:H$504,IF(E249=År2,'Resultater - Vestdanmark'!I$3:I$504,'Resultater - Vestdanmark'!J$3:J$504)),'Resultater - Vestdanmark'!$F$3:$F$504,$A249,IF(E249=År1,'Resultater - Vestdanmark'!H$3:H$504,IF(E249=År2,'Resultater - Vestdanmark'!I$3:I$504,'Resultater - Vestdanmark'!J$3:J$504)),"&gt;0"),SUMIFS(IF(E249=År1,'Resultater - Østdanmark'!H$3:H$504,IF(E249=År2,'Resultater - Østdanmark'!I$3:I$504,'Resultater - Østdanmark'!J$3:J$504)),'Resultater - Østdanmark'!$F$3:$F$504,$A249,IF(E249=År1,'Resultater - Østdanmark'!H$3:H$504,IF(E249=År2,'Resultater - Østdanmark'!I$3:I$504,'Resultater - Østdanmark'!J$3:J$504)),"&gt;0"))</f>
        <v>0</v>
      </c>
      <c r="H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forbrug'!H$3,'Forbrug af biomasse'!$B$2:$B$425,$F249)</f>
        <v>0</v>
      </c>
      <c r="I249">
        <f>IF(F249="Vestdanmark",-IF(A249="Halm",SUMIFS(IF(E249=År1,'Resultater - Vestdanmark'!H$3:H$504,IF(E249=År2,'Resultater - Vestdanmark'!I$3:I$504,'Resultater - Vestdanmark'!J$3:J$504)),'Resultater - Vestdanmark'!$F$3:$F$504,$A249,'Resultater - Vestdanmark'!H$3:H$504,"&lt;0"),0),-IF(A249="Halm",SUMIFS(IF(E249=År1,'Resultater - Østdanmark'!H$3:H$504,IF(E249=År2,'Resultater - Østdanmark'!I$3:I$504,'Resultater - Østdanmark'!J$3:J$504)),'Resultater - Østdanmark'!$F$3:$F$504,$A249,'Resultater - Østdanmark'!H$3:H$504,"&lt;0"),0))</f>
        <v>0</v>
      </c>
      <c r="J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forbrug'!J$3,'Forbrug af biomasse'!$B$2:$B$425,$F249)</f>
        <v>0</v>
      </c>
      <c r="K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forbrug'!K$3,'Forbrug af biomasse'!$B$2:$B$425,$F249)</f>
        <v>0</v>
      </c>
      <c r="L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forbrug'!L$3,'Forbrug af biomasse'!$B$2:$B$425,$F249)</f>
        <v>0</v>
      </c>
      <c r="M249" s="94">
        <f>IF(A249&lt;&gt;"Biogas",SUMIFS('Forbrug af biomasse'!$E$2:$E$425,'Forbrug af biomasse'!$C$2:$C$425,'Resultat-Produktion &amp; forbrug'!$A249,'Forbrug af biomasse'!$D$2:$D$425,'Resultat-Produktion &amp; forbrug'!$E249,'Forbrug af biomasse'!$A$2:$A$425,'Resultat-Produktion &amp; forbrug'!M$3,'Forbrug af biomasse'!$B$2:$B$425,$F249),G249)</f>
        <v>0</v>
      </c>
      <c r="N249" s="94">
        <f>SUMIFS('Forbrug af biomasse'!E:E,'Forbrug af biomasse'!C:C,'Resultat-Produktion &amp; forbrug'!$A249,'Forbrug af biomasse'!D:D,'Resultat-Produktion &amp; forbrug'!$E249,'Forbrug af biomasse'!G:G,1,'Forbrug af biomasse'!B:B,$F249)</f>
        <v>0</v>
      </c>
      <c r="O249" s="179">
        <f t="shared" si="69"/>
        <v>0</v>
      </c>
      <c r="P249" s="94">
        <f t="shared" si="65"/>
        <v>0</v>
      </c>
      <c r="Q249" s="180">
        <f t="shared" si="70"/>
        <v>0</v>
      </c>
      <c r="R249">
        <f>IFERROR(VLOOKUP(A249,[1]Energiindhold!$A$2:$C$11,3,FALSE),IFERROR(VLOOKUP(A249,[1]Biogasudbytte!$A$2:$B$18,2,FALSE)*[1]Energiindhold!$C$10,0))*P249</f>
        <v>0</v>
      </c>
      <c r="S249">
        <f>IF(A249&lt;&gt;"Biogas",IFERROR(VLOOKUP(A249,[1]Biogasudbytte!$A$2:$B$18,2,FALSE)*[1]Energiindhold!$C$10,0)*K249*IFERROR(VLOOKUP(A249,Biogasanlæg!$F$3:$G$8,2,FALSE),1)+IFERROR(VLOOKUP(A249,[1]Energiindhold!$A$2:$C$11,3,FALSE),0)*M249+IF(E249&lt;&gt;År1,R249,0),0)</f>
        <v>0</v>
      </c>
      <c r="T249">
        <f>IFERROR(VLOOKUP(A249,[1]Biogasudbytte!$A$2:$B$18,2,FALSE)*[1]Energiindhold!$C$10,0)*K249*IFERROR(VLOOKUP(A249,Biogasanlæg!$F$3:$G$8,2,FALSE),1)</f>
        <v>0</v>
      </c>
      <c r="U249" s="170">
        <f t="shared" si="71"/>
        <v>0</v>
      </c>
      <c r="V249" s="169">
        <f>P249*IFERROR(VLOOKUP(A249,[1]Tørstofindhold!A$2:B$24,2,FALSE),0)</f>
        <v>0</v>
      </c>
      <c r="W249">
        <f>IF(E249=År1,Q249,SUM(P249,Q249))*IFERROR(VLOOKUP(A249,[1]Tørstofindhold!A$2:B$24,2,FALSE),0)</f>
        <v>0</v>
      </c>
      <c r="X249">
        <f>K249*IFERROR(VLOOKUP(A249,[1]Tørstofindhold!A$2:B$24,2,FALSE),0)</f>
        <v>0</v>
      </c>
      <c r="Y249" s="170">
        <f t="shared" si="72"/>
        <v>0</v>
      </c>
      <c r="Z249">
        <f t="shared" si="66"/>
        <v>0</v>
      </c>
      <c r="AA249">
        <f t="shared" si="67"/>
        <v>0</v>
      </c>
      <c r="AB249" s="94">
        <f t="shared" si="68"/>
        <v>0</v>
      </c>
      <c r="AC249">
        <f>AB249*D249*10000*VLOOKUP(A249,[1]kcal!$A$2:$C$49,3,FALSE)/1000000000000</f>
        <v>0</v>
      </c>
    </row>
    <row r="250" spans="1:29" x14ac:dyDescent="0.25">
      <c r="A250" s="171" t="str">
        <f t="shared" si="79"/>
        <v>Dybstrøelse</v>
      </c>
      <c r="B250" s="171" t="str">
        <f t="shared" si="80"/>
        <v>Husdyrgødning</v>
      </c>
      <c r="C250" s="171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1</v>
      </c>
      <c r="D250" s="171">
        <f t="shared" si="82"/>
        <v>0</v>
      </c>
      <c r="E250" s="171">
        <f t="shared" si="81"/>
        <v>2050</v>
      </c>
      <c r="F250" t="s">
        <v>24</v>
      </c>
      <c r="G250" s="94">
        <f>IF(F250="Vestdanmark",SUMIFS(IF(E250=År1,'Resultater - Vestdanmark'!H$3:H$504,IF(E250=År2,'Resultater - Vestdanmark'!I$3:I$504,'Resultater - Vestdanmark'!J$3:J$504)),'Resultater - Vestdanmark'!$F$3:$F$504,$A250,IF(E250=År1,'Resultater - Vestdanmark'!H$3:H$504,IF(E250=År2,'Resultater - Vestdanmark'!I$3:I$504,'Resultater - Vestdanmark'!J$3:J$504)),"&gt;0"),SUMIFS(IF(E250=År1,'Resultater - Østdanmark'!H$3:H$504,IF(E250=År2,'Resultater - Østdanmark'!I$3:I$504,'Resultater - Østdanmark'!J$3:J$504)),'Resultater - Østdanmark'!$F$3:$F$504,$A250,IF(E250=År1,'Resultater - Østdanmark'!H$3:H$504,IF(E250=År2,'Resultater - Østdanmark'!I$3:I$504,'Resultater - Østdanmark'!J$3:J$504)),"&gt;0"))</f>
        <v>55702.787923842719</v>
      </c>
      <c r="H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forbrug'!H$3,'Forbrug af biomasse'!$B$2:$B$425,$F250)</f>
        <v>0</v>
      </c>
      <c r="I250">
        <f>IF(F250="Vestdanmark",-IF(A250="Halm",SUMIFS(IF(E250=År1,'Resultater - Vestdanmark'!H$3:H$504,IF(E250=År2,'Resultater - Vestdanmark'!I$3:I$504,'Resultater - Vestdanmark'!J$3:J$504)),'Resultater - Vestdanmark'!$F$3:$F$504,$A250,'Resultater - Vestdanmark'!H$3:H$504,"&lt;0"),0),-IF(A250="Halm",SUMIFS(IF(E250=År1,'Resultater - Østdanmark'!H$3:H$504,IF(E250=År2,'Resultater - Østdanmark'!I$3:I$504,'Resultater - Østdanmark'!J$3:J$504)),'Resultater - Østdanmark'!$F$3:$F$504,$A250,'Resultater - Østdanmark'!H$3:H$504,"&lt;0"),0))</f>
        <v>0</v>
      </c>
      <c r="J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forbrug'!J$3,'Forbrug af biomasse'!$B$2:$B$425,$F250)</f>
        <v>0</v>
      </c>
      <c r="K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forbrug'!K$3,'Forbrug af biomasse'!$B$2:$B$425,$F250)</f>
        <v>50132.50913145845</v>
      </c>
      <c r="L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forbrug'!L$3,'Forbrug af biomasse'!$B$2:$B$425,$F250)</f>
        <v>2108.7483999740452</v>
      </c>
      <c r="M250" s="94">
        <f>IF(A250&lt;&gt;"Biogas",SUMIFS('Forbrug af biomasse'!$E$2:$E$425,'Forbrug af biomasse'!$C$2:$C$425,'Resultat-Produktion &amp; forbrug'!$A250,'Forbrug af biomasse'!$D$2:$D$425,'Resultat-Produktion &amp; forbrug'!$E250,'Forbrug af biomasse'!$A$2:$A$425,'Resultat-Produktion &amp; forbrug'!M$3,'Forbrug af biomasse'!$B$2:$B$425,$F250),G250)</f>
        <v>0</v>
      </c>
      <c r="N250" s="94">
        <f>SUMIFS('Forbrug af biomasse'!E:E,'Forbrug af biomasse'!C:C,'Resultat-Produktion &amp; forbrug'!$A250,'Forbrug af biomasse'!D:D,'Resultat-Produktion &amp; forbrug'!$E250,'Forbrug af biomasse'!G:G,1,'Forbrug af biomasse'!B:B,$F250)</f>
        <v>0</v>
      </c>
      <c r="O250" s="179">
        <f t="shared" si="69"/>
        <v>3461.5303924102263</v>
      </c>
      <c r="P250" s="94">
        <f t="shared" si="65"/>
        <v>3461.5303924102263</v>
      </c>
      <c r="Q250" s="180">
        <f t="shared" si="70"/>
        <v>50132.50913145845</v>
      </c>
      <c r="R250">
        <f>IFERROR(VLOOKUP(A250,[1]Energiindhold!$A$2:$C$11,3,FALSE),IFERROR(VLOOKUP(A250,[1]Biogasudbytte!$A$2:$B$18,2,FALSE)*[1]Energiindhold!$C$10,0))*P250</f>
        <v>7.4561364652516275E-3</v>
      </c>
      <c r="S250">
        <f>IF(A250&lt;&gt;"Biogas",IFERROR(VLOOKUP(A250,[1]Biogasudbytte!$A$2:$B$18,2,FALSE)*[1]Energiindhold!$C$10,0)*K250*IFERROR(VLOOKUP(A250,Biogasanlæg!$F$3:$G$8,2,FALSE),1)+IFERROR(VLOOKUP(A250,[1]Energiindhold!$A$2:$C$11,3,FALSE),0)*M250+IF(E250&lt;&gt;År1,R250,0),0)</f>
        <v>0.11544156113441313</v>
      </c>
      <c r="T250">
        <f>IFERROR(VLOOKUP(A250,[1]Biogasudbytte!$A$2:$B$18,2,FALSE)*[1]Energiindhold!$C$10,0)*K250*IFERROR(VLOOKUP(A250,Biogasanlæg!$F$3:$G$8,2,FALSE),1)</f>
        <v>0.1079854246691615</v>
      </c>
      <c r="U250" s="170">
        <f t="shared" si="71"/>
        <v>7.456136465251631E-3</v>
      </c>
      <c r="V250" s="169">
        <f>P250*IFERROR(VLOOKUP(A250,[1]Tørstofindhold!A$2:B$24,2,FALSE),0)</f>
        <v>1038.4591177230679</v>
      </c>
      <c r="W250">
        <f>IF(E250=År1,Q250,SUM(P250,Q250))*IFERROR(VLOOKUP(A250,[1]Tørstofindhold!A$2:B$24,2,FALSE),0)</f>
        <v>16078.211857160602</v>
      </c>
      <c r="X250">
        <f>K250*IFERROR(VLOOKUP(A250,[1]Tørstofindhold!A$2:B$24,2,FALSE),0)</f>
        <v>15039.752739437534</v>
      </c>
      <c r="Y250" s="170">
        <f t="shared" si="72"/>
        <v>1038.4591177230686</v>
      </c>
      <c r="Z250">
        <f t="shared" si="66"/>
        <v>0</v>
      </c>
      <c r="AA250">
        <f t="shared" si="67"/>
        <v>1</v>
      </c>
      <c r="AB250" s="94">
        <f t="shared" si="68"/>
        <v>3461.5303924102263</v>
      </c>
      <c r="AC250">
        <f>AB250*D250*10000*VLOOKUP(A250,[1]kcal!$A$2:$C$49,3,FALSE)/1000000000000</f>
        <v>0</v>
      </c>
    </row>
    <row r="251" spans="1:29" x14ac:dyDescent="0.25">
      <c r="A251" s="171" t="str">
        <f t="shared" si="79"/>
        <v>Fiberfraktion</v>
      </c>
      <c r="B251" s="171" t="str">
        <f t="shared" si="80"/>
        <v/>
      </c>
      <c r="C251" s="171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0</v>
      </c>
      <c r="D251" s="171">
        <f t="shared" si="82"/>
        <v>0</v>
      </c>
      <c r="E251" s="171">
        <f t="shared" si="81"/>
        <v>2050</v>
      </c>
      <c r="F251" t="s">
        <v>24</v>
      </c>
      <c r="G251" s="94">
        <f>IF(F251="Vestdanmark",SUMIFS(IF(E251=År1,'Resultater - Vestdanmark'!H$3:H$504,IF(E251=År2,'Resultater - Vestdanmark'!I$3:I$504,'Resultater - Vestdanmark'!J$3:J$504)),'Resultater - Vestdanmark'!$F$3:$F$504,$A251,IF(E251=År1,'Resultater - Vestdanmark'!H$3:H$504,IF(E251=År2,'Resultater - Vestdanmark'!I$3:I$504,'Resultater - Vestdanmark'!J$3:J$504)),"&gt;0"),SUMIFS(IF(E251=År1,'Resultater - Østdanmark'!H$3:H$504,IF(E251=År2,'Resultater - Østdanmark'!I$3:I$504,'Resultater - Østdanmark'!J$3:J$504)),'Resultater - Østdanmark'!$F$3:$F$504,$A251,IF(E251=År1,'Resultater - Østdanmark'!H$3:H$504,IF(E251=År2,'Resultater - Østdanmark'!I$3:I$504,'Resultater - Østdanmark'!J$3:J$504)),"&gt;0"))</f>
        <v>0</v>
      </c>
      <c r="H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forbrug'!H$3,'Forbrug af biomasse'!$B$2:$B$425,$F251)</f>
        <v>0</v>
      </c>
      <c r="I251">
        <f>IF(F251="Vestdanmark",-IF(A251="Halm",SUMIFS(IF(E251=År1,'Resultater - Vestdanmark'!H$3:H$504,IF(E251=År2,'Resultater - Vestdanmark'!I$3:I$504,'Resultater - Vestdanmark'!J$3:J$504)),'Resultater - Vestdanmark'!$F$3:$F$504,$A251,'Resultater - Vestdanmark'!H$3:H$504,"&lt;0"),0),-IF(A251="Halm",SUMIFS(IF(E251=År1,'Resultater - Østdanmark'!H$3:H$504,IF(E251=År2,'Resultater - Østdanmark'!I$3:I$504,'Resultater - Østdanmark'!J$3:J$504)),'Resultater - Østdanmark'!$F$3:$F$504,$A251,'Resultater - Østdanmark'!H$3:H$504,"&lt;0"),0))</f>
        <v>0</v>
      </c>
      <c r="J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forbrug'!J$3,'Forbrug af biomasse'!$B$2:$B$425,$F251)</f>
        <v>0</v>
      </c>
      <c r="K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forbrug'!K$3,'Forbrug af biomasse'!$B$2:$B$425,$F251)</f>
        <v>0</v>
      </c>
      <c r="L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forbrug'!L$3,'Forbrug af biomasse'!$B$2:$B$425,$F251)</f>
        <v>0</v>
      </c>
      <c r="M251" s="94">
        <f>IF(A251&lt;&gt;"Biogas",SUMIFS('Forbrug af biomasse'!$E$2:$E$425,'Forbrug af biomasse'!$C$2:$C$425,'Resultat-Produktion &amp; forbrug'!$A251,'Forbrug af biomasse'!$D$2:$D$425,'Resultat-Produktion &amp; forbrug'!$E251,'Forbrug af biomasse'!$A$2:$A$425,'Resultat-Produktion &amp; forbrug'!M$3,'Forbrug af biomasse'!$B$2:$B$425,$F251),G251)</f>
        <v>0</v>
      </c>
      <c r="N251" s="94">
        <f>SUMIFS('Forbrug af biomasse'!E:E,'Forbrug af biomasse'!C:C,'Resultat-Produktion &amp; forbrug'!$A251,'Forbrug af biomasse'!D:D,'Resultat-Produktion &amp; forbrug'!$E251,'Forbrug af biomasse'!G:G,1,'Forbrug af biomasse'!B:B,$F251)</f>
        <v>0</v>
      </c>
      <c r="O251" s="179">
        <f t="shared" si="69"/>
        <v>0</v>
      </c>
      <c r="P251" s="94">
        <f t="shared" si="65"/>
        <v>0</v>
      </c>
      <c r="Q251" s="180">
        <f t="shared" si="70"/>
        <v>0</v>
      </c>
      <c r="R251">
        <f>IFERROR(VLOOKUP(A251,[1]Energiindhold!$A$2:$C$11,3,FALSE),IFERROR(VLOOKUP(A251,[1]Biogasudbytte!$A$2:$B$18,2,FALSE)*[1]Energiindhold!$C$10,0))*P251</f>
        <v>0</v>
      </c>
      <c r="S251">
        <f>IF(A251&lt;&gt;"Biogas",IFERROR(VLOOKUP(A251,[1]Biogasudbytte!$A$2:$B$18,2,FALSE)*[1]Energiindhold!$C$10,0)*K251*IFERROR(VLOOKUP(A251,Biogasanlæg!$F$3:$G$8,2,FALSE),1)+IFERROR(VLOOKUP(A251,[1]Energiindhold!$A$2:$C$11,3,FALSE),0)*M251+IF(E251&lt;&gt;År1,R251,0),0)</f>
        <v>0</v>
      </c>
      <c r="T251">
        <f>IFERROR(VLOOKUP(A251,[1]Biogasudbytte!$A$2:$B$18,2,FALSE)*[1]Energiindhold!$C$10,0)*K251*IFERROR(VLOOKUP(A251,Biogasanlæg!$F$3:$G$8,2,FALSE),1)</f>
        <v>0</v>
      </c>
      <c r="U251" s="170">
        <f t="shared" si="71"/>
        <v>0</v>
      </c>
      <c r="V251" s="169">
        <f>P251*IFERROR(VLOOKUP(A251,[1]Tørstofindhold!A$2:B$24,2,FALSE),0)</f>
        <v>0</v>
      </c>
      <c r="W251">
        <f>IF(E251=År1,Q251,SUM(P251,Q251))*IFERROR(VLOOKUP(A251,[1]Tørstofindhold!A$2:B$24,2,FALSE),0)</f>
        <v>0</v>
      </c>
      <c r="X251">
        <f>K251*IFERROR(VLOOKUP(A251,[1]Tørstofindhold!A$2:B$24,2,FALSE),0)</f>
        <v>0</v>
      </c>
      <c r="Y251" s="170">
        <f t="shared" si="72"/>
        <v>0</v>
      </c>
      <c r="Z251">
        <f t="shared" si="66"/>
        <v>0</v>
      </c>
      <c r="AA251">
        <f t="shared" si="67"/>
        <v>0</v>
      </c>
      <c r="AB251" s="94">
        <f t="shared" si="68"/>
        <v>0</v>
      </c>
      <c r="AC251">
        <f>AB251*D251*10000*VLOOKUP(A251,[1]kcal!$A$2:$C$49,3,FALSE)/1000000000000</f>
        <v>0</v>
      </c>
    </row>
    <row r="252" spans="1:29" x14ac:dyDescent="0.25">
      <c r="A252" s="171" t="str">
        <f t="shared" si="79"/>
        <v>Fjerkrægylle</v>
      </c>
      <c r="B252" s="171" t="str">
        <f t="shared" si="80"/>
        <v>Husdyrgødning</v>
      </c>
      <c r="C252" s="171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1</v>
      </c>
      <c r="D252" s="171">
        <f t="shared" si="82"/>
        <v>0</v>
      </c>
      <c r="E252" s="171">
        <f t="shared" si="81"/>
        <v>2050</v>
      </c>
      <c r="F252" t="s">
        <v>24</v>
      </c>
      <c r="G252" s="94">
        <f>IF(F252="Vestdanmark",SUMIFS(IF(E252=År1,'Resultater - Vestdanmark'!H$3:H$504,IF(E252=År2,'Resultater - Vestdanmark'!I$3:I$504,'Resultater - Vestdanmark'!J$3:J$504)),'Resultater - Vestdanmark'!$F$3:$F$504,$A252,IF(E252=År1,'Resultater - Vestdanmark'!H$3:H$504,IF(E252=År2,'Resultater - Vestdanmark'!I$3:I$504,'Resultater - Vestdanmark'!J$3:J$504)),"&gt;0"),SUMIFS(IF(E252=År1,'Resultater - Østdanmark'!H$3:H$504,IF(E252=År2,'Resultater - Østdanmark'!I$3:I$504,'Resultater - Østdanmark'!J$3:J$504)),'Resultater - Østdanmark'!$F$3:$F$504,$A252,IF(E252=År1,'Resultater - Østdanmark'!H$3:H$504,IF(E252=År2,'Resultater - Østdanmark'!I$3:I$504,'Resultater - Østdanmark'!J$3:J$504)),"&gt;0"))</f>
        <v>471.55151143904124</v>
      </c>
      <c r="H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forbrug'!H$3,'Forbrug af biomasse'!$B$2:$B$425,$F252)</f>
        <v>0</v>
      </c>
      <c r="I252">
        <f>IF(F252="Vestdanmark",-IF(A252="Halm",SUMIFS(IF(E252=År1,'Resultater - Vestdanmark'!H$3:H$504,IF(E252=År2,'Resultater - Vestdanmark'!I$3:I$504,'Resultater - Vestdanmark'!J$3:J$504)),'Resultater - Vestdanmark'!$F$3:$F$504,$A252,'Resultater - Vestdanmark'!H$3:H$504,"&lt;0"),0),-IF(A252="Halm",SUMIFS(IF(E252=År1,'Resultater - Østdanmark'!H$3:H$504,IF(E252=År2,'Resultater - Østdanmark'!I$3:I$504,'Resultater - Østdanmark'!J$3:J$504)),'Resultater - Østdanmark'!$F$3:$F$504,$A252,'Resultater - Østdanmark'!H$3:H$504,"&lt;0"),0))</f>
        <v>0</v>
      </c>
      <c r="J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forbrug'!J$3,'Forbrug af biomasse'!$B$2:$B$425,$F252)</f>
        <v>0</v>
      </c>
      <c r="K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forbrug'!K$3,'Forbrug af biomasse'!$B$2:$B$425,$F252)</f>
        <v>424.39636029513713</v>
      </c>
      <c r="L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forbrug'!L$3,'Forbrug af biomasse'!$B$2:$B$425,$F252)</f>
        <v>47.155151143904114</v>
      </c>
      <c r="M252" s="94">
        <f>IF(A252&lt;&gt;"Biogas",SUMIFS('Forbrug af biomasse'!$E$2:$E$425,'Forbrug af biomasse'!$C$2:$C$425,'Resultat-Produktion &amp; forbrug'!$A252,'Forbrug af biomasse'!$D$2:$D$425,'Resultat-Produktion &amp; forbrug'!$E252,'Forbrug af biomasse'!$A$2:$A$425,'Resultat-Produktion &amp; forbrug'!M$3,'Forbrug af biomasse'!$B$2:$B$425,$F252),G252)</f>
        <v>0</v>
      </c>
      <c r="N252" s="94">
        <f>SUMIFS('Forbrug af biomasse'!E:E,'Forbrug af biomasse'!C:C,'Resultat-Produktion &amp; forbrug'!$A252,'Forbrug af biomasse'!D:D,'Resultat-Produktion &amp; forbrug'!$E252,'Forbrug af biomasse'!G:G,1,'Forbrug af biomasse'!B:B,$F252)</f>
        <v>0</v>
      </c>
      <c r="O252" s="179">
        <f t="shared" si="69"/>
        <v>0</v>
      </c>
      <c r="P252" s="94">
        <f t="shared" si="65"/>
        <v>0</v>
      </c>
      <c r="Q252" s="180">
        <f t="shared" si="70"/>
        <v>424.39636029513713</v>
      </c>
      <c r="R252">
        <f>IFERROR(VLOOKUP(A252,[1]Energiindhold!$A$2:$C$11,3,FALSE),IFERROR(VLOOKUP(A252,[1]Biogasudbytte!$A$2:$B$18,2,FALSE)*[1]Energiindhold!$C$10,0))*P252</f>
        <v>0</v>
      </c>
      <c r="S252">
        <f>IF(A252&lt;&gt;"Biogas",IFERROR(VLOOKUP(A252,[1]Biogasudbytte!$A$2:$B$18,2,FALSE)*[1]Energiindhold!$C$10,0)*K252*IFERROR(VLOOKUP(A252,Biogasanlæg!$F$3:$G$8,2,FALSE),1)+IFERROR(VLOOKUP(A252,[1]Energiindhold!$A$2:$C$11,3,FALSE),0)*M252+IF(E252&lt;&gt;År1,R252,0),0)</f>
        <v>1.9958936428320006E-4</v>
      </c>
      <c r="T252">
        <f>IFERROR(VLOOKUP(A252,[1]Biogasudbytte!$A$2:$B$18,2,FALSE)*[1]Energiindhold!$C$10,0)*K252*IFERROR(VLOOKUP(A252,Biogasanlæg!$F$3:$G$8,2,FALSE),1)</f>
        <v>1.9958936428320006E-4</v>
      </c>
      <c r="U252" s="170">
        <f t="shared" si="71"/>
        <v>0</v>
      </c>
      <c r="V252" s="169">
        <f>P252*IFERROR(VLOOKUP(A252,[1]Tørstofindhold!A$2:B$24,2,FALSE),0)</f>
        <v>0</v>
      </c>
      <c r="W252">
        <f>IF(E252=År1,Q252,SUM(P252,Q252))*IFERROR(VLOOKUP(A252,[1]Tørstofindhold!A$2:B$24,2,FALSE),0)</f>
        <v>26.736970698593641</v>
      </c>
      <c r="X252">
        <f>K252*IFERROR(VLOOKUP(A252,[1]Tørstofindhold!A$2:B$24,2,FALSE),0)</f>
        <v>26.736970698593641</v>
      </c>
      <c r="Y252" s="170">
        <f t="shared" si="72"/>
        <v>0</v>
      </c>
      <c r="Z252">
        <f t="shared" si="66"/>
        <v>0</v>
      </c>
      <c r="AA252">
        <f t="shared" si="67"/>
        <v>0</v>
      </c>
      <c r="AB252" s="94">
        <f t="shared" si="68"/>
        <v>0</v>
      </c>
      <c r="AC252">
        <f>AB252*D252*10000*VLOOKUP(A252,[1]kcal!$A$2:$C$49,3,FALSE)/1000000000000</f>
        <v>0</v>
      </c>
    </row>
    <row r="253" spans="1:29" x14ac:dyDescent="0.25">
      <c r="A253" s="171" t="str">
        <f t="shared" si="79"/>
        <v>Fjerkrækød</v>
      </c>
      <c r="B253" s="171" t="str">
        <f t="shared" si="80"/>
        <v/>
      </c>
      <c r="C253" s="171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71">
        <f t="shared" si="82"/>
        <v>1</v>
      </c>
      <c r="E253" s="171">
        <f t="shared" si="81"/>
        <v>2050</v>
      </c>
      <c r="F253" t="s">
        <v>24</v>
      </c>
      <c r="G253" s="94">
        <f>IF(F253="Vestdanmark",SUMIFS(IF(E253=År1,'Resultater - Vestdanmark'!H$3:H$504,IF(E253=År2,'Resultater - Vestdanmark'!I$3:I$504,'Resultater - Vestdanmark'!J$3:J$504)),'Resultater - Vestdanmark'!$F$3:$F$504,$A253,IF(E253=År1,'Resultater - Vestdanmark'!H$3:H$504,IF(E253=År2,'Resultater - Vestdanmark'!I$3:I$504,'Resultater - Vestdanmark'!J$3:J$504)),"&gt;0"),SUMIFS(IF(E253=År1,'Resultater - Østdanmark'!H$3:H$504,IF(E253=År2,'Resultater - Østdanmark'!I$3:I$504,'Resultater - Østdanmark'!J$3:J$504)),'Resultater - Østdanmark'!$F$3:$F$504,$A253,IF(E253=År1,'Resultater - Østdanmark'!H$3:H$504,IF(E253=År2,'Resultater - Østdanmark'!I$3:I$504,'Resultater - Østdanmark'!J$3:J$504)),"&gt;0"))</f>
        <v>503.71416194271836</v>
      </c>
      <c r="H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forbrug'!H$3,'Forbrug af biomasse'!$B$2:$B$425,$F253)</f>
        <v>0</v>
      </c>
      <c r="I253">
        <f>IF(F253="Vestdanmark",-IF(A253="Halm",SUMIFS(IF(E253=År1,'Resultater - Vestdanmark'!H$3:H$504,IF(E253=År2,'Resultater - Vestdanmark'!I$3:I$504,'Resultater - Vestdanmark'!J$3:J$504)),'Resultater - Vestdanmark'!$F$3:$F$504,$A253,'Resultater - Vestdanmark'!H$3:H$504,"&lt;0"),0),-IF(A253="Halm",SUMIFS(IF(E253=År1,'Resultater - Østdanmark'!H$3:H$504,IF(E253=År2,'Resultater - Østdanmark'!I$3:I$504,'Resultater - Østdanmark'!J$3:J$504)),'Resultater - Østdanmark'!$F$3:$F$504,$A253,'Resultater - Østdanmark'!H$3:H$504,"&lt;0"),0))</f>
        <v>0</v>
      </c>
      <c r="J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forbrug'!J$3,'Forbrug af biomasse'!$B$2:$B$425,$F253)</f>
        <v>31993.002188443785</v>
      </c>
      <c r="K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forbrug'!K$3,'Forbrug af biomasse'!$B$2:$B$425,$F253)</f>
        <v>0</v>
      </c>
      <c r="L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forbrug'!L$3,'Forbrug af biomasse'!$B$2:$B$425,$F253)</f>
        <v>0</v>
      </c>
      <c r="M253" s="94">
        <f>IF(A253&lt;&gt;"Biogas",SUMIFS('Forbrug af biomasse'!$E$2:$E$425,'Forbrug af biomasse'!$C$2:$C$425,'Resultat-Produktion &amp; forbrug'!$A253,'Forbrug af biomasse'!$D$2:$D$425,'Resultat-Produktion &amp; forbrug'!$E253,'Forbrug af biomasse'!$A$2:$A$425,'Resultat-Produktion &amp; forbrug'!M$3,'Forbrug af biomasse'!$B$2:$B$425,$F253),G253)</f>
        <v>0</v>
      </c>
      <c r="N253" s="94">
        <f>SUMIFS('Forbrug af biomasse'!E:E,'Forbrug af biomasse'!C:C,'Resultat-Produktion &amp; forbrug'!$A253,'Forbrug af biomasse'!D:D,'Resultat-Produktion &amp; forbrug'!$E253,'Forbrug af biomasse'!G:G,1,'Forbrug af biomasse'!B:B,$F253)</f>
        <v>0</v>
      </c>
      <c r="O253" s="179">
        <f t="shared" si="69"/>
        <v>-31489.288026501068</v>
      </c>
      <c r="P253" s="94">
        <f t="shared" si="65"/>
        <v>0</v>
      </c>
      <c r="Q253" s="180">
        <f t="shared" si="70"/>
        <v>0</v>
      </c>
      <c r="R253">
        <f>IFERROR(VLOOKUP(A253,[1]Energiindhold!$A$2:$C$11,3,FALSE),IFERROR(VLOOKUP(A253,[1]Biogasudbytte!$A$2:$B$18,2,FALSE)*[1]Energiindhold!$C$10,0))*P253</f>
        <v>0</v>
      </c>
      <c r="S253">
        <f>IF(A253&lt;&gt;"Biogas",IFERROR(VLOOKUP(A253,[1]Biogasudbytte!$A$2:$B$18,2,FALSE)*[1]Energiindhold!$C$10,0)*K253*IFERROR(VLOOKUP(A253,Biogasanlæg!$F$3:$G$8,2,FALSE),1)+IFERROR(VLOOKUP(A253,[1]Energiindhold!$A$2:$C$11,3,FALSE),0)*M253+IF(E253&lt;&gt;År1,R253,0),0)</f>
        <v>0</v>
      </c>
      <c r="T253">
        <f>IFERROR(VLOOKUP(A253,[1]Biogasudbytte!$A$2:$B$18,2,FALSE)*[1]Energiindhold!$C$10,0)*K253*IFERROR(VLOOKUP(A253,Biogasanlæg!$F$3:$G$8,2,FALSE),1)</f>
        <v>0</v>
      </c>
      <c r="U253" s="170">
        <f t="shared" si="71"/>
        <v>0</v>
      </c>
      <c r="V253" s="169">
        <f>P253*IFERROR(VLOOKUP(A253,[1]Tørstofindhold!A$2:B$24,2,FALSE),0)</f>
        <v>0</v>
      </c>
      <c r="W253">
        <f>IF(E253=År1,Q253,SUM(P253,Q253))*IFERROR(VLOOKUP(A253,[1]Tørstofindhold!A$2:B$24,2,FALSE),0)</f>
        <v>0</v>
      </c>
      <c r="X253">
        <f>K253*IFERROR(VLOOKUP(A253,[1]Tørstofindhold!A$2:B$24,2,FALSE),0)</f>
        <v>0</v>
      </c>
      <c r="Y253" s="170">
        <f t="shared" si="72"/>
        <v>0</v>
      </c>
      <c r="Z253">
        <f t="shared" si="66"/>
        <v>1</v>
      </c>
      <c r="AA253">
        <f t="shared" si="67"/>
        <v>0</v>
      </c>
      <c r="AB253" s="94">
        <f t="shared" si="68"/>
        <v>503.71416194271836</v>
      </c>
      <c r="AC253">
        <f>AB253*D253*10000*VLOOKUP(A253,[1]kcal!$A$2:$C$49,3,FALSE)/1000000000000</f>
        <v>7.656455261529319E-4</v>
      </c>
    </row>
    <row r="254" spans="1:29" x14ac:dyDescent="0.25">
      <c r="A254" s="171" t="str">
        <f t="shared" si="79"/>
        <v>Frø</v>
      </c>
      <c r="B254" s="171" t="str">
        <f t="shared" si="80"/>
        <v/>
      </c>
      <c r="C254" s="171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71">
        <f t="shared" si="82"/>
        <v>0</v>
      </c>
      <c r="E254" s="171">
        <f t="shared" si="81"/>
        <v>2050</v>
      </c>
      <c r="F254" t="s">
        <v>24</v>
      </c>
      <c r="G254" s="94">
        <f>IF(F254="Vestdanmark",SUMIFS(IF(E254=År1,'Resultater - Vestdanmark'!H$3:H$504,IF(E254=År2,'Resultater - Vestdanmark'!I$3:I$504,'Resultater - Vestdanmark'!J$3:J$504)),'Resultater - Vestdanmark'!$F$3:$F$504,$A254,IF(E254=År1,'Resultater - Vestdanmark'!H$3:H$504,IF(E254=År2,'Resultater - Vestdanmark'!I$3:I$504,'Resultater - Vestdanmark'!J$3:J$504)),"&gt;0"),SUMIFS(IF(E254=År1,'Resultater - Østdanmark'!H$3:H$504,IF(E254=År2,'Resultater - Østdanmark'!I$3:I$504,'Resultater - Østdanmark'!J$3:J$504)),'Resultater - Østdanmark'!$F$3:$F$504,$A254,IF(E254=År1,'Resultater - Østdanmark'!H$3:H$504,IF(E254=År2,'Resultater - Østdanmark'!I$3:I$504,'Resultater - Østdanmark'!J$3:J$504)),"&gt;0"))</f>
        <v>2414.435527469192</v>
      </c>
      <c r="H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forbrug'!H$3,'Forbrug af biomasse'!$B$2:$B$425,$F254)</f>
        <v>0</v>
      </c>
      <c r="I254">
        <f>IF(F254="Vestdanmark",-IF(A254="Halm",SUMIFS(IF(E254=År1,'Resultater - Vestdanmark'!H$3:H$504,IF(E254=År2,'Resultater - Vestdanmark'!I$3:I$504,'Resultater - Vestdanmark'!J$3:J$504)),'Resultater - Vestdanmark'!$F$3:$F$504,$A254,'Resultater - Vestdanmark'!H$3:H$504,"&lt;0"),0),-IF(A254="Halm",SUMIFS(IF(E254=År1,'Resultater - Østdanmark'!H$3:H$504,IF(E254=År2,'Resultater - Østdanmark'!I$3:I$504,'Resultater - Østdanmark'!J$3:J$504)),'Resultater - Østdanmark'!$F$3:$F$504,$A254,'Resultater - Østdanmark'!H$3:H$504,"&lt;0"),0))</f>
        <v>0</v>
      </c>
      <c r="J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forbrug'!J$3,'Forbrug af biomasse'!$B$2:$B$425,$F254)</f>
        <v>0</v>
      </c>
      <c r="K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forbrug'!K$3,'Forbrug af biomasse'!$B$2:$B$425,$F254)</f>
        <v>0</v>
      </c>
      <c r="L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forbrug'!L$3,'Forbrug af biomasse'!$B$2:$B$425,$F254)</f>
        <v>0</v>
      </c>
      <c r="M254" s="94">
        <f>IF(A254&lt;&gt;"Biogas",SUMIFS('Forbrug af biomasse'!$E$2:$E$425,'Forbrug af biomasse'!$C$2:$C$425,'Resultat-Produktion &amp; forbrug'!$A254,'Forbrug af biomasse'!$D$2:$D$425,'Resultat-Produktion &amp; forbrug'!$E254,'Forbrug af biomasse'!$A$2:$A$425,'Resultat-Produktion &amp; forbrug'!M$3,'Forbrug af biomasse'!$B$2:$B$425,$F254),G254)</f>
        <v>0</v>
      </c>
      <c r="N254" s="94">
        <f>SUMIFS('Forbrug af biomasse'!E:E,'Forbrug af biomasse'!C:C,'Resultat-Produktion &amp; forbrug'!$A254,'Forbrug af biomasse'!D:D,'Resultat-Produktion &amp; forbrug'!$E254,'Forbrug af biomasse'!G:G,1,'Forbrug af biomasse'!B:B,$F254)</f>
        <v>0</v>
      </c>
      <c r="O254" s="179">
        <f t="shared" si="69"/>
        <v>2414.435527469192</v>
      </c>
      <c r="P254" s="94">
        <f t="shared" si="65"/>
        <v>0</v>
      </c>
      <c r="Q254" s="180">
        <f t="shared" si="70"/>
        <v>0</v>
      </c>
      <c r="R254">
        <f>IFERROR(VLOOKUP(A254,[1]Energiindhold!$A$2:$C$11,3,FALSE),IFERROR(VLOOKUP(A254,[1]Biogasudbytte!$A$2:$B$18,2,FALSE)*[1]Energiindhold!$C$10,0))*P254</f>
        <v>0</v>
      </c>
      <c r="S254">
        <f>IF(A254&lt;&gt;"Biogas",IFERROR(VLOOKUP(A254,[1]Biogasudbytte!$A$2:$B$18,2,FALSE)*[1]Energiindhold!$C$10,0)*K254*IFERROR(VLOOKUP(A254,Biogasanlæg!$F$3:$G$8,2,FALSE),1)+IFERROR(VLOOKUP(A254,[1]Energiindhold!$A$2:$C$11,3,FALSE),0)*M254+IF(E254&lt;&gt;År1,R254,0),0)</f>
        <v>0</v>
      </c>
      <c r="T254">
        <f>IFERROR(VLOOKUP(A254,[1]Biogasudbytte!$A$2:$B$18,2,FALSE)*[1]Energiindhold!$C$10,0)*K254*IFERROR(VLOOKUP(A254,Biogasanlæg!$F$3:$G$8,2,FALSE),1)</f>
        <v>0</v>
      </c>
      <c r="U254" s="170">
        <f t="shared" si="71"/>
        <v>0</v>
      </c>
      <c r="V254" s="169">
        <f>P254*IFERROR(VLOOKUP(A254,[1]Tørstofindhold!A$2:B$24,2,FALSE),0)</f>
        <v>0</v>
      </c>
      <c r="W254">
        <f>IF(E254=År1,Q254,SUM(P254,Q254))*IFERROR(VLOOKUP(A254,[1]Tørstofindhold!A$2:B$24,2,FALSE),0)</f>
        <v>0</v>
      </c>
      <c r="X254">
        <f>K254*IFERROR(VLOOKUP(A254,[1]Tørstofindhold!A$2:B$24,2,FALSE),0)</f>
        <v>0</v>
      </c>
      <c r="Y254" s="170">
        <f t="shared" si="72"/>
        <v>0</v>
      </c>
      <c r="Z254">
        <f t="shared" si="66"/>
        <v>0</v>
      </c>
      <c r="AA254">
        <f t="shared" si="67"/>
        <v>1</v>
      </c>
      <c r="AB254" s="94">
        <f t="shared" si="68"/>
        <v>2414.435527469192</v>
      </c>
      <c r="AC254">
        <f>AB254*D254*10000*VLOOKUP(A254,[1]kcal!$A$2:$C$49,3,FALSE)/1000000000000</f>
        <v>0</v>
      </c>
    </row>
    <row r="255" spans="1:29" x14ac:dyDescent="0.25">
      <c r="A255" s="171" t="str">
        <f t="shared" si="79"/>
        <v>Frugt</v>
      </c>
      <c r="B255" s="171" t="str">
        <f t="shared" si="80"/>
        <v/>
      </c>
      <c r="C255" s="171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0</v>
      </c>
      <c r="D255" s="171">
        <f t="shared" si="82"/>
        <v>1</v>
      </c>
      <c r="E255" s="171">
        <f t="shared" si="81"/>
        <v>2050</v>
      </c>
      <c r="F255" t="s">
        <v>24</v>
      </c>
      <c r="G255" s="94">
        <f>IF(F255="Vestdanmark",SUMIFS(IF(E255=År1,'Resultater - Vestdanmark'!H$3:H$504,IF(E255=År2,'Resultater - Vestdanmark'!I$3:I$504,'Resultater - Vestdanmark'!J$3:J$504)),'Resultater - Vestdanmark'!$F$3:$F$504,$A255,IF(E255=År1,'Resultater - Vestdanmark'!H$3:H$504,IF(E255=År2,'Resultater - Vestdanmark'!I$3:I$504,'Resultater - Vestdanmark'!J$3:J$504)),"&gt;0"),SUMIFS(IF(E255=År1,'Resultater - Østdanmark'!H$3:H$504,IF(E255=År2,'Resultater - Østdanmark'!I$3:I$504,'Resultater - Østdanmark'!J$3:J$504)),'Resultater - Østdanmark'!$F$3:$F$504,$A255,IF(E255=År1,'Resultater - Østdanmark'!H$3:H$504,IF(E255=År2,'Resultater - Østdanmark'!I$3:I$504,'Resultater - Østdanmark'!J$3:J$504)),"&gt;0"))</f>
        <v>561970.05809562234</v>
      </c>
      <c r="H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forbrug'!H$3,'Forbrug af biomasse'!$B$2:$B$425,$F255)</f>
        <v>0</v>
      </c>
      <c r="I255">
        <f>IF(F255="Vestdanmark",-IF(A255="Halm",SUMIFS(IF(E255=År1,'Resultater - Vestdanmark'!H$3:H$504,IF(E255=År2,'Resultater - Vestdanmark'!I$3:I$504,'Resultater - Vestdanmark'!J$3:J$504)),'Resultater - Vestdanmark'!$F$3:$F$504,$A255,'Resultater - Vestdanmark'!H$3:H$504,"&lt;0"),0),-IF(A255="Halm",SUMIFS(IF(E255=År1,'Resultater - Østdanmark'!H$3:H$504,IF(E255=År2,'Resultater - Østdanmark'!I$3:I$504,'Resultater - Østdanmark'!J$3:J$504)),'Resultater - Østdanmark'!$F$3:$F$504,$A255,'Resultater - Østdanmark'!H$3:H$504,"&lt;0"),0))</f>
        <v>0</v>
      </c>
      <c r="J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forbrug'!J$3,'Forbrug af biomasse'!$B$2:$B$425,$F255)</f>
        <v>233795.01599247381</v>
      </c>
      <c r="K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forbrug'!K$3,'Forbrug af biomasse'!$B$2:$B$425,$F255)</f>
        <v>0</v>
      </c>
      <c r="L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forbrug'!L$3,'Forbrug af biomasse'!$B$2:$B$425,$F255)</f>
        <v>0</v>
      </c>
      <c r="M255" s="94">
        <f>IF(A255&lt;&gt;"Biogas",SUMIFS('Forbrug af biomasse'!$E$2:$E$425,'Forbrug af biomasse'!$C$2:$C$425,'Resultat-Produktion &amp; forbrug'!$A255,'Forbrug af biomasse'!$D$2:$D$425,'Resultat-Produktion &amp; forbrug'!$E255,'Forbrug af biomasse'!$A$2:$A$425,'Resultat-Produktion &amp; forbrug'!M$3,'Forbrug af biomasse'!$B$2:$B$425,$F255),G255)</f>
        <v>0</v>
      </c>
      <c r="N255" s="94">
        <f>SUMIFS('Forbrug af biomasse'!E:E,'Forbrug af biomasse'!C:C,'Resultat-Produktion &amp; forbrug'!$A255,'Forbrug af biomasse'!D:D,'Resultat-Produktion &amp; forbrug'!$E255,'Forbrug af biomasse'!G:G,1,'Forbrug af biomasse'!B:B,$F255)</f>
        <v>0</v>
      </c>
      <c r="O255" s="179">
        <f t="shared" si="69"/>
        <v>328175.04210314853</v>
      </c>
      <c r="P255" s="94">
        <f t="shared" si="65"/>
        <v>0</v>
      </c>
      <c r="Q255" s="180">
        <f t="shared" si="70"/>
        <v>0</v>
      </c>
      <c r="R255">
        <f>IFERROR(VLOOKUP(A255,[1]Energiindhold!$A$2:$C$11,3,FALSE),IFERROR(VLOOKUP(A255,[1]Biogasudbytte!$A$2:$B$18,2,FALSE)*[1]Energiindhold!$C$10,0))*P255</f>
        <v>0</v>
      </c>
      <c r="S255">
        <f>IF(A255&lt;&gt;"Biogas",IFERROR(VLOOKUP(A255,[1]Biogasudbytte!$A$2:$B$18,2,FALSE)*[1]Energiindhold!$C$10,0)*K255*IFERROR(VLOOKUP(A255,Biogasanlæg!$F$3:$G$8,2,FALSE),1)+IFERROR(VLOOKUP(A255,[1]Energiindhold!$A$2:$C$11,3,FALSE),0)*M255+IF(E255&lt;&gt;År1,R255,0),0)</f>
        <v>0</v>
      </c>
      <c r="T255">
        <f>IFERROR(VLOOKUP(A255,[1]Biogasudbytte!$A$2:$B$18,2,FALSE)*[1]Energiindhold!$C$10,0)*K255*IFERROR(VLOOKUP(A255,Biogasanlæg!$F$3:$G$8,2,FALSE),1)</f>
        <v>0</v>
      </c>
      <c r="U255" s="170">
        <f t="shared" si="71"/>
        <v>0</v>
      </c>
      <c r="V255" s="169">
        <f>P255*IFERROR(VLOOKUP(A255,[1]Tørstofindhold!A$2:B$24,2,FALSE),0)</f>
        <v>0</v>
      </c>
      <c r="W255">
        <f>IF(E255=År1,Q255,SUM(P255,Q255))*IFERROR(VLOOKUP(A255,[1]Tørstofindhold!A$2:B$24,2,FALSE),0)</f>
        <v>0</v>
      </c>
      <c r="X255">
        <f>K255*IFERROR(VLOOKUP(A255,[1]Tørstofindhold!A$2:B$24,2,FALSE),0)</f>
        <v>0</v>
      </c>
      <c r="Y255" s="170">
        <f t="shared" si="72"/>
        <v>0</v>
      </c>
      <c r="Z255">
        <f t="shared" si="66"/>
        <v>0</v>
      </c>
      <c r="AA255">
        <f t="shared" si="67"/>
        <v>1</v>
      </c>
      <c r="AB255" s="94">
        <f t="shared" si="68"/>
        <v>561970.05809562234</v>
      </c>
      <c r="AC255">
        <f>AB255*D255*10000*VLOOKUP(A255,[1]kcal!$A$2:$C$49,3,FALSE)/1000000000000</f>
        <v>0.29222443020972361</v>
      </c>
    </row>
    <row r="256" spans="1:29" x14ac:dyDescent="0.25">
      <c r="A256" s="171" t="str">
        <f t="shared" si="79"/>
        <v>Glycerin</v>
      </c>
      <c r="B256" s="171" t="str">
        <f t="shared" si="80"/>
        <v>Glycerin</v>
      </c>
      <c r="C256" s="171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71">
        <f t="shared" si="82"/>
        <v>0</v>
      </c>
      <c r="E256" s="171">
        <f t="shared" si="81"/>
        <v>2050</v>
      </c>
      <c r="F256" t="s">
        <v>24</v>
      </c>
      <c r="G256" s="94">
        <f>IF(F256="Vestdanmark",SUMIFS(IF(E256=År1,'Resultater - Vestdanmark'!H$3:H$504,IF(E256=År2,'Resultater - Vestdanmark'!I$3:I$504,'Resultater - Vestdanmark'!J$3:J$504)),'Resultater - Vestdanmark'!$F$3:$F$504,$A256,IF(E256=År1,'Resultater - Vestdanmark'!H$3:H$504,IF(E256=År2,'Resultater - Vestdanmark'!I$3:I$504,'Resultater - Vestdanmark'!J$3:J$504)),"&gt;0"),SUMIFS(IF(E256=År1,'Resultater - Østdanmark'!H$3:H$504,IF(E256=År2,'Resultater - Østdanmark'!I$3:I$504,'Resultater - Østdanmark'!J$3:J$504)),'Resultater - Østdanmark'!$F$3:$F$504,$A256,IF(E256=År1,'Resultater - Østdanmark'!H$3:H$504,IF(E256=År2,'Resultater - Østdanmark'!I$3:I$504,'Resultater - Østdanmark'!J$3:J$504)),"&gt;0"))</f>
        <v>0</v>
      </c>
      <c r="H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forbrug'!H$3,'Forbrug af biomasse'!$B$2:$B$425,$F256)</f>
        <v>0</v>
      </c>
      <c r="I256">
        <f>IF(F256="Vestdanmark",-IF(A256="Halm",SUMIFS(IF(E256=År1,'Resultater - Vestdanmark'!H$3:H$504,IF(E256=År2,'Resultater - Vestdanmark'!I$3:I$504,'Resultater - Vestdanmark'!J$3:J$504)),'Resultater - Vestdanmark'!$F$3:$F$504,$A256,'Resultater - Vestdanmark'!H$3:H$504,"&lt;0"),0),-IF(A256="Halm",SUMIFS(IF(E256=År1,'Resultater - Østdanmark'!H$3:H$504,IF(E256=År2,'Resultater - Østdanmark'!I$3:I$504,'Resultater - Østdanmark'!J$3:J$504)),'Resultater - Østdanmark'!$F$3:$F$504,$A256,'Resultater - Østdanmark'!H$3:H$504,"&lt;0"),0))</f>
        <v>0</v>
      </c>
      <c r="J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forbrug'!J$3,'Forbrug af biomasse'!$B$2:$B$425,$F256)</f>
        <v>0</v>
      </c>
      <c r="K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forbrug'!K$3,'Forbrug af biomasse'!$B$2:$B$425,$F256)</f>
        <v>28548.400000000001</v>
      </c>
      <c r="L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forbrug'!L$3,'Forbrug af biomasse'!$B$2:$B$425,$F256)</f>
        <v>0</v>
      </c>
      <c r="M256" s="94">
        <f>IF(A256&lt;&gt;"Biogas",SUMIFS('Forbrug af biomasse'!$E$2:$E$425,'Forbrug af biomasse'!$C$2:$C$425,'Resultat-Produktion &amp; forbrug'!$A256,'Forbrug af biomasse'!$D$2:$D$425,'Resultat-Produktion &amp; forbrug'!$E256,'Forbrug af biomasse'!$A$2:$A$425,'Resultat-Produktion &amp; forbrug'!M$3,'Forbrug af biomasse'!$B$2:$B$425,$F256),G256)</f>
        <v>0</v>
      </c>
      <c r="N256" s="94">
        <f>SUMIFS('Forbrug af biomasse'!E:E,'Forbrug af biomasse'!C:C,'Resultat-Produktion &amp; forbrug'!$A256,'Forbrug af biomasse'!D:D,'Resultat-Produktion &amp; forbrug'!$E256,'Forbrug af biomasse'!G:G,1,'Forbrug af biomasse'!B:B,$F256)</f>
        <v>0</v>
      </c>
      <c r="O256" s="179">
        <f t="shared" si="69"/>
        <v>-28548.400000000001</v>
      </c>
      <c r="P256" s="94">
        <f t="shared" si="65"/>
        <v>0</v>
      </c>
      <c r="Q256" s="180">
        <f t="shared" si="70"/>
        <v>28548.400000000001</v>
      </c>
      <c r="R256">
        <f>IFERROR(VLOOKUP(A256,[1]Energiindhold!$A$2:$C$11,3,FALSE),IFERROR(VLOOKUP(A256,[1]Biogasudbytte!$A$2:$B$18,2,FALSE)*[1]Energiindhold!$C$10,0))*P256</f>
        <v>0</v>
      </c>
      <c r="S256">
        <f>IF(A256&lt;&gt;"Biogas",IFERROR(VLOOKUP(A256,[1]Biogasudbytte!$A$2:$B$18,2,FALSE)*[1]Energiindhold!$C$10,0)*K256*IFERROR(VLOOKUP(A256,Biogasanlæg!$F$3:$G$8,2,FALSE),1)+IFERROR(VLOOKUP(A256,[1]Energiindhold!$A$2:$C$11,3,FALSE),0)*M256+IF(E256&lt;&gt;År1,R256,0),0)</f>
        <v>0.43389639740160008</v>
      </c>
      <c r="T256">
        <f>IFERROR(VLOOKUP(A256,[1]Biogasudbytte!$A$2:$B$18,2,FALSE)*[1]Energiindhold!$C$10,0)*K256*IFERROR(VLOOKUP(A256,Biogasanlæg!$F$3:$G$8,2,FALSE),1)</f>
        <v>0.43389639740160008</v>
      </c>
      <c r="U256" s="170">
        <f t="shared" si="71"/>
        <v>0</v>
      </c>
      <c r="V256" s="169">
        <f>P256*IFERROR(VLOOKUP(A256,[1]Tørstofindhold!A$2:B$24,2,FALSE),0)</f>
        <v>0</v>
      </c>
      <c r="W256">
        <f>IF(E256=År1,Q256,SUM(P256,Q256))*IFERROR(VLOOKUP(A256,[1]Tørstofindhold!A$2:B$24,2,FALSE),0)</f>
        <v>25693.56</v>
      </c>
      <c r="X256">
        <f>K256*IFERROR(VLOOKUP(A256,[1]Tørstofindhold!A$2:B$24,2,FALSE),0)</f>
        <v>25693.56</v>
      </c>
      <c r="Y256" s="170">
        <f t="shared" si="72"/>
        <v>0</v>
      </c>
      <c r="Z256">
        <f t="shared" si="66"/>
        <v>1</v>
      </c>
      <c r="AA256">
        <f t="shared" si="67"/>
        <v>0</v>
      </c>
      <c r="AB256" s="94">
        <f t="shared" si="68"/>
        <v>-28548.400000000001</v>
      </c>
      <c r="AC256">
        <f>AB256*D256*10000*VLOOKUP(A256,[1]kcal!$A$2:$C$49,3,FALSE)/1000000000000</f>
        <v>0</v>
      </c>
    </row>
    <row r="257" spans="1:29" x14ac:dyDescent="0.25">
      <c r="A257" s="171" t="str">
        <f t="shared" si="79"/>
        <v>Græs</v>
      </c>
      <c r="B257" s="171" t="str">
        <f t="shared" si="80"/>
        <v>Græs og urter</v>
      </c>
      <c r="C257" s="171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1</v>
      </c>
      <c r="D257" s="171">
        <f t="shared" si="82"/>
        <v>0</v>
      </c>
      <c r="E257" s="171">
        <f t="shared" si="81"/>
        <v>2050</v>
      </c>
      <c r="F257" t="s">
        <v>24</v>
      </c>
      <c r="G257" s="94">
        <f>IF(F257="Vestdanmark",SUMIFS(IF(E257=År1,'Resultater - Vestdanmark'!H$3:H$504,IF(E257=År2,'Resultater - Vestdanmark'!I$3:I$504,'Resultater - Vestdanmark'!J$3:J$504)),'Resultater - Vestdanmark'!$F$3:$F$504,$A257,IF(E257=År1,'Resultater - Vestdanmark'!H$3:H$504,IF(E257=År2,'Resultater - Vestdanmark'!I$3:I$504,'Resultater - Vestdanmark'!J$3:J$504)),"&gt;0"),SUMIFS(IF(E257=År1,'Resultater - Østdanmark'!H$3:H$504,IF(E257=År2,'Resultater - Østdanmark'!I$3:I$504,'Resultater - Østdanmark'!J$3:J$504)),'Resultater - Østdanmark'!$F$3:$F$504,$A257,IF(E257=År1,'Resultater - Østdanmark'!H$3:H$504,IF(E257=År2,'Resultater - Østdanmark'!I$3:I$504,'Resultater - Østdanmark'!J$3:J$504)),"&gt;0"))</f>
        <v>8580695.4718173929</v>
      </c>
      <c r="H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forbrug'!H$3,'Forbrug af biomasse'!$B$2:$B$425,$F257)</f>
        <v>118774.59150176747</v>
      </c>
      <c r="I257">
        <f>IF(F257="Vestdanmark",-IF(A257="Halm",SUMIFS(IF(E257=År1,'Resultater - Vestdanmark'!H$3:H$504,IF(E257=År2,'Resultater - Vestdanmark'!I$3:I$504,'Resultater - Vestdanmark'!J$3:J$504)),'Resultater - Vestdanmark'!$F$3:$F$504,$A257,'Resultater - Vestdanmark'!H$3:H$504,"&lt;0"),0),-IF(A257="Halm",SUMIFS(IF(E257=År1,'Resultater - Østdanmark'!H$3:H$504,IF(E257=År2,'Resultater - Østdanmark'!I$3:I$504,'Resultater - Østdanmark'!J$3:J$504)),'Resultater - Østdanmark'!$F$3:$F$504,$A257,'Resultater - Østdanmark'!H$3:H$504,"&lt;0"),0))</f>
        <v>0</v>
      </c>
      <c r="J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forbrug'!J$3,'Forbrug af biomasse'!$B$2:$B$425,$F257)</f>
        <v>0</v>
      </c>
      <c r="K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forbrug'!K$3,'Forbrug af biomasse'!$B$2:$B$425,$F257)</f>
        <v>0</v>
      </c>
      <c r="L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forbrug'!L$3,'Forbrug af biomasse'!$B$2:$B$425,$F257)</f>
        <v>0</v>
      </c>
      <c r="M257" s="94">
        <f>IF(A257&lt;&gt;"Biogas",SUMIFS('Forbrug af biomasse'!$E$2:$E$425,'Forbrug af biomasse'!$C$2:$C$425,'Resultat-Produktion &amp; forbrug'!$A257,'Forbrug af biomasse'!$D$2:$D$425,'Resultat-Produktion &amp; forbrug'!$E257,'Forbrug af biomasse'!$A$2:$A$425,'Resultat-Produktion &amp; forbrug'!M$3,'Forbrug af biomasse'!$B$2:$B$425,$F257),G257)</f>
        <v>0</v>
      </c>
      <c r="N257" s="94">
        <f>SUMIFS('Forbrug af biomasse'!E:E,'Forbrug af biomasse'!C:C,'Resultat-Produktion &amp; forbrug'!$A257,'Forbrug af biomasse'!D:D,'Resultat-Produktion &amp; forbrug'!$E257,'Forbrug af biomasse'!G:G,1,'Forbrug af biomasse'!B:B,$F257)</f>
        <v>0</v>
      </c>
      <c r="O257" s="179">
        <f t="shared" si="69"/>
        <v>8461920.880315626</v>
      </c>
      <c r="P257" s="94">
        <f t="shared" si="65"/>
        <v>8461920.880315626</v>
      </c>
      <c r="Q257" s="180">
        <f t="shared" si="70"/>
        <v>0</v>
      </c>
      <c r="R257">
        <f>IFERROR(VLOOKUP(A257,[1]Energiindhold!$A$2:$C$11,3,FALSE),IFERROR(VLOOKUP(A257,[1]Biogasudbytte!$A$2:$B$18,2,FALSE)*[1]Energiindhold!$C$10,0))*P257</f>
        <v>15.568876679670714</v>
      </c>
      <c r="S257">
        <f>IF(A257&lt;&gt;"Biogas",IFERROR(VLOOKUP(A257,[1]Biogasudbytte!$A$2:$B$18,2,FALSE)*[1]Energiindhold!$C$10,0)*K257*IFERROR(VLOOKUP(A257,Biogasanlæg!$F$3:$G$8,2,FALSE),1)+IFERROR(VLOOKUP(A257,[1]Energiindhold!$A$2:$C$11,3,FALSE),0)*M257+IF(E257&lt;&gt;År1,R257,0),0)</f>
        <v>15.568876679670714</v>
      </c>
      <c r="T257">
        <f>IFERROR(VLOOKUP(A257,[1]Biogasudbytte!$A$2:$B$18,2,FALSE)*[1]Energiindhold!$C$10,0)*K257*IFERROR(VLOOKUP(A257,Biogasanlæg!$F$3:$G$8,2,FALSE),1)</f>
        <v>0</v>
      </c>
      <c r="U257" s="170">
        <f t="shared" si="71"/>
        <v>15.568876679670714</v>
      </c>
      <c r="V257" s="169">
        <f>P257*IFERROR(VLOOKUP(A257,[1]Tørstofindhold!A$2:B$24,2,FALSE),0)</f>
        <v>2369337.8464883757</v>
      </c>
      <c r="W257">
        <f>IF(E257=År1,Q257,SUM(P257,Q257))*IFERROR(VLOOKUP(A257,[1]Tørstofindhold!A$2:B$24,2,FALSE),0)</f>
        <v>2369337.8464883757</v>
      </c>
      <c r="X257">
        <f>K257*IFERROR(VLOOKUP(A257,[1]Tørstofindhold!A$2:B$24,2,FALSE),0)</f>
        <v>0</v>
      </c>
      <c r="Y257" s="170">
        <f t="shared" si="72"/>
        <v>2369337.8464883757</v>
      </c>
      <c r="Z257">
        <f t="shared" si="66"/>
        <v>0</v>
      </c>
      <c r="AA257">
        <f t="shared" si="67"/>
        <v>1</v>
      </c>
      <c r="AB257" s="94">
        <f t="shared" si="68"/>
        <v>8461920.880315626</v>
      </c>
      <c r="AC257">
        <f>AB257*D257*10000*VLOOKUP(A257,[1]kcal!$A$2:$C$49,3,FALSE)/1000000000000</f>
        <v>0</v>
      </c>
    </row>
    <row r="258" spans="1:29" x14ac:dyDescent="0.25">
      <c r="A258" s="171" t="str">
        <f t="shared" si="79"/>
        <v>Græsprotein</v>
      </c>
      <c r="B258" s="171" t="str">
        <f t="shared" si="80"/>
        <v/>
      </c>
      <c r="C258" s="171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71">
        <f t="shared" si="82"/>
        <v>0</v>
      </c>
      <c r="E258" s="171">
        <f t="shared" si="81"/>
        <v>2050</v>
      </c>
      <c r="F258" t="s">
        <v>24</v>
      </c>
      <c r="G258" s="94">
        <f>IF(F258="Vestdanmark",SUMIFS(IF(E258=År1,'Resultater - Vestdanmark'!H$3:H$504,IF(E258=År2,'Resultater - Vestdanmark'!I$3:I$504,'Resultater - Vestdanmark'!J$3:J$504)),'Resultater - Vestdanmark'!$F$3:$F$504,$A258,IF(E258=År1,'Resultater - Vestdanmark'!H$3:H$504,IF(E258=År2,'Resultater - Vestdanmark'!I$3:I$504,'Resultater - Vestdanmark'!J$3:J$504)),"&gt;0"),SUMIFS(IF(E258=År1,'Resultater - Østdanmark'!H$3:H$504,IF(E258=År2,'Resultater - Østdanmark'!I$3:I$504,'Resultater - Østdanmark'!J$3:J$504)),'Resultater - Østdanmark'!$F$3:$F$504,$A258,IF(E258=År1,'Resultater - Østdanmark'!H$3:H$504,IF(E258=År2,'Resultater - Østdanmark'!I$3:I$504,'Resultater - Østdanmark'!J$3:J$504)),"&gt;0"))</f>
        <v>0</v>
      </c>
      <c r="H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forbrug'!H$3,'Forbrug af biomasse'!$B$2:$B$425,$F258)</f>
        <v>0</v>
      </c>
      <c r="I258">
        <f>IF(F258="Vestdanmark",-IF(A258="Halm",SUMIFS(IF(E258=År1,'Resultater - Vestdanmark'!H$3:H$504,IF(E258=År2,'Resultater - Vestdanmark'!I$3:I$504,'Resultater - Vestdanmark'!J$3:J$504)),'Resultater - Vestdanmark'!$F$3:$F$504,$A258,'Resultater - Vestdanmark'!H$3:H$504,"&lt;0"),0),-IF(A258="Halm",SUMIFS(IF(E258=År1,'Resultater - Østdanmark'!H$3:H$504,IF(E258=År2,'Resultater - Østdanmark'!I$3:I$504,'Resultater - Østdanmark'!J$3:J$504)),'Resultater - Østdanmark'!$F$3:$F$504,$A258,'Resultater - Østdanmark'!H$3:H$504,"&lt;0"),0))</f>
        <v>0</v>
      </c>
      <c r="J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forbrug'!J$3,'Forbrug af biomasse'!$B$2:$B$425,$F258)</f>
        <v>0</v>
      </c>
      <c r="K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forbrug'!K$3,'Forbrug af biomasse'!$B$2:$B$425,$F258)</f>
        <v>0</v>
      </c>
      <c r="L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forbrug'!L$3,'Forbrug af biomasse'!$B$2:$B$425,$F258)</f>
        <v>0</v>
      </c>
      <c r="M258" s="94">
        <f>IF(A258&lt;&gt;"Biogas",SUMIFS('Forbrug af biomasse'!$E$2:$E$425,'Forbrug af biomasse'!$C$2:$C$425,'Resultat-Produktion &amp; forbrug'!$A258,'Forbrug af biomasse'!$D$2:$D$425,'Resultat-Produktion &amp; forbrug'!$E258,'Forbrug af biomasse'!$A$2:$A$425,'Resultat-Produktion &amp; forbrug'!M$3,'Forbrug af biomasse'!$B$2:$B$425,$F258),G258)</f>
        <v>0</v>
      </c>
      <c r="N258" s="94">
        <f>SUMIFS('Forbrug af biomasse'!E:E,'Forbrug af biomasse'!C:C,'Resultat-Produktion &amp; forbrug'!$A258,'Forbrug af biomasse'!D:D,'Resultat-Produktion &amp; forbrug'!$E258,'Forbrug af biomasse'!G:G,1,'Forbrug af biomasse'!B:B,$F258)</f>
        <v>0</v>
      </c>
      <c r="O258" s="179">
        <f t="shared" si="69"/>
        <v>0</v>
      </c>
      <c r="P258" s="94">
        <f t="shared" si="65"/>
        <v>0</v>
      </c>
      <c r="Q258" s="180">
        <f t="shared" si="70"/>
        <v>0</v>
      </c>
      <c r="R258">
        <f>IFERROR(VLOOKUP(A258,[1]Energiindhold!$A$2:$C$11,3,FALSE),IFERROR(VLOOKUP(A258,[1]Biogasudbytte!$A$2:$B$18,2,FALSE)*[1]Energiindhold!$C$10,0))*P258</f>
        <v>0</v>
      </c>
      <c r="S258">
        <f>IF(A258&lt;&gt;"Biogas",IFERROR(VLOOKUP(A258,[1]Biogasudbytte!$A$2:$B$18,2,FALSE)*[1]Energiindhold!$C$10,0)*K258*IFERROR(VLOOKUP(A258,Biogasanlæg!$F$3:$G$8,2,FALSE),1)+IFERROR(VLOOKUP(A258,[1]Energiindhold!$A$2:$C$11,3,FALSE),0)*M258+IF(E258&lt;&gt;År1,R258,0),0)</f>
        <v>0</v>
      </c>
      <c r="T258">
        <f>IFERROR(VLOOKUP(A258,[1]Biogasudbytte!$A$2:$B$18,2,FALSE)*[1]Energiindhold!$C$10,0)*K258*IFERROR(VLOOKUP(A258,Biogasanlæg!$F$3:$G$8,2,FALSE),1)</f>
        <v>0</v>
      </c>
      <c r="U258" s="170">
        <f t="shared" si="71"/>
        <v>0</v>
      </c>
      <c r="V258" s="169">
        <f>P258*IFERROR(VLOOKUP(A258,[1]Tørstofindhold!A$2:B$24,2,FALSE),0)</f>
        <v>0</v>
      </c>
      <c r="W258">
        <f>IF(E258=År1,Q258,SUM(P258,Q258))*IFERROR(VLOOKUP(A258,[1]Tørstofindhold!A$2:B$24,2,FALSE),0)</f>
        <v>0</v>
      </c>
      <c r="X258">
        <f>K258*IFERROR(VLOOKUP(A258,[1]Tørstofindhold!A$2:B$24,2,FALSE),0)</f>
        <v>0</v>
      </c>
      <c r="Y258" s="170">
        <f t="shared" si="72"/>
        <v>0</v>
      </c>
      <c r="Z258">
        <f t="shared" si="66"/>
        <v>0</v>
      </c>
      <c r="AA258">
        <f t="shared" si="67"/>
        <v>0</v>
      </c>
      <c r="AB258" s="94">
        <f t="shared" si="68"/>
        <v>0</v>
      </c>
      <c r="AC258">
        <f>AB258*D258*10000*VLOOKUP(A258,[1]kcal!$A$2:$C$49,3,FALSE)/1000000000000</f>
        <v>0</v>
      </c>
    </row>
    <row r="259" spans="1:29" x14ac:dyDescent="0.25">
      <c r="A259" s="171" t="str">
        <f t="shared" si="79"/>
        <v>Grøntsager</v>
      </c>
      <c r="B259" s="171" t="str">
        <f t="shared" si="80"/>
        <v/>
      </c>
      <c r="C259" s="171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0</v>
      </c>
      <c r="D259" s="171">
        <f t="shared" si="82"/>
        <v>1</v>
      </c>
      <c r="E259" s="171">
        <f t="shared" si="81"/>
        <v>2050</v>
      </c>
      <c r="F259" t="s">
        <v>24</v>
      </c>
      <c r="G259" s="94">
        <f>IF(F259="Vestdanmark",SUMIFS(IF(E259=År1,'Resultater - Vestdanmark'!H$3:H$504,IF(E259=År2,'Resultater - Vestdanmark'!I$3:I$504,'Resultater - Vestdanmark'!J$3:J$504)),'Resultater - Vestdanmark'!$F$3:$F$504,$A259,IF(E259=År1,'Resultater - Vestdanmark'!H$3:H$504,IF(E259=År2,'Resultater - Vestdanmark'!I$3:I$504,'Resultater - Vestdanmark'!J$3:J$504)),"&gt;0"),SUMIFS(IF(E259=År1,'Resultater - Østdanmark'!H$3:H$504,IF(E259=År2,'Resultater - Østdanmark'!I$3:I$504,'Resultater - Østdanmark'!J$3:J$504)),'Resultater - Østdanmark'!$F$3:$F$504,$A259,IF(E259=År1,'Resultater - Østdanmark'!H$3:H$504,IF(E259=År2,'Resultater - Østdanmark'!I$3:I$504,'Resultater - Østdanmark'!J$3:J$504)),"&gt;0"))</f>
        <v>1120623.182681245</v>
      </c>
      <c r="H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forbrug'!H$3,'Forbrug af biomasse'!$B$2:$B$425,$F259)</f>
        <v>0</v>
      </c>
      <c r="I259">
        <f>IF(F259="Vestdanmark",-IF(A259="Halm",SUMIFS(IF(E259=År1,'Resultater - Vestdanmark'!H$3:H$504,IF(E259=År2,'Resultater - Vestdanmark'!I$3:I$504,'Resultater - Vestdanmark'!J$3:J$504)),'Resultater - Vestdanmark'!$F$3:$F$504,$A259,'Resultater - Vestdanmark'!H$3:H$504,"&lt;0"),0),-IF(A259="Halm",SUMIFS(IF(E259=År1,'Resultater - Østdanmark'!H$3:H$504,IF(E259=År2,'Resultater - Østdanmark'!I$3:I$504,'Resultater - Østdanmark'!J$3:J$504)),'Resultater - Østdanmark'!$F$3:$F$504,$A259,'Resultater - Østdanmark'!H$3:H$504,"&lt;0"),0))</f>
        <v>0</v>
      </c>
      <c r="J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forbrug'!J$3,'Forbrug af biomasse'!$B$2:$B$425,$F259)</f>
        <v>244869.51675001203</v>
      </c>
      <c r="K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forbrug'!K$3,'Forbrug af biomasse'!$B$2:$B$425,$F259)</f>
        <v>0</v>
      </c>
      <c r="L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forbrug'!L$3,'Forbrug af biomasse'!$B$2:$B$425,$F259)</f>
        <v>0</v>
      </c>
      <c r="M259" s="94">
        <f>IF(A259&lt;&gt;"Biogas",SUMIFS('Forbrug af biomasse'!$E$2:$E$425,'Forbrug af biomasse'!$C$2:$C$425,'Resultat-Produktion &amp; forbrug'!$A259,'Forbrug af biomasse'!$D$2:$D$425,'Resultat-Produktion &amp; forbrug'!$E259,'Forbrug af biomasse'!$A$2:$A$425,'Resultat-Produktion &amp; forbrug'!M$3,'Forbrug af biomasse'!$B$2:$B$425,$F259),G259)</f>
        <v>0</v>
      </c>
      <c r="N259" s="94">
        <f>SUMIFS('Forbrug af biomasse'!E:E,'Forbrug af biomasse'!C:C,'Resultat-Produktion &amp; forbrug'!$A259,'Forbrug af biomasse'!D:D,'Resultat-Produktion &amp; forbrug'!$E259,'Forbrug af biomasse'!G:G,1,'Forbrug af biomasse'!B:B,$F259)</f>
        <v>0</v>
      </c>
      <c r="O259" s="179">
        <f t="shared" si="69"/>
        <v>875753.66593123297</v>
      </c>
      <c r="P259" s="94">
        <f t="shared" si="65"/>
        <v>0</v>
      </c>
      <c r="Q259" s="180">
        <f t="shared" si="70"/>
        <v>0</v>
      </c>
      <c r="R259">
        <f>IFERROR(VLOOKUP(A259,[1]Energiindhold!$A$2:$C$11,3,FALSE),IFERROR(VLOOKUP(A259,[1]Biogasudbytte!$A$2:$B$18,2,FALSE)*[1]Energiindhold!$C$10,0))*P259</f>
        <v>0</v>
      </c>
      <c r="S259">
        <f>IF(A259&lt;&gt;"Biogas",IFERROR(VLOOKUP(A259,[1]Biogasudbytte!$A$2:$B$18,2,FALSE)*[1]Energiindhold!$C$10,0)*K259*IFERROR(VLOOKUP(A259,Biogasanlæg!$F$3:$G$8,2,FALSE),1)+IFERROR(VLOOKUP(A259,[1]Energiindhold!$A$2:$C$11,3,FALSE),0)*M259+IF(E259&lt;&gt;År1,R259,0),0)</f>
        <v>0</v>
      </c>
      <c r="T259">
        <f>IFERROR(VLOOKUP(A259,[1]Biogasudbytte!$A$2:$B$18,2,FALSE)*[1]Energiindhold!$C$10,0)*K259*IFERROR(VLOOKUP(A259,Biogasanlæg!$F$3:$G$8,2,FALSE),1)</f>
        <v>0</v>
      </c>
      <c r="U259" s="170">
        <f t="shared" si="71"/>
        <v>0</v>
      </c>
      <c r="V259" s="169">
        <f>P259*IFERROR(VLOOKUP(A259,[1]Tørstofindhold!A$2:B$24,2,FALSE),0)</f>
        <v>0</v>
      </c>
      <c r="W259">
        <f>IF(E259=År1,Q259,SUM(P259,Q259))*IFERROR(VLOOKUP(A259,[1]Tørstofindhold!A$2:B$24,2,FALSE),0)</f>
        <v>0</v>
      </c>
      <c r="X259">
        <f>K259*IFERROR(VLOOKUP(A259,[1]Tørstofindhold!A$2:B$24,2,FALSE),0)</f>
        <v>0</v>
      </c>
      <c r="Y259" s="170">
        <f t="shared" si="72"/>
        <v>0</v>
      </c>
      <c r="Z259">
        <f t="shared" si="66"/>
        <v>0</v>
      </c>
      <c r="AA259">
        <f t="shared" si="67"/>
        <v>1</v>
      </c>
      <c r="AB259" s="94">
        <f t="shared" si="68"/>
        <v>1120623.182681245</v>
      </c>
      <c r="AC259">
        <f>AB259*D259*10000*VLOOKUP(A259,[1]kcal!$A$2:$C$49,3,FALSE)/1000000000000</f>
        <v>0.43704304124568555</v>
      </c>
    </row>
    <row r="260" spans="1:29" x14ac:dyDescent="0.25">
      <c r="A260" s="171" t="str">
        <f t="shared" si="79"/>
        <v>Halm</v>
      </c>
      <c r="B260" s="171" t="str">
        <f t="shared" si="80"/>
        <v>Halm og strå</v>
      </c>
      <c r="C260" s="171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71">
        <f t="shared" si="82"/>
        <v>0</v>
      </c>
      <c r="E260" s="171">
        <f t="shared" si="81"/>
        <v>2050</v>
      </c>
      <c r="F260" t="s">
        <v>24</v>
      </c>
      <c r="G260" s="94">
        <f>IF(F260="Vestdanmark",SUMIFS(IF(E260=År1,'Resultater - Vestdanmark'!H$3:H$504,IF(E260=År2,'Resultater - Vestdanmark'!I$3:I$504,'Resultater - Vestdanmark'!J$3:J$504)),'Resultater - Vestdanmark'!$F$3:$F$504,$A260,IF(E260=År1,'Resultater - Vestdanmark'!H$3:H$504,IF(E260=År2,'Resultater - Vestdanmark'!I$3:I$504,'Resultater - Vestdanmark'!J$3:J$504)),"&gt;0"),SUMIFS(IF(E260=År1,'Resultater - Østdanmark'!H$3:H$504,IF(E260=År2,'Resultater - Østdanmark'!I$3:I$504,'Resultater - Østdanmark'!J$3:J$504)),'Resultater - Østdanmark'!$F$3:$F$504,$A260,IF(E260=År1,'Resultater - Østdanmark'!H$3:H$504,IF(E260=År2,'Resultater - Østdanmark'!I$3:I$504,'Resultater - Østdanmark'!J$3:J$504)),"&gt;0"))</f>
        <v>347850.99679471884</v>
      </c>
      <c r="H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forbrug'!H$3,'Forbrug af biomasse'!$B$2:$B$425,$F260)</f>
        <v>7503.2920332351478</v>
      </c>
      <c r="I260">
        <f>IF(F260="Vestdanmark",-IF(A260="Halm",SUMIFS(IF(E260=År1,'Resultater - Vestdanmark'!H$3:H$504,IF(E260=År2,'Resultater - Vestdanmark'!I$3:I$504,'Resultater - Vestdanmark'!J$3:J$504)),'Resultater - Vestdanmark'!$F$3:$F$504,$A260,'Resultater - Vestdanmark'!H$3:H$504,"&lt;0"),0),-IF(A260="Halm",SUMIFS(IF(E260=År1,'Resultater - Østdanmark'!H$3:H$504,IF(E260=År2,'Resultater - Østdanmark'!I$3:I$504,'Resultater - Østdanmark'!J$3:J$504)),'Resultater - Østdanmark'!$F$3:$F$504,$A260,'Resultater - Østdanmark'!H$3:H$504,"&lt;0"),0))</f>
        <v>6747.0089475501663</v>
      </c>
      <c r="J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forbrug'!J$3,'Forbrug af biomasse'!$B$2:$B$425,$F260)</f>
        <v>0</v>
      </c>
      <c r="K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forbrug'!K$3,'Forbrug af biomasse'!$B$2:$B$425,$F260)</f>
        <v>0</v>
      </c>
      <c r="L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forbrug'!L$3,'Forbrug af biomasse'!$B$2:$B$425,$F260)</f>
        <v>0</v>
      </c>
      <c r="M260" s="94">
        <f>IF(A260&lt;&gt;"Biogas",SUMIFS('Forbrug af biomasse'!$E$2:$E$425,'Forbrug af biomasse'!$C$2:$C$425,'Resultat-Produktion &amp; forbrug'!$A260,'Forbrug af biomasse'!$D$2:$D$425,'Resultat-Produktion &amp; forbrug'!$E260,'Forbrug af biomasse'!$A$2:$A$425,'Resultat-Produktion &amp; forbrug'!M$3,'Forbrug af biomasse'!$B$2:$B$425,$F260),G260)</f>
        <v>333600.69581393356</v>
      </c>
      <c r="N260" s="94">
        <f>SUMIFS('Forbrug af biomasse'!E:E,'Forbrug af biomasse'!C:C,'Resultat-Produktion &amp; forbrug'!$A260,'Forbrug af biomasse'!D:D,'Resultat-Produktion &amp; forbrug'!$E260,'Forbrug af biomasse'!G:G,1,'Forbrug af biomasse'!B:B,$F260)</f>
        <v>0</v>
      </c>
      <c r="O260" s="179">
        <f t="shared" si="69"/>
        <v>0</v>
      </c>
      <c r="P260" s="94">
        <f t="shared" ref="P260:P275" si="83">IF(C260=1,IF(O260+IF(SUMIFS($O$4:$O$291,$A$4:$A$291,A260,$E$4:$E$291,E260,$F$4:$F$291,"&lt;&gt;"&amp;F260)&lt;0,SUMIFS($O$4:$O$291,$A$4:$A$291,A260,$E$4:$E$291,E260,$F$4:$F$291,"&lt;&gt;"&amp;F260),0)&gt;0,O260+IF(SUMIFS($O$4:$O$291,$A$4:$A$291,A260,$E$4:$E$291,E260,$F$4:$F$291,"&lt;&gt;"&amp;F260)&lt;0,SUMIFS($O$4:$O$291,$A$4:$A$291,A260,$E$4:$E$291,E260,$F$4:$F$291,"&lt;&gt;"&amp;F260),0),0),0)</f>
        <v>0</v>
      </c>
      <c r="Q260" s="180">
        <f t="shared" si="70"/>
        <v>333600.69581393356</v>
      </c>
      <c r="R260">
        <f>IFERROR(VLOOKUP(A260,[1]Energiindhold!$A$2:$C$11,3,FALSE),IFERROR(VLOOKUP(A260,[1]Biogasudbytte!$A$2:$B$18,2,FALSE)*[1]Energiindhold!$C$10,0))*P260</f>
        <v>0</v>
      </c>
      <c r="S260">
        <f>IF(A260&lt;&gt;"Biogas",IFERROR(VLOOKUP(A260,[1]Biogasudbytte!$A$2:$B$18,2,FALSE)*[1]Energiindhold!$C$10,0)*K260*IFERROR(VLOOKUP(A260,Biogasanlæg!$F$3:$G$8,2,FALSE),1)+IFERROR(VLOOKUP(A260,[1]Energiindhold!$A$2:$C$11,3,FALSE),0)*M260+IF(E260&lt;&gt;År1,R260,0),0)</f>
        <v>3.4480321865332897</v>
      </c>
      <c r="T260">
        <f>IFERROR(VLOOKUP(A260,[1]Biogasudbytte!$A$2:$B$18,2,FALSE)*[1]Energiindhold!$C$10,0)*K260*IFERROR(VLOOKUP(A260,Biogasanlæg!$F$3:$G$8,2,FALSE),1)</f>
        <v>0</v>
      </c>
      <c r="U260" s="170">
        <f t="shared" si="71"/>
        <v>3.4480321865332897</v>
      </c>
      <c r="V260" s="169">
        <f>P260*IFERROR(VLOOKUP(A260,[1]Tørstofindhold!A$2:B$24,2,FALSE),0)</f>
        <v>0</v>
      </c>
      <c r="W260">
        <f>IF(E260=År1,Q260,SUM(P260,Q260))*IFERROR(VLOOKUP(A260,[1]Tørstofindhold!A$2:B$24,2,FALSE),0)</f>
        <v>283560.59144184354</v>
      </c>
      <c r="X260">
        <f>K260*IFERROR(VLOOKUP(A260,[1]Tørstofindhold!A$2:B$24,2,FALSE),0)</f>
        <v>0</v>
      </c>
      <c r="Y260" s="170">
        <f t="shared" si="72"/>
        <v>283560.59144184354</v>
      </c>
      <c r="Z260">
        <f t="shared" ref="Z260:Z275" si="84">IF(SUMIFS($O$4:$O$291,$A$4:$A$291,A260,$E$4:$E$291,E260)&lt;0,1,0)</f>
        <v>0</v>
      </c>
      <c r="AA260">
        <f t="shared" ref="AA260:AA275" si="85">IF(SUMIFS($O$4:$O$291,$A$4:$A$291,A260,$E$4:$E$291,E260)&gt;0,1,0)</f>
        <v>0</v>
      </c>
      <c r="AB260" s="94">
        <f t="shared" si="68"/>
        <v>333600.6958139335</v>
      </c>
      <c r="AC260">
        <f>AB260*D260*10000*VLOOKUP(A260,[1]kcal!$A$2:$C$49,3,FALSE)/1000000000000</f>
        <v>0</v>
      </c>
    </row>
    <row r="261" spans="1:29" x14ac:dyDescent="0.25">
      <c r="A261" s="171" t="str">
        <f t="shared" si="79"/>
        <v>Have/parkaffald</v>
      </c>
      <c r="B261" s="171" t="str">
        <f t="shared" si="80"/>
        <v>Bionedbrydeligt affald</v>
      </c>
      <c r="C261" s="171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1</v>
      </c>
      <c r="D261" s="171">
        <f t="shared" si="82"/>
        <v>0</v>
      </c>
      <c r="E261" s="171">
        <f t="shared" si="81"/>
        <v>2050</v>
      </c>
      <c r="F261" t="s">
        <v>24</v>
      </c>
      <c r="G261" s="94">
        <f>IF(F261="Vestdanmark",SUMIFS(IF(E261=År1,'Resultater - Vestdanmark'!H$3:H$504,IF(E261=År2,'Resultater - Vestdanmark'!I$3:I$504,'Resultater - Vestdanmark'!J$3:J$504)),'Resultater - Vestdanmark'!$F$3:$F$504,$A261,IF(E261=År1,'Resultater - Vestdanmark'!H$3:H$504,IF(E261=År2,'Resultater - Vestdanmark'!I$3:I$504,'Resultater - Vestdanmark'!J$3:J$504)),"&gt;0"),SUMIFS(IF(E261=År1,'Resultater - Østdanmark'!H$3:H$504,IF(E261=År2,'Resultater - Østdanmark'!I$3:I$504,'Resultater - Østdanmark'!J$3:J$504)),'Resultater - Østdanmark'!$F$3:$F$504,$A261,IF(E261=År1,'Resultater - Østdanmark'!H$3:H$504,IF(E261=År2,'Resultater - Østdanmark'!I$3:I$504,'Resultater - Østdanmark'!J$3:J$504)),"&gt;0"))</f>
        <v>457927.02496060182</v>
      </c>
      <c r="H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forbrug'!H$3,'Forbrug af biomasse'!$B$2:$B$425,$F261)</f>
        <v>0</v>
      </c>
      <c r="I261">
        <f>IF(F261="Vestdanmark",-IF(A261="Halm",SUMIFS(IF(E261=År1,'Resultater - Vestdanmark'!H$3:H$504,IF(E261=År2,'Resultater - Vestdanmark'!I$3:I$504,'Resultater - Vestdanmark'!J$3:J$504)),'Resultater - Vestdanmark'!$F$3:$F$504,$A261,'Resultater - Vestdanmark'!H$3:H$504,"&lt;0"),0),-IF(A261="Halm",SUMIFS(IF(E261=År1,'Resultater - Østdanmark'!H$3:H$504,IF(E261=År2,'Resultater - Østdanmark'!I$3:I$504,'Resultater - Østdanmark'!J$3:J$504)),'Resultater - Østdanmark'!$F$3:$F$504,$A261,'Resultater - Østdanmark'!H$3:H$504,"&lt;0"),0))</f>
        <v>0</v>
      </c>
      <c r="J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forbrug'!J$3,'Forbrug af biomasse'!$B$2:$B$425,$F261)</f>
        <v>0</v>
      </c>
      <c r="K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forbrug'!K$3,'Forbrug af biomasse'!$B$2:$B$425,$F261)</f>
        <v>456618.20807643177</v>
      </c>
      <c r="L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forbrug'!L$3,'Forbrug af biomasse'!$B$2:$B$425,$F261)</f>
        <v>0</v>
      </c>
      <c r="M261" s="94">
        <f>IF(A261&lt;&gt;"Biogas",SUMIFS('Forbrug af biomasse'!$E$2:$E$425,'Forbrug af biomasse'!$C$2:$C$425,'Resultat-Produktion &amp; forbrug'!$A261,'Forbrug af biomasse'!$D$2:$D$425,'Resultat-Produktion &amp; forbrug'!$E261,'Forbrug af biomasse'!$A$2:$A$425,'Resultat-Produktion &amp; forbrug'!M$3,'Forbrug af biomasse'!$B$2:$B$425,$F261),G261)</f>
        <v>1308.8168841700535</v>
      </c>
      <c r="N261" s="94">
        <f>SUMIFS('Forbrug af biomasse'!E:E,'Forbrug af biomasse'!C:C,'Resultat-Produktion &amp; forbrug'!$A261,'Forbrug af biomasse'!D:D,'Resultat-Produktion &amp; forbrug'!$E261,'Forbrug af biomasse'!G:G,1,'Forbrug af biomasse'!B:B,$F261)</f>
        <v>0</v>
      </c>
      <c r="O261" s="179">
        <f t="shared" si="69"/>
        <v>0</v>
      </c>
      <c r="P261" s="94">
        <f t="shared" si="83"/>
        <v>0</v>
      </c>
      <c r="Q261" s="180">
        <f t="shared" si="70"/>
        <v>457927.02496060182</v>
      </c>
      <c r="R261">
        <f>IFERROR(VLOOKUP(A261,[1]Energiindhold!$A$2:$C$11,3,FALSE),IFERROR(VLOOKUP(A261,[1]Biogasudbytte!$A$2:$B$18,2,FALSE)*[1]Energiindhold!$C$10,0))*P261</f>
        <v>0</v>
      </c>
      <c r="S261">
        <f>IF(A261&lt;&gt;"Biogas",IFERROR(VLOOKUP(A261,[1]Biogasudbytte!$A$2:$B$18,2,FALSE)*[1]Energiindhold!$C$10,0)*K261*IFERROR(VLOOKUP(A261,Biogasanlæg!$F$3:$G$8,2,FALSE),1)+IFERROR(VLOOKUP(A261,[1]Energiindhold!$A$2:$C$11,3,FALSE),0)*M261+IF(E261&lt;&gt;År1,R261,0),0)</f>
        <v>0.79873496822573153</v>
      </c>
      <c r="T261">
        <f>IFERROR(VLOOKUP(A261,[1]Biogasudbytte!$A$2:$B$18,2,FALSE)*[1]Energiindhold!$C$10,0)*K261*IFERROR(VLOOKUP(A261,Biogasanlæg!$F$3:$G$8,2,FALSE),1)</f>
        <v>0.77536968058834654</v>
      </c>
      <c r="U261" s="170">
        <f t="shared" si="71"/>
        <v>2.336528763738499E-2</v>
      </c>
      <c r="V261" s="169">
        <f>P261*IFERROR(VLOOKUP(A261,[1]Tørstofindhold!A$2:B$24,2,FALSE),0)</f>
        <v>0</v>
      </c>
      <c r="W261">
        <f>IF(E261=År1,Q261,SUM(P261,Q261))*IFERROR(VLOOKUP(A261,[1]Tørstofindhold!A$2:B$24,2,FALSE),0)</f>
        <v>137378.10748818054</v>
      </c>
      <c r="X261">
        <f>K261*IFERROR(VLOOKUP(A261,[1]Tørstofindhold!A$2:B$24,2,FALSE),0)</f>
        <v>136985.46242292953</v>
      </c>
      <c r="Y261" s="170">
        <f t="shared" si="72"/>
        <v>392.64506525101024</v>
      </c>
      <c r="Z261">
        <f t="shared" si="84"/>
        <v>0</v>
      </c>
      <c r="AA261">
        <f t="shared" si="85"/>
        <v>0</v>
      </c>
      <c r="AB261" s="94">
        <f t="shared" ref="AB261:AB291" si="86">G261-SUMPRODUCT($H$2:$N$2,H261:N261)</f>
        <v>1308.8168841700535</v>
      </c>
      <c r="AC261">
        <f>AB261*D261*10000*VLOOKUP(A261,[1]kcal!$A$2:$C$49,3,FALSE)/1000000000000</f>
        <v>0</v>
      </c>
    </row>
    <row r="262" spans="1:29" x14ac:dyDescent="0.25">
      <c r="A262" s="171" t="str">
        <f t="shared" si="79"/>
        <v>Import af foder</v>
      </c>
      <c r="B262" s="171" t="str">
        <f t="shared" si="80"/>
        <v/>
      </c>
      <c r="C262" s="171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0</v>
      </c>
      <c r="D262" s="171">
        <f t="shared" si="82"/>
        <v>1</v>
      </c>
      <c r="E262" s="171">
        <f t="shared" si="81"/>
        <v>2050</v>
      </c>
      <c r="F262" t="s">
        <v>24</v>
      </c>
      <c r="G262" s="94">
        <f>IF(F262="Vestdanmark",SUMIFS(IF(E262=År1,'Resultater - Vestdanmark'!H$3:H$504,IF(E262=År2,'Resultater - Vestdanmark'!I$3:I$504,'Resultater - Vestdanmark'!J$3:J$504)),'Resultater - Vestdanmark'!$F$3:$F$504,$A262,IF(E262=År1,'Resultater - Vestdanmark'!H$3:H$504,IF(E262=År2,'Resultater - Vestdanmark'!I$3:I$504,'Resultater - Vestdanmark'!J$3:J$504)),"&gt;0"),SUMIFS(IF(E262=År1,'Resultater - Østdanmark'!H$3:H$504,IF(E262=År2,'Resultater - Østdanmark'!I$3:I$504,'Resultater - Østdanmark'!J$3:J$504)),'Resultater - Østdanmark'!$F$3:$F$504,$A262,IF(E262=År1,'Resultater - Østdanmark'!H$3:H$504,IF(E262=År2,'Resultater - Østdanmark'!I$3:I$504,'Resultater - Østdanmark'!J$3:J$504)),"&gt;0"))</f>
        <v>0</v>
      </c>
      <c r="H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forbrug'!H$3,'Forbrug af biomasse'!$B$2:$B$425,$F262)</f>
        <v>46862.971099811642</v>
      </c>
      <c r="I262">
        <f>IF(F262="Vestdanmark",-IF(A262="Halm",SUMIFS(IF(E262=År1,'Resultater - Vestdanmark'!H$3:H$504,IF(E262=År2,'Resultater - Vestdanmark'!I$3:I$504,'Resultater - Vestdanmark'!J$3:J$504)),'Resultater - Vestdanmark'!$F$3:$F$504,$A262,'Resultater - Vestdanmark'!H$3:H$504,"&lt;0"),0),-IF(A262="Halm",SUMIFS(IF(E262=År1,'Resultater - Østdanmark'!H$3:H$504,IF(E262=År2,'Resultater - Østdanmark'!I$3:I$504,'Resultater - Østdanmark'!J$3:J$504)),'Resultater - Østdanmark'!$F$3:$F$504,$A262,'Resultater - Østdanmark'!H$3:H$504,"&lt;0"),0))</f>
        <v>0</v>
      </c>
      <c r="J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forbrug'!J$3,'Forbrug af biomasse'!$B$2:$B$425,$F262)</f>
        <v>0</v>
      </c>
      <c r="K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forbrug'!K$3,'Forbrug af biomasse'!$B$2:$B$425,$F262)</f>
        <v>0</v>
      </c>
      <c r="L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forbrug'!L$3,'Forbrug af biomasse'!$B$2:$B$425,$F262)</f>
        <v>0</v>
      </c>
      <c r="M262" s="94">
        <f>IF(A262&lt;&gt;"Biogas",SUMIFS('Forbrug af biomasse'!$E$2:$E$425,'Forbrug af biomasse'!$C$2:$C$425,'Resultat-Produktion &amp; forbrug'!$A262,'Forbrug af biomasse'!$D$2:$D$425,'Resultat-Produktion &amp; forbrug'!$E262,'Forbrug af biomasse'!$A$2:$A$425,'Resultat-Produktion &amp; forbrug'!M$3,'Forbrug af biomasse'!$B$2:$B$425,$F262),G262)</f>
        <v>0</v>
      </c>
      <c r="N262" s="94">
        <f>SUMIFS('Forbrug af biomasse'!E:E,'Forbrug af biomasse'!C:C,'Resultat-Produktion &amp; forbrug'!$A262,'Forbrug af biomasse'!D:D,'Resultat-Produktion &amp; forbrug'!$E262,'Forbrug af biomasse'!G:G,1,'Forbrug af biomasse'!B:B,$F262)</f>
        <v>0</v>
      </c>
      <c r="O262" s="179">
        <f t="shared" si="69"/>
        <v>-46862.971099811642</v>
      </c>
      <c r="P262" s="94">
        <f t="shared" si="83"/>
        <v>0</v>
      </c>
      <c r="Q262" s="180">
        <f t="shared" si="70"/>
        <v>0</v>
      </c>
      <c r="R262">
        <f>IFERROR(VLOOKUP(A262,[1]Energiindhold!$A$2:$C$11,3,FALSE),IFERROR(VLOOKUP(A262,[1]Biogasudbytte!$A$2:$B$18,2,FALSE)*[1]Energiindhold!$C$10,0))*P262</f>
        <v>0</v>
      </c>
      <c r="S262">
        <f>IF(A262&lt;&gt;"Biogas",IFERROR(VLOOKUP(A262,[1]Biogasudbytte!$A$2:$B$18,2,FALSE)*[1]Energiindhold!$C$10,0)*K262*IFERROR(VLOOKUP(A262,Biogasanlæg!$F$3:$G$8,2,FALSE),1)+IFERROR(VLOOKUP(A262,[1]Energiindhold!$A$2:$C$11,3,FALSE),0)*M262+IF(E262&lt;&gt;År1,R262,0),0)</f>
        <v>0</v>
      </c>
      <c r="T262">
        <f>IFERROR(VLOOKUP(A262,[1]Biogasudbytte!$A$2:$B$18,2,FALSE)*[1]Energiindhold!$C$10,0)*K262*IFERROR(VLOOKUP(A262,Biogasanlæg!$F$3:$G$8,2,FALSE),1)</f>
        <v>0</v>
      </c>
      <c r="U262" s="170">
        <f t="shared" si="71"/>
        <v>0</v>
      </c>
      <c r="V262" s="169">
        <f>P262*IFERROR(VLOOKUP(A262,[1]Tørstofindhold!A$2:B$24,2,FALSE),0)</f>
        <v>0</v>
      </c>
      <c r="W262">
        <f>IF(E262=År1,Q262,SUM(P262,Q262))*IFERROR(VLOOKUP(A262,[1]Tørstofindhold!A$2:B$24,2,FALSE),0)</f>
        <v>0</v>
      </c>
      <c r="X262">
        <f>K262*IFERROR(VLOOKUP(A262,[1]Tørstofindhold!A$2:B$24,2,FALSE),0)</f>
        <v>0</v>
      </c>
      <c r="Y262" s="170">
        <f t="shared" si="72"/>
        <v>0</v>
      </c>
      <c r="Z262">
        <f t="shared" si="84"/>
        <v>1</v>
      </c>
      <c r="AA262">
        <f t="shared" si="85"/>
        <v>0</v>
      </c>
      <c r="AB262" s="94">
        <f t="shared" si="86"/>
        <v>-46862.971099811642</v>
      </c>
      <c r="AC262">
        <f>AB262*D262*10000*VLOOKUP(A262,[1]kcal!$A$2:$C$49,3,FALSE)/1000000000000</f>
        <v>-2.6711893526892634E-2</v>
      </c>
    </row>
    <row r="263" spans="1:29" x14ac:dyDescent="0.25">
      <c r="A263" s="171" t="str">
        <f t="shared" si="79"/>
        <v>Industriaffald</v>
      </c>
      <c r="B263" s="171" t="str">
        <f t="shared" si="80"/>
        <v>Bionedbrydeligt affald</v>
      </c>
      <c r="C263" s="171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1</v>
      </c>
      <c r="D263" s="171">
        <f t="shared" si="82"/>
        <v>0</v>
      </c>
      <c r="E263" s="171">
        <f t="shared" si="81"/>
        <v>2050</v>
      </c>
      <c r="F263" t="s">
        <v>24</v>
      </c>
      <c r="G263" s="94">
        <f>IF(F263="Vestdanmark",SUMIFS(IF(E263=År1,'Resultater - Vestdanmark'!H$3:H$504,IF(E263=År2,'Resultater - Vestdanmark'!I$3:I$504,'Resultater - Vestdanmark'!J$3:J$504)),'Resultater - Vestdanmark'!$F$3:$F$504,$A263,IF(E263=År1,'Resultater - Vestdanmark'!H$3:H$504,IF(E263=År2,'Resultater - Vestdanmark'!I$3:I$504,'Resultater - Vestdanmark'!J$3:J$504)),"&gt;0"),SUMIFS(IF(E263=År1,'Resultater - Østdanmark'!H$3:H$504,IF(E263=År2,'Resultater - Østdanmark'!I$3:I$504,'Resultater - Østdanmark'!J$3:J$504)),'Resultater - Østdanmark'!$F$3:$F$504,$A263,IF(E263=År1,'Resultater - Østdanmark'!H$3:H$504,IF(E263=År2,'Resultater - Østdanmark'!I$3:I$504,'Resultater - Østdanmark'!J$3:J$504)),"&gt;0"))</f>
        <v>168100.3533838705</v>
      </c>
      <c r="H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forbrug'!H$3,'Forbrug af biomasse'!$B$2:$B$425,$F263)</f>
        <v>0</v>
      </c>
      <c r="I263">
        <f>IF(F263="Vestdanmark",-IF(A263="Halm",SUMIFS(IF(E263=År1,'Resultater - Vestdanmark'!H$3:H$504,IF(E263=År2,'Resultater - Vestdanmark'!I$3:I$504,'Resultater - Vestdanmark'!J$3:J$504)),'Resultater - Vestdanmark'!$F$3:$F$504,$A263,'Resultater - Vestdanmark'!H$3:H$504,"&lt;0"),0),-IF(A263="Halm",SUMIFS(IF(E263=År1,'Resultater - Østdanmark'!H$3:H$504,IF(E263=År2,'Resultater - Østdanmark'!I$3:I$504,'Resultater - Østdanmark'!J$3:J$504)),'Resultater - Østdanmark'!$F$3:$F$504,$A263,'Resultater - Østdanmark'!H$3:H$504,"&lt;0"),0))</f>
        <v>0</v>
      </c>
      <c r="J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forbrug'!J$3,'Forbrug af biomasse'!$B$2:$B$425,$F263)</f>
        <v>0</v>
      </c>
      <c r="K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forbrug'!K$3,'Forbrug af biomasse'!$B$2:$B$425,$F263)</f>
        <v>0</v>
      </c>
      <c r="L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forbrug'!L$3,'Forbrug af biomasse'!$B$2:$B$425,$F263)</f>
        <v>0</v>
      </c>
      <c r="M263" s="94">
        <f>IF(A263&lt;&gt;"Biogas",SUMIFS('Forbrug af biomasse'!$E$2:$E$425,'Forbrug af biomasse'!$C$2:$C$425,'Resultat-Produktion &amp; forbrug'!$A263,'Forbrug af biomasse'!$D$2:$D$425,'Resultat-Produktion &amp; forbrug'!$E263,'Forbrug af biomasse'!$A$2:$A$425,'Resultat-Produktion &amp; forbrug'!M$3,'Forbrug af biomasse'!$B$2:$B$425,$F263),G263)</f>
        <v>0</v>
      </c>
      <c r="N263" s="94">
        <f>SUMIFS('Forbrug af biomasse'!E:E,'Forbrug af biomasse'!C:C,'Resultat-Produktion &amp; forbrug'!$A263,'Forbrug af biomasse'!D:D,'Resultat-Produktion &amp; forbrug'!$E263,'Forbrug af biomasse'!G:G,1,'Forbrug af biomasse'!B:B,$F263)</f>
        <v>0</v>
      </c>
      <c r="O263" s="179">
        <f t="shared" si="69"/>
        <v>168100.3533838705</v>
      </c>
      <c r="P263" s="94">
        <f t="shared" si="83"/>
        <v>168100.3533838705</v>
      </c>
      <c r="Q263" s="180">
        <f t="shared" si="70"/>
        <v>0</v>
      </c>
      <c r="R263">
        <f>IFERROR(VLOOKUP(A263,[1]Energiindhold!$A$2:$C$11,3,FALSE),IFERROR(VLOOKUP(A263,[1]Biogasudbytte!$A$2:$B$18,2,FALSE)*[1]Energiindhold!$C$10,0))*P263</f>
        <v>0.72840068425825089</v>
      </c>
      <c r="S263">
        <f>IF(A263&lt;&gt;"Biogas",IFERROR(VLOOKUP(A263,[1]Biogasudbytte!$A$2:$B$18,2,FALSE)*[1]Energiindhold!$C$10,0)*K263*IFERROR(VLOOKUP(A263,Biogasanlæg!$F$3:$G$8,2,FALSE),1)+IFERROR(VLOOKUP(A263,[1]Energiindhold!$A$2:$C$11,3,FALSE),0)*M263+IF(E263&lt;&gt;År1,R263,0),0)</f>
        <v>0.72840068425825089</v>
      </c>
      <c r="T263">
        <f>IFERROR(VLOOKUP(A263,[1]Biogasudbytte!$A$2:$B$18,2,FALSE)*[1]Energiindhold!$C$10,0)*K263*IFERROR(VLOOKUP(A263,Biogasanlæg!$F$3:$G$8,2,FALSE),1)</f>
        <v>0</v>
      </c>
      <c r="U263" s="170">
        <f t="shared" si="71"/>
        <v>0.72840068425825089</v>
      </c>
      <c r="V263" s="169">
        <f>P263*IFERROR(VLOOKUP(A263,[1]Tørstofindhold!A$2:B$24,2,FALSE),0)</f>
        <v>70602.148421225604</v>
      </c>
      <c r="W263">
        <f>IF(E263=År1,Q263,SUM(P263,Q263))*IFERROR(VLOOKUP(A263,[1]Tørstofindhold!A$2:B$24,2,FALSE),0)</f>
        <v>70602.148421225604</v>
      </c>
      <c r="X263">
        <f>K263*IFERROR(VLOOKUP(A263,[1]Tørstofindhold!A$2:B$24,2,FALSE),0)</f>
        <v>0</v>
      </c>
      <c r="Y263" s="170">
        <f t="shared" si="72"/>
        <v>70602.148421225604</v>
      </c>
      <c r="Z263">
        <f t="shared" si="84"/>
        <v>0</v>
      </c>
      <c r="AA263">
        <f t="shared" si="85"/>
        <v>1</v>
      </c>
      <c r="AB263" s="94">
        <f t="shared" si="86"/>
        <v>168100.3533838705</v>
      </c>
      <c r="AC263">
        <f>AB263*D263*10000*VLOOKUP(A263,[1]kcal!$A$2:$C$49,3,FALSE)/1000000000000</f>
        <v>0</v>
      </c>
    </row>
    <row r="264" spans="1:29" x14ac:dyDescent="0.25">
      <c r="A264" s="171" t="str">
        <f t="shared" si="79"/>
        <v>Juletræer</v>
      </c>
      <c r="B264" s="171" t="str">
        <f t="shared" si="80"/>
        <v/>
      </c>
      <c r="C264" s="171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71">
        <f t="shared" si="82"/>
        <v>0</v>
      </c>
      <c r="E264" s="171">
        <f t="shared" si="81"/>
        <v>2050</v>
      </c>
      <c r="F264" t="s">
        <v>24</v>
      </c>
      <c r="G264" s="94">
        <f>IF(F264="Vestdanmark",SUMIFS(IF(E264=År1,'Resultater - Vestdanmark'!H$3:H$504,IF(E264=År2,'Resultater - Vestdanmark'!I$3:I$504,'Resultater - Vestdanmark'!J$3:J$504)),'Resultater - Vestdanmark'!$F$3:$F$504,$A264,IF(E264=År1,'Resultater - Vestdanmark'!H$3:H$504,IF(E264=År2,'Resultater - Vestdanmark'!I$3:I$504,'Resultater - Vestdanmark'!J$3:J$504)),"&gt;0"),SUMIFS(IF(E264=År1,'Resultater - Østdanmark'!H$3:H$504,IF(E264=År2,'Resultater - Østdanmark'!I$3:I$504,'Resultater - Østdanmark'!J$3:J$504)),'Resultater - Østdanmark'!$F$3:$F$504,$A264,IF(E264=År1,'Resultater - Østdanmark'!H$3:H$504,IF(E264=År2,'Resultater - Østdanmark'!I$3:I$504,'Resultater - Østdanmark'!J$3:J$504)),"&gt;0"))</f>
        <v>180250.24074269188</v>
      </c>
      <c r="H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forbrug'!H$3,'Forbrug af biomasse'!$B$2:$B$425,$F264)</f>
        <v>0</v>
      </c>
      <c r="I264">
        <f>IF(F264="Vestdanmark",-IF(A264="Halm",SUMIFS(IF(E264=År1,'Resultater - Vestdanmark'!H$3:H$504,IF(E264=År2,'Resultater - Vestdanmark'!I$3:I$504,'Resultater - Vestdanmark'!J$3:J$504)),'Resultater - Vestdanmark'!$F$3:$F$504,$A264,'Resultater - Vestdanmark'!H$3:H$504,"&lt;0"),0),-IF(A264="Halm",SUMIFS(IF(E264=År1,'Resultater - Østdanmark'!H$3:H$504,IF(E264=År2,'Resultater - Østdanmark'!I$3:I$504,'Resultater - Østdanmark'!J$3:J$504)),'Resultater - Østdanmark'!$F$3:$F$504,$A264,'Resultater - Østdanmark'!H$3:H$504,"&lt;0"),0))</f>
        <v>0</v>
      </c>
      <c r="J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forbrug'!J$3,'Forbrug af biomasse'!$B$2:$B$425,$F264)</f>
        <v>0</v>
      </c>
      <c r="K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forbrug'!K$3,'Forbrug af biomasse'!$B$2:$B$425,$F264)</f>
        <v>0</v>
      </c>
      <c r="L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forbrug'!L$3,'Forbrug af biomasse'!$B$2:$B$425,$F264)</f>
        <v>0</v>
      </c>
      <c r="M264" s="94">
        <f>IF(A264&lt;&gt;"Biogas",SUMIFS('Forbrug af biomasse'!$E$2:$E$425,'Forbrug af biomasse'!$C$2:$C$425,'Resultat-Produktion &amp; forbrug'!$A264,'Forbrug af biomasse'!$D$2:$D$425,'Resultat-Produktion &amp; forbrug'!$E264,'Forbrug af biomasse'!$A$2:$A$425,'Resultat-Produktion &amp; forbrug'!M$3,'Forbrug af biomasse'!$B$2:$B$425,$F264),G264)</f>
        <v>0</v>
      </c>
      <c r="N264" s="94">
        <f>SUMIFS('Forbrug af biomasse'!E:E,'Forbrug af biomasse'!C:C,'Resultat-Produktion &amp; forbrug'!$A264,'Forbrug af biomasse'!D:D,'Resultat-Produktion &amp; forbrug'!$E264,'Forbrug af biomasse'!G:G,1,'Forbrug af biomasse'!B:B,$F264)</f>
        <v>0</v>
      </c>
      <c r="O264" s="179">
        <f t="shared" si="69"/>
        <v>180250.24074269188</v>
      </c>
      <c r="P264" s="94">
        <f t="shared" si="83"/>
        <v>0</v>
      </c>
      <c r="Q264" s="180">
        <f t="shared" si="70"/>
        <v>0</v>
      </c>
      <c r="R264">
        <f>IFERROR(VLOOKUP(A264,[1]Energiindhold!$A$2:$C$11,3,FALSE),IFERROR(VLOOKUP(A264,[1]Biogasudbytte!$A$2:$B$18,2,FALSE)*[1]Energiindhold!$C$10,0))*P264</f>
        <v>0</v>
      </c>
      <c r="S264">
        <f>IF(A264&lt;&gt;"Biogas",IFERROR(VLOOKUP(A264,[1]Biogasudbytte!$A$2:$B$18,2,FALSE)*[1]Energiindhold!$C$10,0)*K264*IFERROR(VLOOKUP(A264,Biogasanlæg!$F$3:$G$8,2,FALSE),1)+IFERROR(VLOOKUP(A264,[1]Energiindhold!$A$2:$C$11,3,FALSE),0)*M264+IF(E264&lt;&gt;År1,R264,0),0)</f>
        <v>0</v>
      </c>
      <c r="T264">
        <f>IFERROR(VLOOKUP(A264,[1]Biogasudbytte!$A$2:$B$18,2,FALSE)*[1]Energiindhold!$C$10,0)*K264*IFERROR(VLOOKUP(A264,Biogasanlæg!$F$3:$G$8,2,FALSE),1)</f>
        <v>0</v>
      </c>
      <c r="U264" s="170">
        <f t="shared" si="71"/>
        <v>0</v>
      </c>
      <c r="V264" s="169">
        <f>P264*IFERROR(VLOOKUP(A264,[1]Tørstofindhold!A$2:B$24,2,FALSE),0)</f>
        <v>0</v>
      </c>
      <c r="W264">
        <f>IF(E264=År1,Q264,SUM(P264,Q264))*IFERROR(VLOOKUP(A264,[1]Tørstofindhold!A$2:B$24,2,FALSE),0)</f>
        <v>0</v>
      </c>
      <c r="X264">
        <f>K264*IFERROR(VLOOKUP(A264,[1]Tørstofindhold!A$2:B$24,2,FALSE),0)</f>
        <v>0</v>
      </c>
      <c r="Y264" s="170">
        <f t="shared" si="72"/>
        <v>0</v>
      </c>
      <c r="Z264">
        <f t="shared" si="84"/>
        <v>0</v>
      </c>
      <c r="AA264">
        <f t="shared" si="85"/>
        <v>1</v>
      </c>
      <c r="AB264" s="94">
        <f t="shared" si="86"/>
        <v>180250.24074269188</v>
      </c>
      <c r="AC264">
        <f>AB264*D264*10000*VLOOKUP(A264,[1]kcal!$A$2:$C$49,3,FALSE)/1000000000000</f>
        <v>0</v>
      </c>
    </row>
    <row r="265" spans="1:29" x14ac:dyDescent="0.25">
      <c r="A265" s="171" t="str">
        <f t="shared" si="79"/>
        <v>Kartofler</v>
      </c>
      <c r="B265" s="171" t="str">
        <f t="shared" si="80"/>
        <v/>
      </c>
      <c r="C265" s="171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0</v>
      </c>
      <c r="D265" s="171">
        <f t="shared" si="82"/>
        <v>1</v>
      </c>
      <c r="E265" s="171">
        <f t="shared" si="81"/>
        <v>2050</v>
      </c>
      <c r="F265" t="s">
        <v>24</v>
      </c>
      <c r="G265" s="94">
        <f>IF(F265="Vestdanmark",SUMIFS(IF(E265=År1,'Resultater - Vestdanmark'!H$3:H$504,IF(E265=År2,'Resultater - Vestdanmark'!I$3:I$504,'Resultater - Vestdanmark'!J$3:J$504)),'Resultater - Vestdanmark'!$F$3:$F$504,$A265,IF(E265=År1,'Resultater - Vestdanmark'!H$3:H$504,IF(E265=År2,'Resultater - Vestdanmark'!I$3:I$504,'Resultater - Vestdanmark'!J$3:J$504)),"&gt;0"),SUMIFS(IF(E265=År1,'Resultater - Østdanmark'!H$3:H$504,IF(E265=År2,'Resultater - Østdanmark'!I$3:I$504,'Resultater - Østdanmark'!J$3:J$504)),'Resultater - Østdanmark'!$F$3:$F$504,$A265,IF(E265=År1,'Resultater - Østdanmark'!H$3:H$504,IF(E265=År2,'Resultater - Østdanmark'!I$3:I$504,'Resultater - Østdanmark'!J$3:J$504)),"&gt;0"))</f>
        <v>215.4481017361189</v>
      </c>
      <c r="H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forbrug'!H$3,'Forbrug af biomasse'!$B$2:$B$425,$F265)</f>
        <v>0</v>
      </c>
      <c r="I265">
        <f>IF(F265="Vestdanmark",-IF(A265="Halm",SUMIFS(IF(E265=År1,'Resultater - Vestdanmark'!H$3:H$504,IF(E265=År2,'Resultater - Vestdanmark'!I$3:I$504,'Resultater - Vestdanmark'!J$3:J$504)),'Resultater - Vestdanmark'!$F$3:$F$504,$A265,'Resultater - Vestdanmark'!H$3:H$504,"&lt;0"),0),-IF(A265="Halm",SUMIFS(IF(E265=År1,'Resultater - Østdanmark'!H$3:H$504,IF(E265=År2,'Resultater - Østdanmark'!I$3:I$504,'Resultater - Østdanmark'!J$3:J$504)),'Resultater - Østdanmark'!$F$3:$F$504,$A265,'Resultater - Østdanmark'!H$3:H$504,"&lt;0"),0))</f>
        <v>0</v>
      </c>
      <c r="J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forbrug'!J$3,'Forbrug af biomasse'!$B$2:$B$425,$F265)</f>
        <v>111975.50765955324</v>
      </c>
      <c r="K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forbrug'!K$3,'Forbrug af biomasse'!$B$2:$B$425,$F265)</f>
        <v>0</v>
      </c>
      <c r="L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forbrug'!L$3,'Forbrug af biomasse'!$B$2:$B$425,$F265)</f>
        <v>0</v>
      </c>
      <c r="M265" s="94">
        <f>IF(A265&lt;&gt;"Biogas",SUMIFS('Forbrug af biomasse'!$E$2:$E$425,'Forbrug af biomasse'!$C$2:$C$425,'Resultat-Produktion &amp; forbrug'!$A265,'Forbrug af biomasse'!$D$2:$D$425,'Resultat-Produktion &amp; forbrug'!$E265,'Forbrug af biomasse'!$A$2:$A$425,'Resultat-Produktion &amp; forbrug'!M$3,'Forbrug af biomasse'!$B$2:$B$425,$F265),G265)</f>
        <v>0</v>
      </c>
      <c r="N265" s="94">
        <f>SUMIFS('Forbrug af biomasse'!E:E,'Forbrug af biomasse'!C:C,'Resultat-Produktion &amp; forbrug'!$A265,'Forbrug af biomasse'!D:D,'Resultat-Produktion &amp; forbrug'!$E265,'Forbrug af biomasse'!G:G,1,'Forbrug af biomasse'!B:B,$F265)</f>
        <v>0</v>
      </c>
      <c r="O265" s="179">
        <f t="shared" si="69"/>
        <v>-111760.05955781712</v>
      </c>
      <c r="P265" s="94">
        <f t="shared" si="83"/>
        <v>0</v>
      </c>
      <c r="Q265" s="180">
        <f t="shared" si="70"/>
        <v>0</v>
      </c>
      <c r="R265">
        <f>IFERROR(VLOOKUP(A265,[1]Energiindhold!$A$2:$C$11,3,FALSE),IFERROR(VLOOKUP(A265,[1]Biogasudbytte!$A$2:$B$18,2,FALSE)*[1]Energiindhold!$C$10,0))*P265</f>
        <v>0</v>
      </c>
      <c r="S265">
        <f>IF(A265&lt;&gt;"Biogas",IFERROR(VLOOKUP(A265,[1]Biogasudbytte!$A$2:$B$18,2,FALSE)*[1]Energiindhold!$C$10,0)*K265*IFERROR(VLOOKUP(A265,Biogasanlæg!$F$3:$G$8,2,FALSE),1)+IFERROR(VLOOKUP(A265,[1]Energiindhold!$A$2:$C$11,3,FALSE),0)*M265+IF(E265&lt;&gt;År1,R265,0),0)</f>
        <v>0</v>
      </c>
      <c r="T265">
        <f>IFERROR(VLOOKUP(A265,[1]Biogasudbytte!$A$2:$B$18,2,FALSE)*[1]Energiindhold!$C$10,0)*K265*IFERROR(VLOOKUP(A265,Biogasanlæg!$F$3:$G$8,2,FALSE),1)</f>
        <v>0</v>
      </c>
      <c r="U265" s="170">
        <f t="shared" si="71"/>
        <v>0</v>
      </c>
      <c r="V265" s="169">
        <f>P265*IFERROR(VLOOKUP(A265,[1]Tørstofindhold!A$2:B$24,2,FALSE),0)</f>
        <v>0</v>
      </c>
      <c r="W265">
        <f>IF(E265=År1,Q265,SUM(P265,Q265))*IFERROR(VLOOKUP(A265,[1]Tørstofindhold!A$2:B$24,2,FALSE),0)</f>
        <v>0</v>
      </c>
      <c r="X265">
        <f>K265*IFERROR(VLOOKUP(A265,[1]Tørstofindhold!A$2:B$24,2,FALSE),0)</f>
        <v>0</v>
      </c>
      <c r="Y265" s="170">
        <f t="shared" si="72"/>
        <v>0</v>
      </c>
      <c r="Z265">
        <f t="shared" si="84"/>
        <v>1</v>
      </c>
      <c r="AA265">
        <f t="shared" si="85"/>
        <v>0</v>
      </c>
      <c r="AB265" s="94">
        <f t="shared" si="86"/>
        <v>215.4481017361189</v>
      </c>
      <c r="AC265">
        <f>AB265*D265*10000*VLOOKUP(A265,[1]kcal!$A$2:$C$49,3,FALSE)/1000000000000</f>
        <v>1.6804951935417274E-4</v>
      </c>
    </row>
    <row r="266" spans="1:29" x14ac:dyDescent="0.25">
      <c r="A266" s="171" t="str">
        <f t="shared" si="79"/>
        <v>Korn</v>
      </c>
      <c r="B266" s="171" t="str">
        <f t="shared" si="80"/>
        <v>Halm og strå</v>
      </c>
      <c r="C266" s="171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1</v>
      </c>
      <c r="D266" s="171">
        <f t="shared" si="82"/>
        <v>1</v>
      </c>
      <c r="E266" s="171">
        <f t="shared" si="81"/>
        <v>2050</v>
      </c>
      <c r="F266" t="s">
        <v>24</v>
      </c>
      <c r="G266" s="94">
        <f>IF(F266="Vestdanmark",SUMIFS(IF(E266=År1,'Resultater - Vestdanmark'!H$3:H$504,IF(E266=År2,'Resultater - Vestdanmark'!I$3:I$504,'Resultater - Vestdanmark'!J$3:J$504)),'Resultater - Vestdanmark'!$F$3:$F$504,$A266,IF(E266=År1,'Resultater - Vestdanmark'!H$3:H$504,IF(E266=År2,'Resultater - Vestdanmark'!I$3:I$504,'Resultater - Vestdanmark'!J$3:J$504)),"&gt;0"),SUMIFS(IF(E266=År1,'Resultater - Østdanmark'!H$3:H$504,IF(E266=År2,'Resultater - Østdanmark'!I$3:I$504,'Resultater - Østdanmark'!J$3:J$504)),'Resultater - Østdanmark'!$F$3:$F$504,$A266,IF(E266=År1,'Resultater - Østdanmark'!H$3:H$504,IF(E266=År2,'Resultater - Østdanmark'!I$3:I$504,'Resultater - Østdanmark'!J$3:J$504)),"&gt;0"))</f>
        <v>3503.8972601034743</v>
      </c>
      <c r="H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forbrug'!H$3,'Forbrug af biomasse'!$B$2:$B$425,$F266)</f>
        <v>57061.536053444106</v>
      </c>
      <c r="I266">
        <f>IF(F266="Vestdanmark",-IF(A266="Halm",SUMIFS(IF(E266=År1,'Resultater - Vestdanmark'!H$3:H$504,IF(E266=År2,'Resultater - Vestdanmark'!I$3:I$504,'Resultater - Vestdanmark'!J$3:J$504)),'Resultater - Vestdanmark'!$F$3:$F$504,$A266,'Resultater - Vestdanmark'!H$3:H$504,"&lt;0"),0),-IF(A266="Halm",SUMIFS(IF(E266=År1,'Resultater - Østdanmark'!H$3:H$504,IF(E266=År2,'Resultater - Østdanmark'!I$3:I$504,'Resultater - Østdanmark'!J$3:J$504)),'Resultater - Østdanmark'!$F$3:$F$504,$A266,'Resultater - Østdanmark'!H$3:H$504,"&lt;0"),0))</f>
        <v>0</v>
      </c>
      <c r="J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forbrug'!J$3,'Forbrug af biomasse'!$B$2:$B$425,$F266)</f>
        <v>268249.01834925939</v>
      </c>
      <c r="K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forbrug'!K$3,'Forbrug af biomasse'!$B$2:$B$425,$F266)</f>
        <v>0</v>
      </c>
      <c r="L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forbrug'!L$3,'Forbrug af biomasse'!$B$2:$B$425,$F266)</f>
        <v>0</v>
      </c>
      <c r="M266" s="94">
        <f>IF(A266&lt;&gt;"Biogas",SUMIFS('Forbrug af biomasse'!$E$2:$E$425,'Forbrug af biomasse'!$C$2:$C$425,'Resultat-Produktion &amp; forbrug'!$A266,'Forbrug af biomasse'!$D$2:$D$425,'Resultat-Produktion &amp; forbrug'!$E266,'Forbrug af biomasse'!$A$2:$A$425,'Resultat-Produktion &amp; forbrug'!M$3,'Forbrug af biomasse'!$B$2:$B$425,$F266),G266)</f>
        <v>0</v>
      </c>
      <c r="N266" s="94">
        <f>SUMIFS('Forbrug af biomasse'!E:E,'Forbrug af biomasse'!C:C,'Resultat-Produktion &amp; forbrug'!$A266,'Forbrug af biomasse'!D:D,'Resultat-Produktion &amp; forbrug'!$E266,'Forbrug af biomasse'!G:G,1,'Forbrug af biomasse'!B:B,$F266)</f>
        <v>0</v>
      </c>
      <c r="O266" s="179">
        <f t="shared" si="69"/>
        <v>-321806.65714259999</v>
      </c>
      <c r="P266" s="94">
        <f t="shared" si="83"/>
        <v>0</v>
      </c>
      <c r="Q266" s="180">
        <f t="shared" si="70"/>
        <v>0</v>
      </c>
      <c r="R266">
        <f>IFERROR(VLOOKUP(A266,[1]Energiindhold!$A$2:$C$11,3,FALSE),IFERROR(VLOOKUP(A266,[1]Biogasudbytte!$A$2:$B$18,2,FALSE)*[1]Energiindhold!$C$10,0))*P266</f>
        <v>0</v>
      </c>
      <c r="S266">
        <f>IF(A266&lt;&gt;"Biogas",IFERROR(VLOOKUP(A266,[1]Biogasudbytte!$A$2:$B$18,2,FALSE)*[1]Energiindhold!$C$10,0)*K266*IFERROR(VLOOKUP(A266,Biogasanlæg!$F$3:$G$8,2,FALSE),1)+IFERROR(VLOOKUP(A266,[1]Energiindhold!$A$2:$C$11,3,FALSE),0)*M266+IF(E266&lt;&gt;År1,R266,0),0)</f>
        <v>0</v>
      </c>
      <c r="T266">
        <f>IFERROR(VLOOKUP(A266,[1]Biogasudbytte!$A$2:$B$18,2,FALSE)*[1]Energiindhold!$C$10,0)*K266*IFERROR(VLOOKUP(A266,Biogasanlæg!$F$3:$G$8,2,FALSE),1)</f>
        <v>0</v>
      </c>
      <c r="U266" s="170">
        <f t="shared" si="71"/>
        <v>0</v>
      </c>
      <c r="V266" s="169">
        <f>P266*IFERROR(VLOOKUP(A266,[1]Tørstofindhold!A$2:B$24,2,FALSE),0)</f>
        <v>0</v>
      </c>
      <c r="W266">
        <f>IF(E266=År1,Q266,SUM(P266,Q266))*IFERROR(VLOOKUP(A266,[1]Tørstofindhold!A$2:B$24,2,FALSE),0)</f>
        <v>0</v>
      </c>
      <c r="X266">
        <f>K266*IFERROR(VLOOKUP(A266,[1]Tørstofindhold!A$2:B$24,2,FALSE),0)</f>
        <v>0</v>
      </c>
      <c r="Y266" s="170">
        <f t="shared" si="72"/>
        <v>0</v>
      </c>
      <c r="Z266">
        <f t="shared" si="84"/>
        <v>1</v>
      </c>
      <c r="AA266">
        <f t="shared" si="85"/>
        <v>0</v>
      </c>
      <c r="AB266" s="94">
        <f t="shared" si="86"/>
        <v>-53557.638793340629</v>
      </c>
      <c r="AC266">
        <f>AB266*D266*10000*VLOOKUP(A266,[1]kcal!$A$2:$C$49,3,FALSE)/1000000000000</f>
        <v>-0.1960209579836267</v>
      </c>
    </row>
    <row r="267" spans="1:29" x14ac:dyDescent="0.25">
      <c r="A267" s="171" t="str">
        <f t="shared" si="79"/>
        <v>Kunstgødning</v>
      </c>
      <c r="B267" s="171" t="str">
        <f t="shared" si="80"/>
        <v/>
      </c>
      <c r="C267" s="171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0</v>
      </c>
      <c r="D267" s="171">
        <f t="shared" si="82"/>
        <v>0</v>
      </c>
      <c r="E267" s="171">
        <f t="shared" si="81"/>
        <v>2050</v>
      </c>
      <c r="F267" t="s">
        <v>24</v>
      </c>
      <c r="G267" s="94">
        <f>IF(F267="Vestdanmark",SUMIFS(IF(E267=År1,'Resultater - Vestdanmark'!H$3:H$504,IF(E267=År2,'Resultater - Vestdanmark'!I$3:I$504,'Resultater - Vestdanmark'!J$3:J$504)),'Resultater - Vestdanmark'!$F$3:$F$504,$A267,IF(E267=År1,'Resultater - Vestdanmark'!H$3:H$504,IF(E267=År2,'Resultater - Vestdanmark'!I$3:I$504,'Resultater - Vestdanmark'!J$3:J$504)),"&gt;0"),SUMIFS(IF(E267=År1,'Resultater - Østdanmark'!H$3:H$504,IF(E267=År2,'Resultater - Østdanmark'!I$3:I$504,'Resultater - Østdanmark'!J$3:J$504)),'Resultater - Østdanmark'!$F$3:$F$504,$A267,IF(E267=År1,'Resultater - Østdanmark'!H$3:H$504,IF(E267=År2,'Resultater - Østdanmark'!I$3:I$504,'Resultater - Østdanmark'!J$3:J$504)),"&gt;0"))</f>
        <v>0</v>
      </c>
      <c r="H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forbrug'!H$3,'Forbrug af biomasse'!$B$2:$B$425,$F267)</f>
        <v>0</v>
      </c>
      <c r="I267">
        <f>IF(F267="Vestdanmark",-IF(A267="Halm",SUMIFS(IF(E267=År1,'Resultater - Vestdanmark'!H$3:H$504,IF(E267=År2,'Resultater - Vestdanmark'!I$3:I$504,'Resultater - Vestdanmark'!J$3:J$504)),'Resultater - Vestdanmark'!$F$3:$F$504,$A267,'Resultater - Vestdanmark'!H$3:H$504,"&lt;0"),0),-IF(A267="Halm",SUMIFS(IF(E267=År1,'Resultater - Østdanmark'!H$3:H$504,IF(E267=År2,'Resultater - Østdanmark'!I$3:I$504,'Resultater - Østdanmark'!J$3:J$504)),'Resultater - Østdanmark'!$F$3:$F$504,$A267,'Resultater - Østdanmark'!H$3:H$504,"&lt;0"),0))</f>
        <v>0</v>
      </c>
      <c r="J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forbrug'!J$3,'Forbrug af biomasse'!$B$2:$B$425,$F267)</f>
        <v>0</v>
      </c>
      <c r="K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forbrug'!K$3,'Forbrug af biomasse'!$B$2:$B$425,$F267)</f>
        <v>0</v>
      </c>
      <c r="L267" s="94">
        <f ca="1">SUMIFS('Forbrug af biomasse'!$E$2:$E$425,'Forbrug af biomasse'!$C$2:$C$425,'Resultat-Produktion &amp; forbrug'!$A267,'Forbrug af biomasse'!$D$2:$D$425,'Resultat-Produktion &amp; forbrug'!$E267,'Forbrug af biomasse'!$A$2:$A$425,'Resultat-Produktion &amp; forbrug'!L$3,'Forbrug af biomasse'!$B$2:$B$425,$F267)</f>
        <v>973432.69438373833</v>
      </c>
      <c r="M267" s="94">
        <f>IF(A267&lt;&gt;"Biogas",SUMIFS('Forbrug af biomasse'!$E$2:$E$425,'Forbrug af biomasse'!$C$2:$C$425,'Resultat-Produktion &amp; forbrug'!$A267,'Forbrug af biomasse'!$D$2:$D$425,'Resultat-Produktion &amp; forbrug'!$E267,'Forbrug af biomasse'!$A$2:$A$425,'Resultat-Produktion &amp; forbrug'!M$3,'Forbrug af biomasse'!$B$2:$B$425,$F267),G267)</f>
        <v>0</v>
      </c>
      <c r="N267" s="94">
        <f>SUMIFS('Forbrug af biomasse'!E:E,'Forbrug af biomasse'!C:C,'Resultat-Produktion &amp; forbrug'!$A267,'Forbrug af biomasse'!D:D,'Resultat-Produktion &amp; forbrug'!$E267,'Forbrug af biomasse'!G:G,1,'Forbrug af biomasse'!B:B,$F267)</f>
        <v>0</v>
      </c>
      <c r="O267" s="179">
        <f t="shared" ca="1" si="69"/>
        <v>-973432.69438373833</v>
      </c>
      <c r="P267" s="94">
        <f t="shared" si="83"/>
        <v>0</v>
      </c>
      <c r="Q267" s="180">
        <f t="shared" si="70"/>
        <v>0</v>
      </c>
      <c r="R267">
        <f>IFERROR(VLOOKUP(A267,[1]Energiindhold!$A$2:$C$11,3,FALSE),IFERROR(VLOOKUP(A267,[1]Biogasudbytte!$A$2:$B$18,2,FALSE)*[1]Energiindhold!$C$10,0))*P267</f>
        <v>0</v>
      </c>
      <c r="S267">
        <f>IF(A267&lt;&gt;"Biogas",IFERROR(VLOOKUP(A267,[1]Biogasudbytte!$A$2:$B$18,2,FALSE)*[1]Energiindhold!$C$10,0)*K267*IFERROR(VLOOKUP(A267,Biogasanlæg!$F$3:$G$8,2,FALSE),1)+IFERROR(VLOOKUP(A267,[1]Energiindhold!$A$2:$C$11,3,FALSE),0)*M267+IF(E267&lt;&gt;År1,R267,0),0)</f>
        <v>0</v>
      </c>
      <c r="T267">
        <f>IFERROR(VLOOKUP(A267,[1]Biogasudbytte!$A$2:$B$18,2,FALSE)*[1]Energiindhold!$C$10,0)*K267*IFERROR(VLOOKUP(A267,Biogasanlæg!$F$3:$G$8,2,FALSE),1)</f>
        <v>0</v>
      </c>
      <c r="U267" s="170">
        <f t="shared" si="71"/>
        <v>0</v>
      </c>
      <c r="V267" s="169">
        <f>P267*IFERROR(VLOOKUP(A267,[1]Tørstofindhold!A$2:B$24,2,FALSE),0)</f>
        <v>0</v>
      </c>
      <c r="W267">
        <f>IF(E267=År1,Q267,SUM(P267,Q267))*IFERROR(VLOOKUP(A267,[1]Tørstofindhold!A$2:B$24,2,FALSE),0)</f>
        <v>0</v>
      </c>
      <c r="X267">
        <f>K267*IFERROR(VLOOKUP(A267,[1]Tørstofindhold!A$2:B$24,2,FALSE),0)</f>
        <v>0</v>
      </c>
      <c r="Y267" s="170">
        <f t="shared" si="72"/>
        <v>0</v>
      </c>
      <c r="Z267">
        <f t="shared" ca="1" si="84"/>
        <v>1</v>
      </c>
      <c r="AA267">
        <f t="shared" ca="1" si="85"/>
        <v>0</v>
      </c>
      <c r="AB267" s="94">
        <f t="shared" ca="1" si="86"/>
        <v>-973432.69438373833</v>
      </c>
      <c r="AC267">
        <f ca="1">AB267*D267*10000*VLOOKUP(A267,[1]kcal!$A$2:$C$49,3,FALSE)/1000000000000</f>
        <v>0</v>
      </c>
    </row>
    <row r="268" spans="1:29" x14ac:dyDescent="0.25">
      <c r="A268" s="171" t="str">
        <f t="shared" si="79"/>
        <v>Kvæggylle</v>
      </c>
      <c r="B268" s="171" t="str">
        <f t="shared" si="80"/>
        <v>Husdyrgødning</v>
      </c>
      <c r="C268" s="171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1</v>
      </c>
      <c r="D268" s="171">
        <f t="shared" si="82"/>
        <v>0</v>
      </c>
      <c r="E268" s="171">
        <f t="shared" si="81"/>
        <v>2050</v>
      </c>
      <c r="F268" t="s">
        <v>24</v>
      </c>
      <c r="G268" s="94">
        <f>IF(F268="Vestdanmark",SUMIFS(IF(E268=År1,'Resultater - Vestdanmark'!H$3:H$504,IF(E268=År2,'Resultater - Vestdanmark'!I$3:I$504,'Resultater - Vestdanmark'!J$3:J$504)),'Resultater - Vestdanmark'!$F$3:$F$504,$A268,IF(E268=År1,'Resultater - Vestdanmark'!H$3:H$504,IF(E268=År2,'Resultater - Vestdanmark'!I$3:I$504,'Resultater - Vestdanmark'!J$3:J$504)),"&gt;0"),SUMIFS(IF(E268=År1,'Resultater - Østdanmark'!H$3:H$504,IF(E268=År2,'Resultater - Østdanmark'!I$3:I$504,'Resultater - Østdanmark'!J$3:J$504)),'Resultater - Østdanmark'!$F$3:$F$504,$A268,IF(E268=År1,'Resultater - Østdanmark'!H$3:H$504,IF(E268=År2,'Resultater - Østdanmark'!I$3:I$504,'Resultater - Østdanmark'!J$3:J$504)),"&gt;0"))</f>
        <v>55781.658851427252</v>
      </c>
      <c r="H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forbrug'!H$3,'Forbrug af biomasse'!$B$2:$B$425,$F268)</f>
        <v>0</v>
      </c>
      <c r="I268">
        <f>IF(F268="Vestdanmark",-IF(A268="Halm",SUMIFS(IF(E268=År1,'Resultater - Vestdanmark'!H$3:H$504,IF(E268=År2,'Resultater - Vestdanmark'!I$3:I$504,'Resultater - Vestdanmark'!J$3:J$504)),'Resultater - Vestdanmark'!$F$3:$F$504,$A268,'Resultater - Vestdanmark'!H$3:H$504,"&lt;0"),0),-IF(A268="Halm",SUMIFS(IF(E268=År1,'Resultater - Østdanmark'!H$3:H$504,IF(E268=År2,'Resultater - Østdanmark'!I$3:I$504,'Resultater - Østdanmark'!J$3:J$504)),'Resultater - Østdanmark'!$F$3:$F$504,$A268,'Resultater - Østdanmark'!H$3:H$504,"&lt;0"),0))</f>
        <v>0</v>
      </c>
      <c r="J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forbrug'!J$3,'Forbrug af biomasse'!$B$2:$B$425,$F268)</f>
        <v>0</v>
      </c>
      <c r="K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forbrug'!K$3,'Forbrug af biomasse'!$B$2:$B$425,$F268)</f>
        <v>50203.492966284524</v>
      </c>
      <c r="L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forbrug'!L$3,'Forbrug af biomasse'!$B$2:$B$425,$F268)</f>
        <v>5578.1658851427237</v>
      </c>
      <c r="M268" s="94">
        <f>IF(A268&lt;&gt;"Biogas",SUMIFS('Forbrug af biomasse'!$E$2:$E$425,'Forbrug af biomasse'!$C$2:$C$425,'Resultat-Produktion &amp; forbrug'!$A268,'Forbrug af biomasse'!$D$2:$D$425,'Resultat-Produktion &amp; forbrug'!$E268,'Forbrug af biomasse'!$A$2:$A$425,'Resultat-Produktion &amp; forbrug'!M$3,'Forbrug af biomasse'!$B$2:$B$425,$F268),G268)</f>
        <v>0</v>
      </c>
      <c r="N268" s="94">
        <f>SUMIFS('Forbrug af biomasse'!E:E,'Forbrug af biomasse'!C:C,'Resultat-Produktion &amp; forbrug'!$A268,'Forbrug af biomasse'!D:D,'Resultat-Produktion &amp; forbrug'!$E268,'Forbrug af biomasse'!G:G,1,'Forbrug af biomasse'!B:B,$F268)</f>
        <v>0</v>
      </c>
      <c r="O268" s="179">
        <f t="shared" si="69"/>
        <v>0</v>
      </c>
      <c r="P268" s="94">
        <f t="shared" si="83"/>
        <v>0</v>
      </c>
      <c r="Q268" s="180">
        <f t="shared" si="70"/>
        <v>50203.492966284524</v>
      </c>
      <c r="R268">
        <f>IFERROR(VLOOKUP(A268,[1]Energiindhold!$A$2:$C$11,3,FALSE),IFERROR(VLOOKUP(A268,[1]Biogasudbytte!$A$2:$B$18,2,FALSE)*[1]Energiindhold!$C$10,0))*P268</f>
        <v>0</v>
      </c>
      <c r="S268">
        <f>IF(A268&lt;&gt;"Biogas",IFERROR(VLOOKUP(A268,[1]Biogasudbytte!$A$2:$B$18,2,FALSE)*[1]Energiindhold!$C$10,0)*K268*IFERROR(VLOOKUP(A268,Biogasanlæg!$F$3:$G$8,2,FALSE),1)+IFERROR(VLOOKUP(A268,[1]Energiindhold!$A$2:$C$11,3,FALSE),0)*M268+IF(E268&lt;&gt;År1,R268,0),0)</f>
        <v>2.5412506104603567E-2</v>
      </c>
      <c r="T268">
        <f>IFERROR(VLOOKUP(A268,[1]Biogasudbytte!$A$2:$B$18,2,FALSE)*[1]Energiindhold!$C$10,0)*K268*IFERROR(VLOOKUP(A268,Biogasanlæg!$F$3:$G$8,2,FALSE),1)</f>
        <v>2.5412506104603567E-2</v>
      </c>
      <c r="U268" s="170">
        <f t="shared" si="71"/>
        <v>0</v>
      </c>
      <c r="V268" s="169">
        <f>P268*IFERROR(VLOOKUP(A268,[1]Tørstofindhold!A$2:B$24,2,FALSE),0)</f>
        <v>0</v>
      </c>
      <c r="W268">
        <f>IF(E268=År1,Q268,SUM(P268,Q268))*IFERROR(VLOOKUP(A268,[1]Tørstofindhold!A$2:B$24,2,FALSE),0)</f>
        <v>3815.4654654376236</v>
      </c>
      <c r="X268">
        <f>K268*IFERROR(VLOOKUP(A268,[1]Tørstofindhold!A$2:B$24,2,FALSE),0)</f>
        <v>3815.4654654376236</v>
      </c>
      <c r="Y268" s="170">
        <f t="shared" si="72"/>
        <v>0</v>
      </c>
      <c r="Z268">
        <f t="shared" si="84"/>
        <v>0</v>
      </c>
      <c r="AA268">
        <f t="shared" si="85"/>
        <v>0</v>
      </c>
      <c r="AB268" s="94">
        <f t="shared" si="86"/>
        <v>0</v>
      </c>
      <c r="AC268">
        <f>AB268*D268*10000*VLOOKUP(A268,[1]kcal!$A$2:$C$49,3,FALSE)/1000000000000</f>
        <v>0</v>
      </c>
    </row>
    <row r="269" spans="1:29" x14ac:dyDescent="0.25">
      <c r="A269" s="171" t="str">
        <f t="shared" si="79"/>
        <v>Mælk til foder</v>
      </c>
      <c r="B269" s="171" t="str">
        <f t="shared" si="80"/>
        <v/>
      </c>
      <c r="C269" s="171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0</v>
      </c>
      <c r="D269" s="171">
        <f t="shared" si="82"/>
        <v>0</v>
      </c>
      <c r="E269" s="171">
        <f t="shared" si="81"/>
        <v>2050</v>
      </c>
      <c r="F269" t="s">
        <v>24</v>
      </c>
      <c r="G269" s="94">
        <f>IF(F269="Vestdanmark",SUMIFS(IF(E269=År1,'Resultater - Vestdanmark'!H$3:H$504,IF(E269=År2,'Resultater - Vestdanmark'!I$3:I$504,'Resultater - Vestdanmark'!J$3:J$504)),'Resultater - Vestdanmark'!$F$3:$F$504,$A269,IF(E269=År1,'Resultater - Vestdanmark'!H$3:H$504,IF(E269=År2,'Resultater - Vestdanmark'!I$3:I$504,'Resultater - Vestdanmark'!J$3:J$504)),"&gt;0"),SUMIFS(IF(E269=År1,'Resultater - Østdanmark'!H$3:H$504,IF(E269=År2,'Resultater - Østdanmark'!I$3:I$504,'Resultater - Østdanmark'!J$3:J$504)),'Resultater - Østdanmark'!$F$3:$F$504,$A269,IF(E269=År1,'Resultater - Østdanmark'!H$3:H$504,IF(E269=År2,'Resultater - Østdanmark'!I$3:I$504,'Resultater - Østdanmark'!J$3:J$504)),"&gt;0"))</f>
        <v>7091.4272335775522</v>
      </c>
      <c r="H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forbrug'!H$3,'Forbrug af biomasse'!$B$2:$B$425,$F269)</f>
        <v>14710.973488104135</v>
      </c>
      <c r="I269">
        <f>IF(F269="Vestdanmark",-IF(A269="Halm",SUMIFS(IF(E269=År1,'Resultater - Vestdanmark'!H$3:H$504,IF(E269=År2,'Resultater - Vestdanmark'!I$3:I$504,'Resultater - Vestdanmark'!J$3:J$504)),'Resultater - Vestdanmark'!$F$3:$F$504,$A269,'Resultater - Vestdanmark'!H$3:H$504,"&lt;0"),0),-IF(A269="Halm",SUMIFS(IF(E269=År1,'Resultater - Østdanmark'!H$3:H$504,IF(E269=År2,'Resultater - Østdanmark'!I$3:I$504,'Resultater - Østdanmark'!J$3:J$504)),'Resultater - Østdanmark'!$F$3:$F$504,$A269,'Resultater - Østdanmark'!H$3:H$504,"&lt;0"),0))</f>
        <v>0</v>
      </c>
      <c r="J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forbrug'!J$3,'Forbrug af biomasse'!$B$2:$B$425,$F269)</f>
        <v>0</v>
      </c>
      <c r="K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forbrug'!K$3,'Forbrug af biomasse'!$B$2:$B$425,$F269)</f>
        <v>0</v>
      </c>
      <c r="L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forbrug'!L$3,'Forbrug af biomasse'!$B$2:$B$425,$F269)</f>
        <v>0</v>
      </c>
      <c r="M269" s="94">
        <f>IF(A269&lt;&gt;"Biogas",SUMIFS('Forbrug af biomasse'!$E$2:$E$425,'Forbrug af biomasse'!$C$2:$C$425,'Resultat-Produktion &amp; forbrug'!$A269,'Forbrug af biomasse'!$D$2:$D$425,'Resultat-Produktion &amp; forbrug'!$E269,'Forbrug af biomasse'!$A$2:$A$425,'Resultat-Produktion &amp; forbrug'!M$3,'Forbrug af biomasse'!$B$2:$B$425,$F269),G269)</f>
        <v>0</v>
      </c>
      <c r="N269" s="94">
        <f>SUMIFS('Forbrug af biomasse'!E:E,'Forbrug af biomasse'!C:C,'Resultat-Produktion &amp; forbrug'!$A269,'Forbrug af biomasse'!D:D,'Resultat-Produktion &amp; forbrug'!$E269,'Forbrug af biomasse'!G:G,1,'Forbrug af biomasse'!B:B,$F269)</f>
        <v>0</v>
      </c>
      <c r="O269" s="179">
        <f t="shared" si="69"/>
        <v>-7619.5462545265827</v>
      </c>
      <c r="P269" s="94">
        <f t="shared" si="83"/>
        <v>0</v>
      </c>
      <c r="Q269" s="180">
        <f t="shared" si="70"/>
        <v>0</v>
      </c>
      <c r="R269">
        <f>IFERROR(VLOOKUP(A269,[1]Energiindhold!$A$2:$C$11,3,FALSE),IFERROR(VLOOKUP(A269,[1]Biogasudbytte!$A$2:$B$18,2,FALSE)*[1]Energiindhold!$C$10,0))*P269</f>
        <v>0</v>
      </c>
      <c r="S269">
        <f>IF(A269&lt;&gt;"Biogas",IFERROR(VLOOKUP(A269,[1]Biogasudbytte!$A$2:$B$18,2,FALSE)*[1]Energiindhold!$C$10,0)*K269*IFERROR(VLOOKUP(A269,Biogasanlæg!$F$3:$G$8,2,FALSE),1)+IFERROR(VLOOKUP(A269,[1]Energiindhold!$A$2:$C$11,3,FALSE),0)*M269+IF(E269&lt;&gt;År1,R269,0),0)</f>
        <v>0</v>
      </c>
      <c r="T269">
        <f>IFERROR(VLOOKUP(A269,[1]Biogasudbytte!$A$2:$B$18,2,FALSE)*[1]Energiindhold!$C$10,0)*K269*IFERROR(VLOOKUP(A269,Biogasanlæg!$F$3:$G$8,2,FALSE),1)</f>
        <v>0</v>
      </c>
      <c r="U269" s="170">
        <f t="shared" si="71"/>
        <v>0</v>
      </c>
      <c r="V269" s="169">
        <f>P269*IFERROR(VLOOKUP(A269,[1]Tørstofindhold!A$2:B$24,2,FALSE),0)</f>
        <v>0</v>
      </c>
      <c r="W269">
        <f>IF(E269=År1,Q269,SUM(P269,Q269))*IFERROR(VLOOKUP(A269,[1]Tørstofindhold!A$2:B$24,2,FALSE),0)</f>
        <v>0</v>
      </c>
      <c r="X269">
        <f>K269*IFERROR(VLOOKUP(A269,[1]Tørstofindhold!A$2:B$24,2,FALSE),0)</f>
        <v>0</v>
      </c>
      <c r="Y269" s="170">
        <f t="shared" si="72"/>
        <v>0</v>
      </c>
      <c r="Z269">
        <f t="shared" si="84"/>
        <v>1</v>
      </c>
      <c r="AA269">
        <f t="shared" si="85"/>
        <v>0</v>
      </c>
      <c r="AB269" s="94">
        <f t="shared" si="86"/>
        <v>-7619.5462545265827</v>
      </c>
      <c r="AC269">
        <f>AB269*D269*10000*VLOOKUP(A269,[1]kcal!$A$2:$C$49,3,FALSE)/1000000000000</f>
        <v>0</v>
      </c>
    </row>
    <row r="270" spans="1:29" x14ac:dyDescent="0.25">
      <c r="A270" s="171" t="str">
        <f t="shared" si="79"/>
        <v>Majs</v>
      </c>
      <c r="B270" s="171" t="str">
        <f t="shared" si="80"/>
        <v>Græs og urter</v>
      </c>
      <c r="C270" s="171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1</v>
      </c>
      <c r="D270" s="171">
        <f t="shared" si="82"/>
        <v>1</v>
      </c>
      <c r="E270" s="171">
        <f t="shared" si="81"/>
        <v>2050</v>
      </c>
      <c r="F270" t="s">
        <v>24</v>
      </c>
      <c r="G270" s="94">
        <f>IF(F270="Vestdanmark",SUMIFS(IF(E270=År1,'Resultater - Vestdanmark'!H$3:H$504,IF(E270=År2,'Resultater - Vestdanmark'!I$3:I$504,'Resultater - Vestdanmark'!J$3:J$504)),'Resultater - Vestdanmark'!$F$3:$F$504,$A270,IF(E270=År1,'Resultater - Vestdanmark'!H$3:H$504,IF(E270=År2,'Resultater - Vestdanmark'!I$3:I$504,'Resultater - Vestdanmark'!J$3:J$504)),"&gt;0"),SUMIFS(IF(E270=År1,'Resultater - Østdanmark'!H$3:H$504,IF(E270=År2,'Resultater - Østdanmark'!I$3:I$504,'Resultater - Østdanmark'!J$3:J$504)),'Resultater - Østdanmark'!$F$3:$F$504,$A270,IF(E270=År1,'Resultater - Østdanmark'!H$3:H$504,IF(E270=År2,'Resultater - Østdanmark'!I$3:I$504,'Resultater - Østdanmark'!J$3:J$504)),"&gt;0"))</f>
        <v>705.63788017957472</v>
      </c>
      <c r="H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forbrug'!H$3,'Forbrug af biomasse'!$B$2:$B$425,$F270)</f>
        <v>54905.31771712625</v>
      </c>
      <c r="I270">
        <f>IF(F270="Vestdanmark",-IF(A270="Halm",SUMIFS(IF(E270=År1,'Resultater - Vestdanmark'!H$3:H$504,IF(E270=År2,'Resultater - Vestdanmark'!I$3:I$504,'Resultater - Vestdanmark'!J$3:J$504)),'Resultater - Vestdanmark'!$F$3:$F$504,$A270,'Resultater - Vestdanmark'!H$3:H$504,"&lt;0"),0),-IF(A270="Halm",SUMIFS(IF(E270=År1,'Resultater - Østdanmark'!H$3:H$504,IF(E270=År2,'Resultater - Østdanmark'!I$3:I$504,'Resultater - Østdanmark'!J$3:J$504)),'Resultater - Østdanmark'!$F$3:$F$504,$A270,'Resultater - Østdanmark'!H$3:H$504,"&lt;0"),0))</f>
        <v>0</v>
      </c>
      <c r="J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forbrug'!J$3,'Forbrug af biomasse'!$B$2:$B$425,$F270)</f>
        <v>0</v>
      </c>
      <c r="K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forbrug'!K$3,'Forbrug af biomasse'!$B$2:$B$425,$F270)</f>
        <v>0</v>
      </c>
      <c r="L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forbrug'!L$3,'Forbrug af biomasse'!$B$2:$B$425,$F270)</f>
        <v>0</v>
      </c>
      <c r="M270" s="94">
        <f>IF(A270&lt;&gt;"Biogas",SUMIFS('Forbrug af biomasse'!$E$2:$E$425,'Forbrug af biomasse'!$C$2:$C$425,'Resultat-Produktion &amp; forbrug'!$A270,'Forbrug af biomasse'!$D$2:$D$425,'Resultat-Produktion &amp; forbrug'!$E270,'Forbrug af biomasse'!$A$2:$A$425,'Resultat-Produktion &amp; forbrug'!M$3,'Forbrug af biomasse'!$B$2:$B$425,$F270),G270)</f>
        <v>0</v>
      </c>
      <c r="N270" s="94">
        <f>SUMIFS('Forbrug af biomasse'!E:E,'Forbrug af biomasse'!C:C,'Resultat-Produktion &amp; forbrug'!$A270,'Forbrug af biomasse'!D:D,'Resultat-Produktion &amp; forbrug'!$E270,'Forbrug af biomasse'!G:G,1,'Forbrug af biomasse'!B:B,$F270)</f>
        <v>0</v>
      </c>
      <c r="O270" s="179">
        <f t="shared" si="69"/>
        <v>-54199.679836946678</v>
      </c>
      <c r="P270" s="94">
        <f t="shared" si="83"/>
        <v>0</v>
      </c>
      <c r="Q270" s="180">
        <f t="shared" si="70"/>
        <v>0</v>
      </c>
      <c r="R270">
        <f>IFERROR(VLOOKUP(A270,[1]Energiindhold!$A$2:$C$11,3,FALSE),IFERROR(VLOOKUP(A270,[1]Biogasudbytte!$A$2:$B$18,2,FALSE)*[1]Energiindhold!$C$10,0))*P270</f>
        <v>0</v>
      </c>
      <c r="S270">
        <f>IF(A270&lt;&gt;"Biogas",IFERROR(VLOOKUP(A270,[1]Biogasudbytte!$A$2:$B$18,2,FALSE)*[1]Energiindhold!$C$10,0)*K270*IFERROR(VLOOKUP(A270,Biogasanlæg!$F$3:$G$8,2,FALSE),1)+IFERROR(VLOOKUP(A270,[1]Energiindhold!$A$2:$C$11,3,FALSE),0)*M270+IF(E270&lt;&gt;År1,R270,0),0)</f>
        <v>0</v>
      </c>
      <c r="T270">
        <f>IFERROR(VLOOKUP(A270,[1]Biogasudbytte!$A$2:$B$18,2,FALSE)*[1]Energiindhold!$C$10,0)*K270*IFERROR(VLOOKUP(A270,Biogasanlæg!$F$3:$G$8,2,FALSE),1)</f>
        <v>0</v>
      </c>
      <c r="U270" s="170">
        <f t="shared" si="71"/>
        <v>0</v>
      </c>
      <c r="V270" s="169">
        <f>P270*IFERROR(VLOOKUP(A270,[1]Tørstofindhold!A$2:B$24,2,FALSE),0)</f>
        <v>0</v>
      </c>
      <c r="W270">
        <f>IF(E270=År1,Q270,SUM(P270,Q270))*IFERROR(VLOOKUP(A270,[1]Tørstofindhold!A$2:B$24,2,FALSE),0)</f>
        <v>0</v>
      </c>
      <c r="X270">
        <f>K270*IFERROR(VLOOKUP(A270,[1]Tørstofindhold!A$2:B$24,2,FALSE),0)</f>
        <v>0</v>
      </c>
      <c r="Y270" s="170">
        <f t="shared" si="72"/>
        <v>0</v>
      </c>
      <c r="Z270">
        <f t="shared" si="84"/>
        <v>1</v>
      </c>
      <c r="AA270">
        <f t="shared" si="85"/>
        <v>0</v>
      </c>
      <c r="AB270" s="94">
        <f t="shared" si="86"/>
        <v>-54199.679836946678</v>
      </c>
      <c r="AC270">
        <f>AB270*D270*10000*VLOOKUP(A270,[1]kcal!$A$2:$C$49,3,FALSE)/1000000000000</f>
        <v>-4.9321708651621478E-2</v>
      </c>
    </row>
    <row r="271" spans="1:29" x14ac:dyDescent="0.25">
      <c r="A271" s="171" t="str">
        <f t="shared" si="79"/>
        <v>Mejeriprodukter</v>
      </c>
      <c r="B271" s="171" t="str">
        <f t="shared" si="80"/>
        <v/>
      </c>
      <c r="C271" s="171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0</v>
      </c>
      <c r="D271" s="171">
        <f t="shared" si="82"/>
        <v>1</v>
      </c>
      <c r="E271" s="171">
        <f t="shared" si="81"/>
        <v>2050</v>
      </c>
      <c r="F271" t="s">
        <v>24</v>
      </c>
      <c r="G271" s="94">
        <f>IF(F271="Vestdanmark",SUMIFS(IF(E271=År1,'Resultater - Vestdanmark'!H$3:H$504,IF(E271=År2,'Resultater - Vestdanmark'!I$3:I$504,'Resultater - Vestdanmark'!J$3:J$504)),'Resultater - Vestdanmark'!$F$3:$F$504,$A271,IF(E271=År1,'Resultater - Vestdanmark'!H$3:H$504,IF(E271=År2,'Resultater - Vestdanmark'!I$3:I$504,'Resultater - Vestdanmark'!J$3:J$504)),"&gt;0"),SUMIFS(IF(E271=År1,'Resultater - Østdanmark'!H$3:H$504,IF(E271=År2,'Resultater - Østdanmark'!I$3:I$504,'Resultater - Østdanmark'!J$3:J$504)),'Resultater - Østdanmark'!$F$3:$F$504,$A271,IF(E271=År1,'Resultater - Østdanmark'!H$3:H$504,IF(E271=År2,'Resultater - Østdanmark'!I$3:I$504,'Resultater - Østdanmark'!J$3:J$504)),"&gt;0"))</f>
        <v>13682.774185646154</v>
      </c>
      <c r="H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forbrug'!H$3,'Forbrug af biomasse'!$B$2:$B$425,$F271)</f>
        <v>0</v>
      </c>
      <c r="I271">
        <f>IF(F271="Vestdanmark",-IF(A271="Halm",SUMIFS(IF(E271=År1,'Resultater - Vestdanmark'!H$3:H$504,IF(E271=År2,'Resultater - Vestdanmark'!I$3:I$504,'Resultater - Vestdanmark'!J$3:J$504)),'Resultater - Vestdanmark'!$F$3:$F$504,$A271,'Resultater - Vestdanmark'!H$3:H$504,"&lt;0"),0),-IF(A271="Halm",SUMIFS(IF(E271=År1,'Resultater - Østdanmark'!H$3:H$504,IF(E271=År2,'Resultater - Østdanmark'!I$3:I$504,'Resultater - Østdanmark'!J$3:J$504)),'Resultater - Østdanmark'!$F$3:$F$504,$A271,'Resultater - Østdanmark'!H$3:H$504,"&lt;0"),0))</f>
        <v>0</v>
      </c>
      <c r="J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forbrug'!J$3,'Forbrug af biomasse'!$B$2:$B$425,$F271)</f>
        <v>428214.02929147833</v>
      </c>
      <c r="K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forbrug'!K$3,'Forbrug af biomasse'!$B$2:$B$425,$F271)</f>
        <v>0</v>
      </c>
      <c r="L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forbrug'!L$3,'Forbrug af biomasse'!$B$2:$B$425,$F271)</f>
        <v>0</v>
      </c>
      <c r="M271" s="94">
        <f>IF(A271&lt;&gt;"Biogas",SUMIFS('Forbrug af biomasse'!$E$2:$E$425,'Forbrug af biomasse'!$C$2:$C$425,'Resultat-Produktion &amp; forbrug'!$A271,'Forbrug af biomasse'!$D$2:$D$425,'Resultat-Produktion &amp; forbrug'!$E271,'Forbrug af biomasse'!$A$2:$A$425,'Resultat-Produktion &amp; forbrug'!M$3,'Forbrug af biomasse'!$B$2:$B$425,$F271),G271)</f>
        <v>0</v>
      </c>
      <c r="N271" s="94">
        <f>SUMIFS('Forbrug af biomasse'!E:E,'Forbrug af biomasse'!C:C,'Resultat-Produktion &amp; forbrug'!$A271,'Forbrug af biomasse'!D:D,'Resultat-Produktion &amp; forbrug'!$E271,'Forbrug af biomasse'!G:G,1,'Forbrug af biomasse'!B:B,$F271)</f>
        <v>0</v>
      </c>
      <c r="O271" s="179">
        <f t="shared" si="69"/>
        <v>-414531.25510583218</v>
      </c>
      <c r="P271" s="94">
        <f t="shared" si="83"/>
        <v>0</v>
      </c>
      <c r="Q271" s="180">
        <f t="shared" si="70"/>
        <v>0</v>
      </c>
      <c r="R271">
        <f>IFERROR(VLOOKUP(A271,[1]Energiindhold!$A$2:$C$11,3,FALSE),IFERROR(VLOOKUP(A271,[1]Biogasudbytte!$A$2:$B$18,2,FALSE)*[1]Energiindhold!$C$10,0))*P271</f>
        <v>0</v>
      </c>
      <c r="S271">
        <f>IF(A271&lt;&gt;"Biogas",IFERROR(VLOOKUP(A271,[1]Biogasudbytte!$A$2:$B$18,2,FALSE)*[1]Energiindhold!$C$10,0)*K271*IFERROR(VLOOKUP(A271,Biogasanlæg!$F$3:$G$8,2,FALSE),1)+IFERROR(VLOOKUP(A271,[1]Energiindhold!$A$2:$C$11,3,FALSE),0)*M271+IF(E271&lt;&gt;År1,R271,0),0)</f>
        <v>0</v>
      </c>
      <c r="T271">
        <f>IFERROR(VLOOKUP(A271,[1]Biogasudbytte!$A$2:$B$18,2,FALSE)*[1]Energiindhold!$C$10,0)*K271*IFERROR(VLOOKUP(A271,Biogasanlæg!$F$3:$G$8,2,FALSE),1)</f>
        <v>0</v>
      </c>
      <c r="U271" s="170">
        <f t="shared" si="71"/>
        <v>0</v>
      </c>
      <c r="V271" s="169">
        <f>P271*IFERROR(VLOOKUP(A271,[1]Tørstofindhold!A$2:B$24,2,FALSE),0)</f>
        <v>0</v>
      </c>
      <c r="W271">
        <f>IF(E271=År1,Q271,SUM(P271,Q271))*IFERROR(VLOOKUP(A271,[1]Tørstofindhold!A$2:B$24,2,FALSE),0)</f>
        <v>0</v>
      </c>
      <c r="X271">
        <f>K271*IFERROR(VLOOKUP(A271,[1]Tørstofindhold!A$2:B$24,2,FALSE),0)</f>
        <v>0</v>
      </c>
      <c r="Y271" s="170">
        <f t="shared" si="72"/>
        <v>0</v>
      </c>
      <c r="Z271">
        <f t="shared" si="84"/>
        <v>1</v>
      </c>
      <c r="AA271">
        <f t="shared" si="85"/>
        <v>0</v>
      </c>
      <c r="AB271" s="94">
        <f t="shared" si="86"/>
        <v>13682.774185646154</v>
      </c>
      <c r="AC271">
        <f>AB271*D271*10000*VLOOKUP(A271,[1]kcal!$A$2:$C$49,3,FALSE)/1000000000000</f>
        <v>8.6201477369570768E-3</v>
      </c>
    </row>
    <row r="272" spans="1:29" x14ac:dyDescent="0.25">
      <c r="A272" s="171" t="str">
        <f t="shared" si="79"/>
        <v>Muslinger</v>
      </c>
      <c r="B272" s="171" t="str">
        <f t="shared" si="80"/>
        <v>Havbiomasse</v>
      </c>
      <c r="C272" s="171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1</v>
      </c>
      <c r="D272" s="171">
        <f t="shared" si="82"/>
        <v>1</v>
      </c>
      <c r="E272" s="171">
        <f t="shared" si="81"/>
        <v>2050</v>
      </c>
      <c r="F272" t="s">
        <v>24</v>
      </c>
      <c r="G272" s="94">
        <f>IF(F272="Vestdanmark",SUMIFS(IF(E272=År1,'Resultater - Vestdanmark'!H$3:H$504,IF(E272=År2,'Resultater - Vestdanmark'!I$3:I$504,'Resultater - Vestdanmark'!J$3:J$504)),'Resultater - Vestdanmark'!$F$3:$F$504,$A272,IF(E272=År1,'Resultater - Vestdanmark'!H$3:H$504,IF(E272=År2,'Resultater - Vestdanmark'!I$3:I$504,'Resultater - Vestdanmark'!J$3:J$504)),"&gt;0"),SUMIFS(IF(E272=År1,'Resultater - Østdanmark'!H$3:H$504,IF(E272=År2,'Resultater - Østdanmark'!I$3:I$504,'Resultater - Østdanmark'!J$3:J$504)),'Resultater - Østdanmark'!$F$3:$F$504,$A272,IF(E272=År1,'Resultater - Østdanmark'!H$3:H$504,IF(E272=År2,'Resultater - Østdanmark'!I$3:I$504,'Resultater - Østdanmark'!J$3:J$504)),"&gt;0"))</f>
        <v>1.1976865502381491</v>
      </c>
      <c r="H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forbrug'!H$3,'Forbrug af biomasse'!$B$2:$B$425,$F272)</f>
        <v>0</v>
      </c>
      <c r="I272">
        <f>IF(F272="Vestdanmark",-IF(A272="Halm",SUMIFS(IF(E272=År1,'Resultater - Vestdanmark'!H$3:H$504,IF(E272=År2,'Resultater - Vestdanmark'!I$3:I$504,'Resultater - Vestdanmark'!J$3:J$504)),'Resultater - Vestdanmark'!$F$3:$F$504,$A272,'Resultater - Vestdanmark'!H$3:H$504,"&lt;0"),0),-IF(A272="Halm",SUMIFS(IF(E272=År1,'Resultater - Østdanmark'!H$3:H$504,IF(E272=År2,'Resultater - Østdanmark'!I$3:I$504,'Resultater - Østdanmark'!J$3:J$504)),'Resultater - Østdanmark'!$F$3:$F$504,$A272,'Resultater - Østdanmark'!H$3:H$504,"&lt;0"),0))</f>
        <v>0</v>
      </c>
      <c r="J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forbrug'!J$3,'Forbrug af biomasse'!$B$2:$B$425,$F272)</f>
        <v>0</v>
      </c>
      <c r="K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forbrug'!K$3,'Forbrug af biomasse'!$B$2:$B$425,$F272)</f>
        <v>0</v>
      </c>
      <c r="L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forbrug'!L$3,'Forbrug af biomasse'!$B$2:$B$425,$F272)</f>
        <v>0</v>
      </c>
      <c r="M272" s="94">
        <f>IF(A272&lt;&gt;"Biogas",SUMIFS('Forbrug af biomasse'!$E$2:$E$425,'Forbrug af biomasse'!$C$2:$C$425,'Resultat-Produktion &amp; forbrug'!$A272,'Forbrug af biomasse'!$D$2:$D$425,'Resultat-Produktion &amp; forbrug'!$E272,'Forbrug af biomasse'!$A$2:$A$425,'Resultat-Produktion &amp; forbrug'!M$3,'Forbrug af biomasse'!$B$2:$B$425,$F272),G272)</f>
        <v>0</v>
      </c>
      <c r="N272" s="94">
        <f>SUMIFS('Forbrug af biomasse'!E:E,'Forbrug af biomasse'!C:C,'Resultat-Produktion &amp; forbrug'!$A272,'Forbrug af biomasse'!D:D,'Resultat-Produktion &amp; forbrug'!$E272,'Forbrug af biomasse'!G:G,1,'Forbrug af biomasse'!B:B,$F272)</f>
        <v>0</v>
      </c>
      <c r="O272" s="179">
        <f t="shared" si="69"/>
        <v>1.1976865502381491</v>
      </c>
      <c r="P272" s="94">
        <f t="shared" si="83"/>
        <v>1.1976865502381491</v>
      </c>
      <c r="Q272" s="180">
        <f t="shared" si="70"/>
        <v>0</v>
      </c>
      <c r="R272">
        <f>IFERROR(VLOOKUP(A272,[1]Energiindhold!$A$2:$C$11,3,FALSE),IFERROR(VLOOKUP(A272,[1]Biogasudbytte!$A$2:$B$18,2,FALSE)*[1]Energiindhold!$C$10,0))*P272</f>
        <v>1.0749236788387388E-6</v>
      </c>
      <c r="S272">
        <f>IF(A272&lt;&gt;"Biogas",IFERROR(VLOOKUP(A272,[1]Biogasudbytte!$A$2:$B$18,2,FALSE)*[1]Energiindhold!$C$10,0)*K272*IFERROR(VLOOKUP(A272,Biogasanlæg!$F$3:$G$8,2,FALSE),1)+IFERROR(VLOOKUP(A272,[1]Energiindhold!$A$2:$C$11,3,FALSE),0)*M272+IF(E272&lt;&gt;År1,R272,0),0)</f>
        <v>1.0749236788387388E-6</v>
      </c>
      <c r="T272">
        <f>IFERROR(VLOOKUP(A272,[1]Biogasudbytte!$A$2:$B$18,2,FALSE)*[1]Energiindhold!$C$10,0)*K272*IFERROR(VLOOKUP(A272,Biogasanlæg!$F$3:$G$8,2,FALSE),1)</f>
        <v>0</v>
      </c>
      <c r="U272" s="170">
        <f t="shared" si="71"/>
        <v>1.0749236788387388E-6</v>
      </c>
      <c r="V272" s="169">
        <f>P272*IFERROR(VLOOKUP(A272,[1]Tørstofindhold!A$2:B$24,2,FALSE),0)</f>
        <v>0.17965298253572234</v>
      </c>
      <c r="W272">
        <f>IF(E272=År1,Q272,SUM(P272,Q272))*IFERROR(VLOOKUP(A272,[1]Tørstofindhold!A$2:B$24,2,FALSE),0)</f>
        <v>0.17965298253572234</v>
      </c>
      <c r="X272">
        <f>K272*IFERROR(VLOOKUP(A272,[1]Tørstofindhold!A$2:B$24,2,FALSE),0)</f>
        <v>0</v>
      </c>
      <c r="Y272" s="170">
        <f t="shared" si="72"/>
        <v>0.17965298253572234</v>
      </c>
      <c r="Z272">
        <f t="shared" si="84"/>
        <v>0</v>
      </c>
      <c r="AA272">
        <f t="shared" si="85"/>
        <v>1</v>
      </c>
      <c r="AB272" s="94">
        <f t="shared" si="86"/>
        <v>1.1976865502381491</v>
      </c>
      <c r="AC272">
        <f>AB272*D272*10000*VLOOKUP(A272,[1]kcal!$A$2:$C$49,3,FALSE)/1000000000000</f>
        <v>9.9407983669766362E-7</v>
      </c>
    </row>
    <row r="273" spans="1:29" x14ac:dyDescent="0.25">
      <c r="A273" s="171" t="str">
        <f t="shared" si="79"/>
        <v>Oksekød</v>
      </c>
      <c r="B273" s="171" t="str">
        <f t="shared" si="80"/>
        <v/>
      </c>
      <c r="C273" s="171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71">
        <f t="shared" si="82"/>
        <v>1</v>
      </c>
      <c r="E273" s="171">
        <f t="shared" si="81"/>
        <v>2050</v>
      </c>
      <c r="F273" t="s">
        <v>24</v>
      </c>
      <c r="G273" s="94">
        <f>IF(F273="Vestdanmark",SUMIFS(IF(E273=År1,'Resultater - Vestdanmark'!H$3:H$504,IF(E273=År2,'Resultater - Vestdanmark'!I$3:I$504,'Resultater - Vestdanmark'!J$3:J$504)),'Resultater - Vestdanmark'!$F$3:$F$504,$A273,IF(E273=År1,'Resultater - Vestdanmark'!H$3:H$504,IF(E273=År2,'Resultater - Vestdanmark'!I$3:I$504,'Resultater - Vestdanmark'!J$3:J$504)),"&gt;0"),SUMIFS(IF(E273=År1,'Resultater - Østdanmark'!H$3:H$504,IF(E273=År2,'Resultater - Østdanmark'!I$3:I$504,'Resultater - Østdanmark'!J$3:J$504)),'Resultater - Østdanmark'!$F$3:$F$504,$A273,IF(E273=År1,'Resultater - Østdanmark'!H$3:H$504,IF(E273=År2,'Resultater - Østdanmark'!I$3:I$504,'Resultater - Østdanmark'!J$3:J$504)),"&gt;0"))</f>
        <v>257.33473418730972</v>
      </c>
      <c r="H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forbrug'!H$3,'Forbrug af biomasse'!$B$2:$B$425,$F273)</f>
        <v>0</v>
      </c>
      <c r="I273">
        <f>IF(F273="Vestdanmark",-IF(A273="Halm",SUMIFS(IF(E273=År1,'Resultater - Vestdanmark'!H$3:H$504,IF(E273=År2,'Resultater - Vestdanmark'!I$3:I$504,'Resultater - Vestdanmark'!J$3:J$504)),'Resultater - Vestdanmark'!$F$3:$F$504,$A273,'Resultater - Vestdanmark'!H$3:H$504,"&lt;0"),0),-IF(A273="Halm",SUMIFS(IF(E273=År1,'Resultater - Østdanmark'!H$3:H$504,IF(E273=År2,'Resultater - Østdanmark'!I$3:I$504,'Resultater - Østdanmark'!J$3:J$504)),'Resultater - Østdanmark'!$F$3:$F$504,$A273,'Resultater - Østdanmark'!H$3:H$504,"&lt;0"),0))</f>
        <v>0</v>
      </c>
      <c r="J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forbrug'!J$3,'Forbrug af biomasse'!$B$2:$B$425,$F273)</f>
        <v>54412.71372203785</v>
      </c>
      <c r="K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forbrug'!K$3,'Forbrug af biomasse'!$B$2:$B$425,$F273)</f>
        <v>0</v>
      </c>
      <c r="L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forbrug'!L$3,'Forbrug af biomasse'!$B$2:$B$425,$F273)</f>
        <v>0</v>
      </c>
      <c r="M273" s="94">
        <f>IF(A273&lt;&gt;"Biogas",SUMIFS('Forbrug af biomasse'!$E$2:$E$425,'Forbrug af biomasse'!$C$2:$C$425,'Resultat-Produktion &amp; forbrug'!$A273,'Forbrug af biomasse'!$D$2:$D$425,'Resultat-Produktion &amp; forbrug'!$E273,'Forbrug af biomasse'!$A$2:$A$425,'Resultat-Produktion &amp; forbrug'!M$3,'Forbrug af biomasse'!$B$2:$B$425,$F273),G273)</f>
        <v>0</v>
      </c>
      <c r="N273" s="94">
        <f>SUMIFS('Forbrug af biomasse'!E:E,'Forbrug af biomasse'!C:C,'Resultat-Produktion &amp; forbrug'!$A273,'Forbrug af biomasse'!D:D,'Resultat-Produktion &amp; forbrug'!$E273,'Forbrug af biomasse'!G:G,1,'Forbrug af biomasse'!B:B,$F273)</f>
        <v>0</v>
      </c>
      <c r="O273" s="179">
        <f t="shared" si="69"/>
        <v>-54155.378987850541</v>
      </c>
      <c r="P273" s="94">
        <f t="shared" si="83"/>
        <v>0</v>
      </c>
      <c r="Q273" s="180">
        <f t="shared" si="70"/>
        <v>0</v>
      </c>
      <c r="R273">
        <f>IFERROR(VLOOKUP(A273,[1]Energiindhold!$A$2:$C$11,3,FALSE),IFERROR(VLOOKUP(A273,[1]Biogasudbytte!$A$2:$B$18,2,FALSE)*[1]Energiindhold!$C$10,0))*P273</f>
        <v>0</v>
      </c>
      <c r="S273">
        <f>IF(A273&lt;&gt;"Biogas",IFERROR(VLOOKUP(A273,[1]Biogasudbytte!$A$2:$B$18,2,FALSE)*[1]Energiindhold!$C$10,0)*K273*IFERROR(VLOOKUP(A273,Biogasanlæg!$F$3:$G$8,2,FALSE),1)+IFERROR(VLOOKUP(A273,[1]Energiindhold!$A$2:$C$11,3,FALSE),0)*M273+IF(E273&lt;&gt;År1,R273,0),0)</f>
        <v>0</v>
      </c>
      <c r="T273">
        <f>IFERROR(VLOOKUP(A273,[1]Biogasudbytte!$A$2:$B$18,2,FALSE)*[1]Energiindhold!$C$10,0)*K273*IFERROR(VLOOKUP(A273,Biogasanlæg!$F$3:$G$8,2,FALSE),1)</f>
        <v>0</v>
      </c>
      <c r="U273" s="170">
        <f t="shared" si="71"/>
        <v>0</v>
      </c>
      <c r="V273" s="169">
        <f>P273*IFERROR(VLOOKUP(A273,[1]Tørstofindhold!A$2:B$24,2,FALSE),0)</f>
        <v>0</v>
      </c>
      <c r="W273">
        <f>IF(E273=År1,Q273,SUM(P273,Q273))*IFERROR(VLOOKUP(A273,[1]Tørstofindhold!A$2:B$24,2,FALSE),0)</f>
        <v>0</v>
      </c>
      <c r="X273">
        <f>K273*IFERROR(VLOOKUP(A273,[1]Tørstofindhold!A$2:B$24,2,FALSE),0)</f>
        <v>0</v>
      </c>
      <c r="Y273" s="170">
        <f t="shared" si="72"/>
        <v>0</v>
      </c>
      <c r="Z273">
        <f t="shared" si="84"/>
        <v>1</v>
      </c>
      <c r="AA273">
        <f t="shared" si="85"/>
        <v>0</v>
      </c>
      <c r="AB273" s="94">
        <f t="shared" si="86"/>
        <v>257.33473418730972</v>
      </c>
      <c r="AC273">
        <f>AB273*D273*10000*VLOOKUP(A273,[1]kcal!$A$2:$C$49,3,FALSE)/1000000000000</f>
        <v>5.0180273166525397E-4</v>
      </c>
    </row>
    <row r="274" spans="1:29" x14ac:dyDescent="0.25">
      <c r="A274" s="171" t="str">
        <f t="shared" si="79"/>
        <v>Øvrige</v>
      </c>
      <c r="B274" s="171" t="str">
        <f t="shared" si="80"/>
        <v/>
      </c>
      <c r="C274" s="171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0</v>
      </c>
      <c r="D274" s="171">
        <f t="shared" si="82"/>
        <v>1</v>
      </c>
      <c r="E274" s="171">
        <f t="shared" si="81"/>
        <v>2050</v>
      </c>
      <c r="F274" t="s">
        <v>24</v>
      </c>
      <c r="G274" s="94">
        <f>IF(F274="Vestdanmark",SUMIFS(IF(E274=År1,'Resultater - Vestdanmark'!H$3:H$504,IF(E274=År2,'Resultater - Vestdanmark'!I$3:I$504,'Resultater - Vestdanmark'!J$3:J$504)),'Resultater - Vestdanmark'!$F$3:$F$504,$A274,IF(E274=År1,'Resultater - Vestdanmark'!H$3:H$504,IF(E274=År2,'Resultater - Vestdanmark'!I$3:I$504,'Resultater - Vestdanmark'!J$3:J$504)),"&gt;0"),SUMIFS(IF(E274=År1,'Resultater - Østdanmark'!H$3:H$504,IF(E274=År2,'Resultater - Østdanmark'!I$3:I$504,'Resultater - Østdanmark'!J$3:J$504)),'Resultater - Østdanmark'!$F$3:$F$504,$A274,IF(E274=År1,'Resultater - Østdanmark'!H$3:H$504,IF(E274=År2,'Resultater - Østdanmark'!I$3:I$504,'Resultater - Østdanmark'!J$3:J$504)),"&gt;0"))</f>
        <v>693.49185876962724</v>
      </c>
      <c r="H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forbrug'!H$3,'Forbrug af biomasse'!$B$2:$B$425,$F274)</f>
        <v>0</v>
      </c>
      <c r="I274">
        <f>IF(F274="Vestdanmark",-IF(A274="Halm",SUMIFS(IF(E274=År1,'Resultater - Vestdanmark'!H$3:H$504,IF(E274=År2,'Resultater - Vestdanmark'!I$3:I$504,'Resultater - Vestdanmark'!J$3:J$504)),'Resultater - Vestdanmark'!$F$3:$F$504,$A274,'Resultater - Vestdanmark'!H$3:H$504,"&lt;0"),0),-IF(A274="Halm",SUMIFS(IF(E274=År1,'Resultater - Østdanmark'!H$3:H$504,IF(E274=År2,'Resultater - Østdanmark'!I$3:I$504,'Resultater - Østdanmark'!J$3:J$504)),'Resultater - Østdanmark'!$F$3:$F$504,$A274,'Resultater - Østdanmark'!H$3:H$504,"&lt;0"),0))</f>
        <v>0</v>
      </c>
      <c r="J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forbrug'!J$3,'Forbrug af biomasse'!$B$2:$B$425,$F274)</f>
        <v>0</v>
      </c>
      <c r="K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forbrug'!K$3,'Forbrug af biomasse'!$B$2:$B$425,$F274)</f>
        <v>0</v>
      </c>
      <c r="L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forbrug'!L$3,'Forbrug af biomasse'!$B$2:$B$425,$F274)</f>
        <v>0</v>
      </c>
      <c r="M274" s="94">
        <f>IF(A274&lt;&gt;"Biogas",SUMIFS('Forbrug af biomasse'!$E$2:$E$425,'Forbrug af biomasse'!$C$2:$C$425,'Resultat-Produktion &amp; forbrug'!$A274,'Forbrug af biomasse'!$D$2:$D$425,'Resultat-Produktion &amp; forbrug'!$E274,'Forbrug af biomasse'!$A$2:$A$425,'Resultat-Produktion &amp; forbrug'!M$3,'Forbrug af biomasse'!$B$2:$B$425,$F274),G274)</f>
        <v>0</v>
      </c>
      <c r="N274" s="94">
        <f>SUMIFS('Forbrug af biomasse'!E:E,'Forbrug af biomasse'!C:C,'Resultat-Produktion &amp; forbrug'!$A274,'Forbrug af biomasse'!D:D,'Resultat-Produktion &amp; forbrug'!$E274,'Forbrug af biomasse'!G:G,1,'Forbrug af biomasse'!B:B,$F274)</f>
        <v>0</v>
      </c>
      <c r="O274" s="179">
        <f t="shared" si="69"/>
        <v>693.49185876962724</v>
      </c>
      <c r="P274" s="94">
        <f t="shared" si="83"/>
        <v>0</v>
      </c>
      <c r="Q274" s="180">
        <f t="shared" si="70"/>
        <v>0</v>
      </c>
      <c r="R274">
        <f>IFERROR(VLOOKUP(A274,[1]Energiindhold!$A$2:$C$11,3,FALSE),IFERROR(VLOOKUP(A274,[1]Biogasudbytte!$A$2:$B$18,2,FALSE)*[1]Energiindhold!$C$10,0))*P274</f>
        <v>0</v>
      </c>
      <c r="S274">
        <f>IF(A274&lt;&gt;"Biogas",IFERROR(VLOOKUP(A274,[1]Biogasudbytte!$A$2:$B$18,2,FALSE)*[1]Energiindhold!$C$10,0)*K274*IFERROR(VLOOKUP(A274,Biogasanlæg!$F$3:$G$8,2,FALSE),1)+IFERROR(VLOOKUP(A274,[1]Energiindhold!$A$2:$C$11,3,FALSE),0)*M274+IF(E274&lt;&gt;År1,R274,0),0)</f>
        <v>0</v>
      </c>
      <c r="T274">
        <f>IFERROR(VLOOKUP(A274,[1]Biogasudbytte!$A$2:$B$18,2,FALSE)*[1]Energiindhold!$C$10,0)*K274*IFERROR(VLOOKUP(A274,Biogasanlæg!$F$3:$G$8,2,FALSE),1)</f>
        <v>0</v>
      </c>
      <c r="U274" s="170">
        <f t="shared" si="71"/>
        <v>0</v>
      </c>
      <c r="V274" s="169">
        <f>P274*IFERROR(VLOOKUP(A274,[1]Tørstofindhold!A$2:B$24,2,FALSE),0)</f>
        <v>0</v>
      </c>
      <c r="W274">
        <f>IF(E274=År1,Q274,SUM(P274,Q274))*IFERROR(VLOOKUP(A274,[1]Tørstofindhold!A$2:B$24,2,FALSE),0)</f>
        <v>0</v>
      </c>
      <c r="X274">
        <f>K274*IFERROR(VLOOKUP(A274,[1]Tørstofindhold!A$2:B$24,2,FALSE),0)</f>
        <v>0</v>
      </c>
      <c r="Y274" s="170">
        <f t="shared" si="72"/>
        <v>0</v>
      </c>
      <c r="Z274">
        <f t="shared" si="84"/>
        <v>0</v>
      </c>
      <c r="AA274">
        <f t="shared" si="85"/>
        <v>1</v>
      </c>
      <c r="AB274" s="94">
        <f t="shared" si="86"/>
        <v>693.49185876962724</v>
      </c>
      <c r="AC274">
        <f>AB274*D274*10000*VLOOKUP(A274,[1]kcal!$A$2:$C$49,3,FALSE)/1000000000000</f>
        <v>2.7046182492015464E-4</v>
      </c>
    </row>
    <row r="275" spans="1:29" x14ac:dyDescent="0.25">
      <c r="A275" s="171" t="str">
        <f t="shared" si="79"/>
        <v>Pil &amp; poppel</v>
      </c>
      <c r="B275" s="171" t="str">
        <f t="shared" si="80"/>
        <v>Vedmasse</v>
      </c>
      <c r="C275" s="171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71">
        <f t="shared" si="82"/>
        <v>0</v>
      </c>
      <c r="E275" s="171">
        <f t="shared" si="81"/>
        <v>2050</v>
      </c>
      <c r="F275" t="s">
        <v>24</v>
      </c>
      <c r="G275" s="94">
        <f>IF(F275="Vestdanmark",SUMIFS(IF(E275=År1,'Resultater - Vestdanmark'!H$3:H$504,IF(E275=År2,'Resultater - Vestdanmark'!I$3:I$504,'Resultater - Vestdanmark'!J$3:J$504)),'Resultater - Vestdanmark'!$F$3:$F$504,$A275,IF(E275=År1,'Resultater - Vestdanmark'!H$3:H$504,IF(E275=År2,'Resultater - Vestdanmark'!I$3:I$504,'Resultater - Vestdanmark'!J$3:J$504)),"&gt;0"),SUMIFS(IF(E275=År1,'Resultater - Østdanmark'!H$3:H$504,IF(E275=År2,'Resultater - Østdanmark'!I$3:I$504,'Resultater - Østdanmark'!J$3:J$504)),'Resultater - Østdanmark'!$F$3:$F$504,$A275,IF(E275=År1,'Resultater - Østdanmark'!H$3:H$504,IF(E275=År2,'Resultater - Østdanmark'!I$3:I$504,'Resultater - Østdanmark'!J$3:J$504)),"&gt;0"))</f>
        <v>34028.264724407527</v>
      </c>
      <c r="H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forbrug'!H$3,'Forbrug af biomasse'!$B$2:$B$425,$F275)</f>
        <v>0</v>
      </c>
      <c r="I275">
        <f>IF(F275="Vestdanmark",-IF(A275="Halm",SUMIFS(IF(E275=År1,'Resultater - Vestdanmark'!H$3:H$504,IF(E275=År2,'Resultater - Vestdanmark'!I$3:I$504,'Resultater - Vestdanmark'!J$3:J$504)),'Resultater - Vestdanmark'!$F$3:$F$504,$A275,'Resultater - Vestdanmark'!H$3:H$504,"&lt;0"),0),-IF(A275="Halm",SUMIFS(IF(E275=År1,'Resultater - Østdanmark'!H$3:H$504,IF(E275=År2,'Resultater - Østdanmark'!I$3:I$504,'Resultater - Østdanmark'!J$3:J$504)),'Resultater - Østdanmark'!$F$3:$F$504,$A275,'Resultater - Østdanmark'!H$3:H$504,"&lt;0"),0))</f>
        <v>0</v>
      </c>
      <c r="J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forbrug'!J$3,'Forbrug af biomasse'!$B$2:$B$425,$F275)</f>
        <v>0</v>
      </c>
      <c r="K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forbrug'!K$3,'Forbrug af biomasse'!$B$2:$B$425,$F275)</f>
        <v>0</v>
      </c>
      <c r="L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forbrug'!L$3,'Forbrug af biomasse'!$B$2:$B$425,$F275)</f>
        <v>0</v>
      </c>
      <c r="M275" s="94">
        <f>IF(A275&lt;&gt;"Biogas",SUMIFS('Forbrug af biomasse'!$E$2:$E$425,'Forbrug af biomasse'!$C$2:$C$425,'Resultat-Produktion &amp; forbrug'!$A275,'Forbrug af biomasse'!$D$2:$D$425,'Resultat-Produktion &amp; forbrug'!$E275,'Forbrug af biomasse'!$A$2:$A$425,'Resultat-Produktion &amp; forbrug'!M$3,'Forbrug af biomasse'!$B$2:$B$425,$F275),G275)</f>
        <v>34028.264724407527</v>
      </c>
      <c r="N275" s="94">
        <f>SUMIFS('Forbrug af biomasse'!E:E,'Forbrug af biomasse'!C:C,'Resultat-Produktion &amp; forbrug'!$A275,'Forbrug af biomasse'!D:D,'Resultat-Produktion &amp; forbrug'!$E275,'Forbrug af biomasse'!G:G,1,'Forbrug af biomasse'!B:B,$F275)</f>
        <v>0</v>
      </c>
      <c r="O275" s="179">
        <f t="shared" si="69"/>
        <v>0</v>
      </c>
      <c r="P275" s="94">
        <f t="shared" si="83"/>
        <v>0</v>
      </c>
      <c r="Q275" s="180">
        <f t="shared" si="70"/>
        <v>34028.264724407527</v>
      </c>
      <c r="R275">
        <f>IFERROR(VLOOKUP(A275,[1]Energiindhold!$A$2:$C$11,3,FALSE),IFERROR(VLOOKUP(A275,[1]Biogasudbytte!$A$2:$B$18,2,FALSE)*[1]Energiindhold!$C$10,0))*P275</f>
        <v>0</v>
      </c>
      <c r="S275">
        <f>IF(A275&lt;&gt;"Biogas",IFERROR(VLOOKUP(A275,[1]Biogasudbytte!$A$2:$B$18,2,FALSE)*[1]Energiindhold!$C$10,0)*K275*IFERROR(VLOOKUP(A275,Biogasanlæg!$F$3:$G$8,2,FALSE),1)+IFERROR(VLOOKUP(A275,[1]Energiindhold!$A$2:$C$11,3,FALSE),0)*M275+IF(E275&lt;&gt;År1,R275,0),0)</f>
        <v>0.62612007092909838</v>
      </c>
      <c r="T275">
        <f>IFERROR(VLOOKUP(A275,[1]Biogasudbytte!$A$2:$B$18,2,FALSE)*[1]Energiindhold!$C$10,0)*K275*IFERROR(VLOOKUP(A275,Biogasanlæg!$F$3:$G$8,2,FALSE),1)</f>
        <v>0</v>
      </c>
      <c r="U275" s="170">
        <f t="shared" si="71"/>
        <v>0.62612007092909838</v>
      </c>
      <c r="V275" s="169">
        <f>P275*IFERROR(VLOOKUP(A275,[1]Tørstofindhold!A$2:B$24,2,FALSE),0)</f>
        <v>0</v>
      </c>
      <c r="W275">
        <f>IF(E275=År1,Q275,SUM(P275,Q275))*IFERROR(VLOOKUP(A275,[1]Tørstofindhold!A$2:B$24,2,FALSE),0)</f>
        <v>14121.729860629124</v>
      </c>
      <c r="X275">
        <f>K275*IFERROR(VLOOKUP(A275,[1]Tørstofindhold!A$2:B$24,2,FALSE),0)</f>
        <v>0</v>
      </c>
      <c r="Y275" s="170">
        <f t="shared" si="72"/>
        <v>14121.729860629124</v>
      </c>
      <c r="Z275">
        <f t="shared" si="84"/>
        <v>0</v>
      </c>
      <c r="AA275">
        <f t="shared" si="85"/>
        <v>0</v>
      </c>
      <c r="AB275" s="94">
        <f t="shared" si="86"/>
        <v>34028.264724407527</v>
      </c>
      <c r="AC275">
        <f>AB275*D275*10000*VLOOKUP(A275,[1]kcal!$A$2:$C$49,3,FALSE)/1000000000000</f>
        <v>0</v>
      </c>
    </row>
    <row r="276" spans="1:29" x14ac:dyDescent="0.25">
      <c r="A276" s="171" t="str">
        <f t="shared" ref="A276:A277" si="87">A228</f>
        <v>Pyrolysegas</v>
      </c>
      <c r="B276" s="171" t="str">
        <f t="shared" ref="B276:B277" si="88">IF(B228&lt;&gt;"",B228,"")</f>
        <v>Pyrolyseprodukter</v>
      </c>
      <c r="C276" s="171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71">
        <f t="shared" si="82"/>
        <v>0</v>
      </c>
      <c r="E276" s="171">
        <f t="shared" si="81"/>
        <v>2050</v>
      </c>
      <c r="F276" t="s">
        <v>24</v>
      </c>
      <c r="G276" s="94">
        <f>IF(F276="Vestdanmark",SUMIFS(IF(E276=År1,'Resultater - Vestdanmark'!H$3:H$504,IF(E276=År2,'Resultater - Vestdanmark'!I$3:I$504,'Resultater - Vestdanmark'!J$3:J$504)),'Resultater - Vestdanmark'!$F$3:$F$504,$A276,IF(E276=År1,'Resultater - Vestdanmark'!H$3:H$504,IF(E276=År2,'Resultater - Vestdanmark'!I$3:I$504,'Resultater - Vestdanmark'!J$3:J$504)),"&gt;0"),SUMIFS(IF(E276=År1,'Resultater - Østdanmark'!H$3:H$504,IF(E276=År2,'Resultater - Østdanmark'!I$3:I$504,'Resultater - Østdanmark'!J$3:J$504)),'Resultater - Østdanmark'!$F$3:$F$504,$A276,IF(E276=År1,'Resultater - Østdanmark'!H$3:H$504,IF(E276=År2,'Resultater - Østdanmark'!I$3:I$504,'Resultater - Østdanmark'!J$3:J$504)),"&gt;0"))</f>
        <v>0</v>
      </c>
      <c r="H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forbrug'!H$3,'Forbrug af biomasse'!$B$2:$B$425,$F276)</f>
        <v>0</v>
      </c>
      <c r="I276">
        <f>IF(F276="Vestdanmark",-IF(A276="Halm",SUMIFS(IF(E276=År1,'Resultater - Vestdanmark'!H$3:H$504,IF(E276=År2,'Resultater - Vestdanmark'!I$3:I$504,'Resultater - Vestdanmark'!J$3:J$504)),'Resultater - Vestdanmark'!$F$3:$F$504,$A276,'Resultater - Vestdanmark'!H$3:H$504,"&lt;0"),0),-IF(A276="Halm",SUMIFS(IF(E276=År1,'Resultater - Østdanmark'!H$3:H$504,IF(E276=År2,'Resultater - Østdanmark'!I$3:I$504,'Resultater - Østdanmark'!J$3:J$504)),'Resultater - Østdanmark'!$F$3:$F$504,$A276,'Resultater - Østdanmark'!H$3:H$504,"&lt;0"),0))</f>
        <v>0</v>
      </c>
      <c r="J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forbrug'!J$3,'Forbrug af biomasse'!$B$2:$B$425,$F276)</f>
        <v>0</v>
      </c>
      <c r="K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forbrug'!K$3,'Forbrug af biomasse'!$B$2:$B$425,$F276)</f>
        <v>0</v>
      </c>
      <c r="L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forbrug'!L$3,'Forbrug af biomasse'!$B$2:$B$425,$F276)</f>
        <v>0</v>
      </c>
      <c r="M276" s="94">
        <f>IF(A276&lt;&gt;"Biogas",SUMIFS('Forbrug af biomasse'!$E$2:$E$425,'Forbrug af biomasse'!$C$2:$C$425,'Resultat-Produktion &amp; forbrug'!$A276,'Forbrug af biomasse'!$D$2:$D$425,'Resultat-Produktion &amp; forbrug'!$E276,'Forbrug af biomasse'!$A$2:$A$425,'Resultat-Produktion &amp; forbrug'!M$3,'Forbrug af biomasse'!$B$2:$B$425,$F276),G276)</f>
        <v>0</v>
      </c>
      <c r="N276" s="94">
        <f>SUMIFS('Forbrug af biomasse'!E:E,'Forbrug af biomasse'!C:C,'Resultat-Produktion &amp; forbrug'!$A276,'Forbrug af biomasse'!D:D,'Resultat-Produktion &amp; forbrug'!$E276,'Forbrug af biomasse'!G:G,1,'Forbrug af biomasse'!B:B,$F276)</f>
        <v>0</v>
      </c>
      <c r="O276" s="179">
        <f t="shared" ref="O276:O277" si="89">G276-SUM(H276:N276)</f>
        <v>0</v>
      </c>
      <c r="P276" s="94">
        <f t="shared" ref="P276:P277" si="90">IF(C276=1,IF(O276+IF(SUMIFS($O$4:$O$291,$A$4:$A$291,A276,$E$4:$E$291,E276,$F$4:$F$291,"&lt;&gt;"&amp;F276)&lt;0,SUMIFS($O$4:$O$291,$A$4:$A$291,A276,$E$4:$E$291,E276,$F$4:$F$291,"&lt;&gt;"&amp;F276),0)&gt;0,O276+IF(SUMIFS($O$4:$O$291,$A$4:$A$291,A276,$E$4:$E$291,E276,$F$4:$F$291,"&lt;&gt;"&amp;F276)&lt;0,SUMIFS($O$4:$O$291,$A$4:$A$291,A276,$E$4:$E$291,E276,$F$4:$F$291,"&lt;&gt;"&amp;F276),0),0),0)</f>
        <v>0</v>
      </c>
      <c r="Q276" s="180">
        <f t="shared" ref="Q276:Q277" si="91">SUM(K276,M276)</f>
        <v>0</v>
      </c>
      <c r="R276">
        <f>IFERROR(VLOOKUP(A276,[1]Energiindhold!$A$2:$C$11,3,FALSE),IFERROR(VLOOKUP(A276,[1]Biogasudbytte!$A$2:$B$18,2,FALSE)*[1]Energiindhold!$C$10,0))*P276</f>
        <v>0</v>
      </c>
      <c r="S276">
        <f>IF(A276&lt;&gt;"Biogas",IFERROR(VLOOKUP(A276,[1]Biogasudbytte!$A$2:$B$18,2,FALSE)*[1]Energiindhold!$C$10,0)*K276*IFERROR(VLOOKUP(A276,Biogasanlæg!$F$3:$G$8,2,FALSE),1)+IFERROR(VLOOKUP(A276,[1]Energiindhold!$A$2:$C$11,3,FALSE),0)*M276+IF(E276&lt;&gt;År1,R276,0),0)</f>
        <v>0</v>
      </c>
      <c r="T276">
        <f>IFERROR(VLOOKUP(A276,[1]Biogasudbytte!$A$2:$B$18,2,FALSE)*[1]Energiindhold!$C$10,0)*K276*IFERROR(VLOOKUP(A276,Biogasanlæg!$F$3:$G$8,2,FALSE),1)</f>
        <v>0</v>
      </c>
      <c r="U276" s="170">
        <f t="shared" ref="U276:U277" si="92">S276-T276</f>
        <v>0</v>
      </c>
      <c r="V276" s="169">
        <f>P276*IFERROR(VLOOKUP(A276,[1]Tørstofindhold!A$2:B$24,2,FALSE),0)</f>
        <v>0</v>
      </c>
      <c r="W276">
        <f>IF(E276=År1,Q276,SUM(P276,Q276))*IFERROR(VLOOKUP(A276,[1]Tørstofindhold!A$2:B$24,2,FALSE),0)</f>
        <v>0</v>
      </c>
      <c r="X276">
        <f>K276*IFERROR(VLOOKUP(A276,[1]Tørstofindhold!A$2:B$24,2,FALSE),0)</f>
        <v>0</v>
      </c>
      <c r="Y276" s="170">
        <f t="shared" ref="Y276:Y277" si="93">W276-X276</f>
        <v>0</v>
      </c>
      <c r="Z276">
        <f t="shared" ref="Z276:Z277" si="94">IF(SUMIFS($O$4:$O$291,$A$4:$A$291,A276,$E$4:$E$291,E276)&lt;0,1,0)</f>
        <v>0</v>
      </c>
      <c r="AA276">
        <f t="shared" ref="AA276:AA277" si="95">IF(SUMIFS($O$4:$O$291,$A$4:$A$291,A276,$E$4:$E$291,E276)&gt;0,1,0)</f>
        <v>0</v>
      </c>
      <c r="AB276" s="94">
        <f t="shared" si="86"/>
        <v>0</v>
      </c>
      <c r="AC276">
        <f>AB276*D276*10000*VLOOKUP(A276,[1]kcal!$A$2:$C$49,3,FALSE)/1000000000000</f>
        <v>0</v>
      </c>
    </row>
    <row r="277" spans="1:29" x14ac:dyDescent="0.25">
      <c r="A277" s="171" t="str">
        <f t="shared" si="87"/>
        <v>Pyrolyseolie</v>
      </c>
      <c r="B277" s="171" t="str">
        <f t="shared" si="88"/>
        <v>Pyrolyseprodukter</v>
      </c>
      <c r="C277" s="171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1</v>
      </c>
      <c r="D277" s="171">
        <f t="shared" si="82"/>
        <v>0</v>
      </c>
      <c r="E277" s="171">
        <f t="shared" si="81"/>
        <v>2050</v>
      </c>
      <c r="F277" t="s">
        <v>24</v>
      </c>
      <c r="G277" s="94">
        <f>IF(F277="Vestdanmark",SUMIFS(IF(E277=År1,'Resultater - Vestdanmark'!H$3:H$504,IF(E277=År2,'Resultater - Vestdanmark'!I$3:I$504,'Resultater - Vestdanmark'!J$3:J$504)),'Resultater - Vestdanmark'!$F$3:$F$504,$A277,IF(E277=År1,'Resultater - Vestdanmark'!H$3:H$504,IF(E277=År2,'Resultater - Vestdanmark'!I$3:I$504,'Resultater - Vestdanmark'!J$3:J$504)),"&gt;0"),SUMIFS(IF(E277=År1,'Resultater - Østdanmark'!H$3:H$504,IF(E277=År2,'Resultater - Østdanmark'!I$3:I$504,'Resultater - Østdanmark'!J$3:J$504)),'Resultater - Østdanmark'!$F$3:$F$504,$A277,IF(E277=År1,'Resultater - Østdanmark'!H$3:H$504,IF(E277=År2,'Resultater - Østdanmark'!I$3:I$504,'Resultater - Østdanmark'!J$3:J$504)),"&gt;0"))</f>
        <v>0</v>
      </c>
      <c r="H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forbrug'!H$3,'Forbrug af biomasse'!$B$2:$B$425,$F277)</f>
        <v>0</v>
      </c>
      <c r="I277">
        <f>IF(F277="Vestdanmark",-IF(A277="Halm",SUMIFS(IF(E277=År1,'Resultater - Vestdanmark'!H$3:H$504,IF(E277=År2,'Resultater - Vestdanmark'!I$3:I$504,'Resultater - Vestdanmark'!J$3:J$504)),'Resultater - Vestdanmark'!$F$3:$F$504,$A277,'Resultater - Vestdanmark'!H$3:H$504,"&lt;0"),0),-IF(A277="Halm",SUMIFS(IF(E277=År1,'Resultater - Østdanmark'!H$3:H$504,IF(E277=År2,'Resultater - Østdanmark'!I$3:I$504,'Resultater - Østdanmark'!J$3:J$504)),'Resultater - Østdanmark'!$F$3:$F$504,$A277,'Resultater - Østdanmark'!H$3:H$504,"&lt;0"),0))</f>
        <v>0</v>
      </c>
      <c r="J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forbrug'!J$3,'Forbrug af biomasse'!$B$2:$B$425,$F277)</f>
        <v>0</v>
      </c>
      <c r="K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forbrug'!K$3,'Forbrug af biomasse'!$B$2:$B$425,$F277)</f>
        <v>0</v>
      </c>
      <c r="L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forbrug'!L$3,'Forbrug af biomasse'!$B$2:$B$425,$F277)</f>
        <v>0</v>
      </c>
      <c r="M277" s="94">
        <f>IF(A277&lt;&gt;"Biogas",SUMIFS('Forbrug af biomasse'!$E$2:$E$425,'Forbrug af biomasse'!$C$2:$C$425,'Resultat-Produktion &amp; forbrug'!$A277,'Forbrug af biomasse'!$D$2:$D$425,'Resultat-Produktion &amp; forbrug'!$E277,'Forbrug af biomasse'!$A$2:$A$425,'Resultat-Produktion &amp; forbrug'!M$3,'Forbrug af biomasse'!$B$2:$B$425,$F277),G277)</f>
        <v>0</v>
      </c>
      <c r="N277" s="94">
        <f>SUMIFS('Forbrug af biomasse'!E:E,'Forbrug af biomasse'!C:C,'Resultat-Produktion &amp; forbrug'!$A277,'Forbrug af biomasse'!D:D,'Resultat-Produktion &amp; forbrug'!$E277,'Forbrug af biomasse'!G:G,1,'Forbrug af biomasse'!B:B,$F277)</f>
        <v>0</v>
      </c>
      <c r="O277" s="179">
        <f t="shared" si="89"/>
        <v>0</v>
      </c>
      <c r="P277" s="94">
        <f t="shared" si="90"/>
        <v>0</v>
      </c>
      <c r="Q277" s="180">
        <f t="shared" si="91"/>
        <v>0</v>
      </c>
      <c r="R277">
        <f>IFERROR(VLOOKUP(A277,[1]Energiindhold!$A$2:$C$11,3,FALSE),IFERROR(VLOOKUP(A277,[1]Biogasudbytte!$A$2:$B$18,2,FALSE)*[1]Energiindhold!$C$10,0))*P277</f>
        <v>0</v>
      </c>
      <c r="S277">
        <f>IF(A277&lt;&gt;"Biogas",IFERROR(VLOOKUP(A277,[1]Biogasudbytte!$A$2:$B$18,2,FALSE)*[1]Energiindhold!$C$10,0)*K277*IFERROR(VLOOKUP(A277,Biogasanlæg!$F$3:$G$8,2,FALSE),1)+IFERROR(VLOOKUP(A277,[1]Energiindhold!$A$2:$C$11,3,FALSE),0)*M277+IF(E277&lt;&gt;År1,R277,0),0)</f>
        <v>0</v>
      </c>
      <c r="T277">
        <f>IFERROR(VLOOKUP(A277,[1]Biogasudbytte!$A$2:$B$18,2,FALSE)*[1]Energiindhold!$C$10,0)*K277*IFERROR(VLOOKUP(A277,Biogasanlæg!$F$3:$G$8,2,FALSE),1)</f>
        <v>0</v>
      </c>
      <c r="U277" s="170">
        <f t="shared" si="92"/>
        <v>0</v>
      </c>
      <c r="V277" s="169">
        <f>P277*IFERROR(VLOOKUP(A277,[1]Tørstofindhold!A$2:B$24,2,FALSE),0)</f>
        <v>0</v>
      </c>
      <c r="W277">
        <f>IF(E277=År1,Q277,SUM(P277,Q277))*IFERROR(VLOOKUP(A277,[1]Tørstofindhold!A$2:B$24,2,FALSE),0)</f>
        <v>0</v>
      </c>
      <c r="X277">
        <f>K277*IFERROR(VLOOKUP(A277,[1]Tørstofindhold!A$2:B$24,2,FALSE),0)</f>
        <v>0</v>
      </c>
      <c r="Y277" s="170">
        <f t="shared" si="93"/>
        <v>0</v>
      </c>
      <c r="Z277">
        <f t="shared" si="94"/>
        <v>0</v>
      </c>
      <c r="AA277">
        <f t="shared" si="95"/>
        <v>0</v>
      </c>
      <c r="AB277" s="94">
        <f t="shared" si="86"/>
        <v>0</v>
      </c>
      <c r="AC277">
        <f>AB277*D277*10000*VLOOKUP(A277,[1]kcal!$A$2:$C$49,3,FALSE)/1000000000000</f>
        <v>0</v>
      </c>
    </row>
    <row r="278" spans="1:29" x14ac:dyDescent="0.25">
      <c r="A278" s="171" t="str">
        <f t="shared" ref="A278:A291" si="96">A230</f>
        <v>Råmælk</v>
      </c>
      <c r="B278" s="171" t="str">
        <f t="shared" ref="B278:B291" si="97">IF(B230&lt;&gt;"",B230,"")</f>
        <v/>
      </c>
      <c r="C278" s="171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71">
        <f t="shared" si="82"/>
        <v>0</v>
      </c>
      <c r="E278" s="171">
        <f t="shared" si="81"/>
        <v>2050</v>
      </c>
      <c r="F278" t="s">
        <v>24</v>
      </c>
      <c r="G278" s="94">
        <f>IF(F278="Vestdanmark",SUMIFS(IF(E278=År1,'Resultater - Vestdanmark'!H$3:H$504,IF(E278=År2,'Resultater - Vestdanmark'!I$3:I$504,'Resultater - Vestdanmark'!J$3:J$504)),'Resultater - Vestdanmark'!$F$3:$F$504,$A278,IF(E278=År1,'Resultater - Vestdanmark'!H$3:H$504,IF(E278=År2,'Resultater - Vestdanmark'!I$3:I$504,'Resultater - Vestdanmark'!J$3:J$504)),"&gt;0"),SUMIFS(IF(E278=År1,'Resultater - Østdanmark'!H$3:H$504,IF(E278=År2,'Resultater - Østdanmark'!I$3:I$504,'Resultater - Østdanmark'!J$3:J$504)),'Resultater - Østdanmark'!$F$3:$F$504,$A278,IF(E278=År1,'Resultater - Østdanmark'!H$3:H$504,IF(E278=År2,'Resultater - Østdanmark'!I$3:I$504,'Resultater - Østdanmark'!J$3:J$504)),"&gt;0"))</f>
        <v>21306.873250485853</v>
      </c>
      <c r="H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forbrug'!H$3,'Forbrug af biomasse'!$B$2:$B$425,$F278)</f>
        <v>0</v>
      </c>
      <c r="I278">
        <f>IF(F278="Vestdanmark",-IF(A278="Halm",SUMIFS(IF(E278=År1,'Resultater - Vestdanmark'!H$3:H$504,IF(E278=År2,'Resultater - Vestdanmark'!I$3:I$504,'Resultater - Vestdanmark'!J$3:J$504)),'Resultater - Vestdanmark'!$F$3:$F$504,$A278,'Resultater - Vestdanmark'!H$3:H$504,"&lt;0"),0),-IF(A278="Halm",SUMIFS(IF(E278=År1,'Resultater - Østdanmark'!H$3:H$504,IF(E278=År2,'Resultater - Østdanmark'!I$3:I$504,'Resultater - Østdanmark'!J$3:J$504)),'Resultater - Østdanmark'!$F$3:$F$504,$A278,'Resultater - Østdanmark'!H$3:H$504,"&lt;0"),0))</f>
        <v>0</v>
      </c>
      <c r="J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forbrug'!J$3,'Forbrug af biomasse'!$B$2:$B$425,$F278)</f>
        <v>0</v>
      </c>
      <c r="K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forbrug'!K$3,'Forbrug af biomasse'!$B$2:$B$425,$F278)</f>
        <v>0</v>
      </c>
      <c r="L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forbrug'!L$3,'Forbrug af biomasse'!$B$2:$B$425,$F278)</f>
        <v>0</v>
      </c>
      <c r="M278" s="94">
        <f>IF(A278&lt;&gt;"Biogas",SUMIFS('Forbrug af biomasse'!$E$2:$E$425,'Forbrug af biomasse'!$C$2:$C$425,'Resultat-Produktion &amp; forbrug'!$A278,'Forbrug af biomasse'!$D$2:$D$425,'Resultat-Produktion &amp; forbrug'!$E278,'Forbrug af biomasse'!$A$2:$A$425,'Resultat-Produktion &amp; forbrug'!M$3,'Forbrug af biomasse'!$B$2:$B$425,$F278),G278)</f>
        <v>0</v>
      </c>
      <c r="N278" s="94">
        <f>SUMIFS('Forbrug af biomasse'!E:E,'Forbrug af biomasse'!C:C,'Resultat-Produktion &amp; forbrug'!$A278,'Forbrug af biomasse'!D:D,'Resultat-Produktion &amp; forbrug'!$E278,'Forbrug af biomasse'!G:G,1,'Forbrug af biomasse'!B:B,$F278)</f>
        <v>0</v>
      </c>
      <c r="O278" s="179">
        <f t="shared" si="69"/>
        <v>21306.873250485853</v>
      </c>
      <c r="P278" s="94">
        <f t="shared" ref="P278:P291" si="98">IF(C278=1,IF(O278+IF(SUMIFS($O$4:$O$291,$A$4:$A$291,A278,$E$4:$E$291,E278,$F$4:$F$291,"&lt;&gt;"&amp;F278)&lt;0,SUMIFS($O$4:$O$291,$A$4:$A$291,A278,$E$4:$E$291,E278,$F$4:$F$291,"&lt;&gt;"&amp;F278),0)&gt;0,O278+IF(SUMIFS($O$4:$O$291,$A$4:$A$291,A278,$E$4:$E$291,E278,$F$4:$F$291,"&lt;&gt;"&amp;F278)&lt;0,SUMIFS($O$4:$O$291,$A$4:$A$291,A278,$E$4:$E$291,E278,$F$4:$F$291,"&lt;&gt;"&amp;F278),0),0),0)</f>
        <v>0</v>
      </c>
      <c r="Q278" s="180">
        <f t="shared" si="70"/>
        <v>0</v>
      </c>
      <c r="R278">
        <f>IFERROR(VLOOKUP(A278,[1]Energiindhold!$A$2:$C$11,3,FALSE),IFERROR(VLOOKUP(A278,[1]Biogasudbytte!$A$2:$B$18,2,FALSE)*[1]Energiindhold!$C$10,0))*P278</f>
        <v>0</v>
      </c>
      <c r="S278">
        <f>IF(A278&lt;&gt;"Biogas",IFERROR(VLOOKUP(A278,[1]Biogasudbytte!$A$2:$B$18,2,FALSE)*[1]Energiindhold!$C$10,0)*K278*IFERROR(VLOOKUP(A278,Biogasanlæg!$F$3:$G$8,2,FALSE),1)+IFERROR(VLOOKUP(A278,[1]Energiindhold!$A$2:$C$11,3,FALSE),0)*M278+IF(E278&lt;&gt;År1,R278,0),0)</f>
        <v>0</v>
      </c>
      <c r="T278">
        <f>IFERROR(VLOOKUP(A278,[1]Biogasudbytte!$A$2:$B$18,2,FALSE)*[1]Energiindhold!$C$10,0)*K278*IFERROR(VLOOKUP(A278,Biogasanlæg!$F$3:$G$8,2,FALSE),1)</f>
        <v>0</v>
      </c>
      <c r="U278" s="170">
        <f t="shared" si="71"/>
        <v>0</v>
      </c>
      <c r="V278" s="169">
        <f>P278*IFERROR(VLOOKUP(A278,[1]Tørstofindhold!A$2:B$24,2,FALSE),0)</f>
        <v>0</v>
      </c>
      <c r="W278">
        <f>IF(E278=År1,Q278,SUM(P278,Q278))*IFERROR(VLOOKUP(A278,[1]Tørstofindhold!A$2:B$24,2,FALSE),0)</f>
        <v>0</v>
      </c>
      <c r="X278">
        <f>K278*IFERROR(VLOOKUP(A278,[1]Tørstofindhold!A$2:B$24,2,FALSE),0)</f>
        <v>0</v>
      </c>
      <c r="Y278" s="170">
        <f t="shared" si="72"/>
        <v>0</v>
      </c>
      <c r="Z278">
        <f t="shared" ref="Z278:Z291" si="99">IF(SUMIFS($O$4:$O$291,$A$4:$A$291,A278,$E$4:$E$291,E278)&lt;0,1,0)</f>
        <v>0</v>
      </c>
      <c r="AA278">
        <f t="shared" ref="AA278:AA291" si="100">IF(SUMIFS($O$4:$O$291,$A$4:$A$291,A278,$E$4:$E$291,E278)&gt;0,1,0)</f>
        <v>1</v>
      </c>
      <c r="AB278" s="94">
        <f t="shared" si="86"/>
        <v>21306.873250485853</v>
      </c>
      <c r="AC278">
        <f>AB278*D278*10000*VLOOKUP(A278,[1]kcal!$A$2:$C$49,3,FALSE)/1000000000000</f>
        <v>0</v>
      </c>
    </row>
    <row r="279" spans="1:29" x14ac:dyDescent="0.25">
      <c r="A279" s="171" t="str">
        <f t="shared" si="96"/>
        <v>Raps</v>
      </c>
      <c r="B279" s="171" t="str">
        <f t="shared" si="97"/>
        <v/>
      </c>
      <c r="C279" s="171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71">
        <f t="shared" si="82"/>
        <v>0</v>
      </c>
      <c r="E279" s="171">
        <f t="shared" si="81"/>
        <v>2050</v>
      </c>
      <c r="F279" t="s">
        <v>24</v>
      </c>
      <c r="G279" s="94">
        <f>IF(F279="Vestdanmark",SUMIFS(IF(E279=År1,'Resultater - Vestdanmark'!H$3:H$504,IF(E279=År2,'Resultater - Vestdanmark'!I$3:I$504,'Resultater - Vestdanmark'!J$3:J$504)),'Resultater - Vestdanmark'!$F$3:$F$504,$A279,IF(E279=År1,'Resultater - Vestdanmark'!H$3:H$504,IF(E279=År2,'Resultater - Vestdanmark'!I$3:I$504,'Resultater - Vestdanmark'!J$3:J$504)),"&gt;0"),SUMIFS(IF(E279=År1,'Resultater - Østdanmark'!H$3:H$504,IF(E279=År2,'Resultater - Østdanmark'!I$3:I$504,'Resultater - Østdanmark'!J$3:J$504)),'Resultater - Østdanmark'!$F$3:$F$504,$A279,IF(E279=År1,'Resultater - Østdanmark'!H$3:H$504,IF(E279=År2,'Resultater - Østdanmark'!I$3:I$504,'Resultater - Østdanmark'!J$3:J$504)),"&gt;0"))</f>
        <v>312210.60748691915</v>
      </c>
      <c r="H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forbrug'!H$3,'Forbrug af biomasse'!$B$2:$B$425,$F279)</f>
        <v>0</v>
      </c>
      <c r="I279">
        <f>IF(F279="Vestdanmark",-IF(A279="Halm",SUMIFS(IF(E279=År1,'Resultater - Vestdanmark'!H$3:H$504,IF(E279=År2,'Resultater - Vestdanmark'!I$3:I$504,'Resultater - Vestdanmark'!J$3:J$504)),'Resultater - Vestdanmark'!$F$3:$F$504,$A279,'Resultater - Vestdanmark'!H$3:H$504,"&lt;0"),0),-IF(A279="Halm",SUMIFS(IF(E279=År1,'Resultater - Østdanmark'!H$3:H$504,IF(E279=År2,'Resultater - Østdanmark'!I$3:I$504,'Resultater - Østdanmark'!J$3:J$504)),'Resultater - Østdanmark'!$F$3:$F$504,$A279,'Resultater - Østdanmark'!H$3:H$504,"&lt;0"),0))</f>
        <v>0</v>
      </c>
      <c r="J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forbrug'!J$3,'Forbrug af biomasse'!$B$2:$B$425,$F279)</f>
        <v>0</v>
      </c>
      <c r="K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forbrug'!K$3,'Forbrug af biomasse'!$B$2:$B$425,$F279)</f>
        <v>0</v>
      </c>
      <c r="L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forbrug'!L$3,'Forbrug af biomasse'!$B$2:$B$425,$F279)</f>
        <v>0</v>
      </c>
      <c r="M279" s="94">
        <f>IF(A279&lt;&gt;"Biogas",SUMIFS('Forbrug af biomasse'!$E$2:$E$425,'Forbrug af biomasse'!$C$2:$C$425,'Resultat-Produktion &amp; forbrug'!$A279,'Forbrug af biomasse'!$D$2:$D$425,'Resultat-Produktion &amp; forbrug'!$E279,'Forbrug af biomasse'!$A$2:$A$425,'Resultat-Produktion &amp; forbrug'!M$3,'Forbrug af biomasse'!$B$2:$B$425,$F279),G279)</f>
        <v>0</v>
      </c>
      <c r="N279" s="94">
        <f>SUMIFS('Forbrug af biomasse'!E:E,'Forbrug af biomasse'!C:C,'Resultat-Produktion &amp; forbrug'!$A279,'Forbrug af biomasse'!D:D,'Resultat-Produktion &amp; forbrug'!$E279,'Forbrug af biomasse'!G:G,1,'Forbrug af biomasse'!B:B,$F279)</f>
        <v>312210.60748691915</v>
      </c>
      <c r="O279" s="179">
        <f t="shared" si="69"/>
        <v>0</v>
      </c>
      <c r="P279" s="94">
        <f t="shared" si="98"/>
        <v>0</v>
      </c>
      <c r="Q279" s="180">
        <f t="shared" si="70"/>
        <v>0</v>
      </c>
      <c r="R279">
        <f>IFERROR(VLOOKUP(A279,[1]Energiindhold!$A$2:$C$11,3,FALSE),IFERROR(VLOOKUP(A279,[1]Biogasudbytte!$A$2:$B$18,2,FALSE)*[1]Energiindhold!$C$10,0))*P279</f>
        <v>0</v>
      </c>
      <c r="S279">
        <f>IF(A279&lt;&gt;"Biogas",IFERROR(VLOOKUP(A279,[1]Biogasudbytte!$A$2:$B$18,2,FALSE)*[1]Energiindhold!$C$10,0)*K279*IFERROR(VLOOKUP(A279,Biogasanlæg!$F$3:$G$8,2,FALSE),1)+IFERROR(VLOOKUP(A279,[1]Energiindhold!$A$2:$C$11,3,FALSE),0)*M279+IF(E279&lt;&gt;År1,R279,0),0)</f>
        <v>0</v>
      </c>
      <c r="T279">
        <f>IFERROR(VLOOKUP(A279,[1]Biogasudbytte!$A$2:$B$18,2,FALSE)*[1]Energiindhold!$C$10,0)*K279*IFERROR(VLOOKUP(A279,Biogasanlæg!$F$3:$G$8,2,FALSE),1)</f>
        <v>0</v>
      </c>
      <c r="U279" s="170">
        <f t="shared" si="71"/>
        <v>0</v>
      </c>
      <c r="V279" s="169">
        <f>P279*IFERROR(VLOOKUP(A279,[1]Tørstofindhold!A$2:B$24,2,FALSE),0)</f>
        <v>0</v>
      </c>
      <c r="W279">
        <f>IF(E279=År1,Q279,SUM(P279,Q279))*IFERROR(VLOOKUP(A279,[1]Tørstofindhold!A$2:B$24,2,FALSE),0)</f>
        <v>0</v>
      </c>
      <c r="X279">
        <f>K279*IFERROR(VLOOKUP(A279,[1]Tørstofindhold!A$2:B$24,2,FALSE),0)</f>
        <v>0</v>
      </c>
      <c r="Y279" s="170">
        <f t="shared" si="72"/>
        <v>0</v>
      </c>
      <c r="Z279">
        <f t="shared" si="99"/>
        <v>0</v>
      </c>
      <c r="AA279">
        <f t="shared" si="100"/>
        <v>0</v>
      </c>
      <c r="AB279" s="94">
        <f t="shared" si="86"/>
        <v>312210.60748691915</v>
      </c>
      <c r="AC279">
        <f>AB279*D279*10000*VLOOKUP(A279,[1]kcal!$A$2:$C$49,3,FALSE)/1000000000000</f>
        <v>0</v>
      </c>
    </row>
    <row r="280" spans="1:29" x14ac:dyDescent="0.25">
      <c r="A280" s="171" t="str">
        <f t="shared" si="96"/>
        <v>Rapskage</v>
      </c>
      <c r="B280" s="171" t="str">
        <f t="shared" si="97"/>
        <v/>
      </c>
      <c r="C280" s="171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0</v>
      </c>
      <c r="D280" s="171">
        <f t="shared" si="82"/>
        <v>0</v>
      </c>
      <c r="E280" s="171">
        <f t="shared" si="81"/>
        <v>2050</v>
      </c>
      <c r="F280" t="s">
        <v>24</v>
      </c>
      <c r="G280" s="94">
        <f>IF(F280="Vestdanmark",SUMIFS(IF(E280=År1,'Resultater - Vestdanmark'!H$3:H$504,IF(E280=År2,'Resultater - Vestdanmark'!I$3:I$504,'Resultater - Vestdanmark'!J$3:J$504)),'Resultater - Vestdanmark'!$F$3:$F$504,$A280,IF(E280=År1,'Resultater - Vestdanmark'!H$3:H$504,IF(E280=År2,'Resultater - Vestdanmark'!I$3:I$504,'Resultater - Vestdanmark'!J$3:J$504)),"&gt;0"),SUMIFS(IF(E280=År1,'Resultater - Østdanmark'!H$3:H$504,IF(E280=År2,'Resultater - Østdanmark'!I$3:I$504,'Resultater - Østdanmark'!J$3:J$504)),'Resultater - Østdanmark'!$F$3:$F$504,$A280,IF(E280=År1,'Resultater - Østdanmark'!H$3:H$504,IF(E280=År2,'Resultater - Østdanmark'!I$3:I$504,'Resultater - Østdanmark'!J$3:J$504)),"&gt;0"))</f>
        <v>156105.30374345958</v>
      </c>
      <c r="H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forbrug'!H$3,'Forbrug af biomasse'!$B$2:$B$425,$F280)</f>
        <v>2077.9684773385866</v>
      </c>
      <c r="I280">
        <f>IF(F280="Vestdanmark",-IF(A280="Halm",SUMIFS(IF(E280=År1,'Resultater - Vestdanmark'!H$3:H$504,IF(E280=År2,'Resultater - Vestdanmark'!I$3:I$504,'Resultater - Vestdanmark'!J$3:J$504)),'Resultater - Vestdanmark'!$F$3:$F$504,$A280,'Resultater - Vestdanmark'!H$3:H$504,"&lt;0"),0),-IF(A280="Halm",SUMIFS(IF(E280=År1,'Resultater - Østdanmark'!H$3:H$504,IF(E280=År2,'Resultater - Østdanmark'!I$3:I$504,'Resultater - Østdanmark'!J$3:J$504)),'Resultater - Østdanmark'!$F$3:$F$504,$A280,'Resultater - Østdanmark'!H$3:H$504,"&lt;0"),0))</f>
        <v>0</v>
      </c>
      <c r="J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forbrug'!J$3,'Forbrug af biomasse'!$B$2:$B$425,$F280)</f>
        <v>0</v>
      </c>
      <c r="K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forbrug'!K$3,'Forbrug af biomasse'!$B$2:$B$425,$F280)</f>
        <v>0</v>
      </c>
      <c r="L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forbrug'!L$3,'Forbrug af biomasse'!$B$2:$B$425,$F280)</f>
        <v>0</v>
      </c>
      <c r="M280" s="94">
        <f>IF(A280&lt;&gt;"Biogas",SUMIFS('Forbrug af biomasse'!$E$2:$E$425,'Forbrug af biomasse'!$C$2:$C$425,'Resultat-Produktion &amp; forbrug'!$A280,'Forbrug af biomasse'!$D$2:$D$425,'Resultat-Produktion &amp; forbrug'!$E280,'Forbrug af biomasse'!$A$2:$A$425,'Resultat-Produktion &amp; forbrug'!M$3,'Forbrug af biomasse'!$B$2:$B$425,$F280),G280)</f>
        <v>0</v>
      </c>
      <c r="N280" s="94">
        <f>SUMIFS('Forbrug af biomasse'!E:E,'Forbrug af biomasse'!C:C,'Resultat-Produktion &amp; forbrug'!$A280,'Forbrug af biomasse'!D:D,'Resultat-Produktion &amp; forbrug'!$E280,'Forbrug af biomasse'!G:G,1,'Forbrug af biomasse'!B:B,$F280)</f>
        <v>0</v>
      </c>
      <c r="O280" s="179">
        <f t="shared" si="69"/>
        <v>154027.33526612099</v>
      </c>
      <c r="P280" s="94">
        <f t="shared" si="98"/>
        <v>0</v>
      </c>
      <c r="Q280" s="180">
        <f t="shared" si="70"/>
        <v>0</v>
      </c>
      <c r="R280">
        <f>IFERROR(VLOOKUP(A280,[1]Energiindhold!$A$2:$C$11,3,FALSE),IFERROR(VLOOKUP(A280,[1]Biogasudbytte!$A$2:$B$18,2,FALSE)*[1]Energiindhold!$C$10,0))*P280</f>
        <v>0</v>
      </c>
      <c r="S280">
        <f>IF(A280&lt;&gt;"Biogas",IFERROR(VLOOKUP(A280,[1]Biogasudbytte!$A$2:$B$18,2,FALSE)*[1]Energiindhold!$C$10,0)*K280*IFERROR(VLOOKUP(A280,Biogasanlæg!$F$3:$G$8,2,FALSE),1)+IFERROR(VLOOKUP(A280,[1]Energiindhold!$A$2:$C$11,3,FALSE),0)*M280+IF(E280&lt;&gt;År1,R280,0),0)</f>
        <v>0</v>
      </c>
      <c r="T280">
        <f>IFERROR(VLOOKUP(A280,[1]Biogasudbytte!$A$2:$B$18,2,FALSE)*[1]Energiindhold!$C$10,0)*K280*IFERROR(VLOOKUP(A280,Biogasanlæg!$F$3:$G$8,2,FALSE),1)</f>
        <v>0</v>
      </c>
      <c r="U280" s="170">
        <f t="shared" si="71"/>
        <v>0</v>
      </c>
      <c r="V280" s="169">
        <f>P280*IFERROR(VLOOKUP(A280,[1]Tørstofindhold!A$2:B$24,2,FALSE),0)</f>
        <v>0</v>
      </c>
      <c r="W280">
        <f>IF(E280=År1,Q280,SUM(P280,Q280))*IFERROR(VLOOKUP(A280,[1]Tørstofindhold!A$2:B$24,2,FALSE),0)</f>
        <v>0</v>
      </c>
      <c r="X280">
        <f>K280*IFERROR(VLOOKUP(A280,[1]Tørstofindhold!A$2:B$24,2,FALSE),0)</f>
        <v>0</v>
      </c>
      <c r="Y280" s="170">
        <f t="shared" si="72"/>
        <v>0</v>
      </c>
      <c r="Z280">
        <f t="shared" si="99"/>
        <v>0</v>
      </c>
      <c r="AA280">
        <f t="shared" si="100"/>
        <v>1</v>
      </c>
      <c r="AB280" s="94">
        <f t="shared" si="86"/>
        <v>154027.33526612099</v>
      </c>
      <c r="AC280">
        <f>AB280*D280*10000*VLOOKUP(A280,[1]kcal!$A$2:$C$49,3,FALSE)/1000000000000</f>
        <v>0</v>
      </c>
    </row>
    <row r="281" spans="1:29" x14ac:dyDescent="0.25">
      <c r="A281" s="171" t="str">
        <f t="shared" si="96"/>
        <v>Rapsolie</v>
      </c>
      <c r="B281" s="171" t="str">
        <f t="shared" si="97"/>
        <v>Rapsolie</v>
      </c>
      <c r="C281" s="171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71">
        <f t="shared" si="82"/>
        <v>1</v>
      </c>
      <c r="E281" s="171">
        <f t="shared" si="81"/>
        <v>2050</v>
      </c>
      <c r="F281" t="s">
        <v>24</v>
      </c>
      <c r="G281" s="94">
        <f>IF(F281="Vestdanmark",SUMIFS(IF(E281=År1,'Resultater - Vestdanmark'!H$3:H$504,IF(E281=År2,'Resultater - Vestdanmark'!I$3:I$504,'Resultater - Vestdanmark'!J$3:J$504)),'Resultater - Vestdanmark'!$F$3:$F$504,$A281,IF(E281=År1,'Resultater - Vestdanmark'!H$3:H$504,IF(E281=År2,'Resultater - Vestdanmark'!I$3:I$504,'Resultater - Vestdanmark'!J$3:J$504)),"&gt;0"),SUMIFS(IF(E281=År1,'Resultater - Østdanmark'!H$3:H$504,IF(E281=År2,'Resultater - Østdanmark'!I$3:I$504,'Resultater - Østdanmark'!J$3:J$504)),'Resultater - Østdanmark'!$F$3:$F$504,$A281,IF(E281=År1,'Resultater - Østdanmark'!H$3:H$504,IF(E281=År2,'Resultater - Østdanmark'!I$3:I$504,'Resultater - Østdanmark'!J$3:J$504)),"&gt;0"))</f>
        <v>99907.394395814132</v>
      </c>
      <c r="H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forbrug'!H$3,'Forbrug af biomasse'!$B$2:$B$425,$F281)</f>
        <v>0</v>
      </c>
      <c r="I281">
        <f>IF(F281="Vestdanmark",-IF(A281="Halm",SUMIFS(IF(E281=År1,'Resultater - Vestdanmark'!H$3:H$504,IF(E281=År2,'Resultater - Vestdanmark'!I$3:I$504,'Resultater - Vestdanmark'!J$3:J$504)),'Resultater - Vestdanmark'!$F$3:$F$504,$A281,'Resultater - Vestdanmark'!H$3:H$504,"&lt;0"),0),-IF(A281="Halm",SUMIFS(IF(E281=År1,'Resultater - Østdanmark'!H$3:H$504,IF(E281=År2,'Resultater - Østdanmark'!I$3:I$504,'Resultater - Østdanmark'!J$3:J$504)),'Resultater - Østdanmark'!$F$3:$F$504,$A281,'Resultater - Østdanmark'!H$3:H$504,"&lt;0"),0))</f>
        <v>0</v>
      </c>
      <c r="J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forbrug'!J$3,'Forbrug af biomasse'!$B$2:$B$425,$F281)</f>
        <v>0</v>
      </c>
      <c r="K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forbrug'!K$3,'Forbrug af biomasse'!$B$2:$B$425,$F281)</f>
        <v>0</v>
      </c>
      <c r="L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forbrug'!L$3,'Forbrug af biomasse'!$B$2:$B$425,$F281)</f>
        <v>0</v>
      </c>
      <c r="M281" s="94">
        <f>IF(A281&lt;&gt;"Biogas",SUMIFS('Forbrug af biomasse'!$E$2:$E$425,'Forbrug af biomasse'!$C$2:$C$425,'Resultat-Produktion &amp; forbrug'!$A281,'Forbrug af biomasse'!$D$2:$D$425,'Resultat-Produktion &amp; forbrug'!$E281,'Forbrug af biomasse'!$A$2:$A$425,'Resultat-Produktion &amp; forbrug'!M$3,'Forbrug af biomasse'!$B$2:$B$425,$F281),G281)</f>
        <v>99907.394395814132</v>
      </c>
      <c r="N281" s="94">
        <f>SUMIFS('Forbrug af biomasse'!E:E,'Forbrug af biomasse'!C:C,'Resultat-Produktion &amp; forbrug'!$A281,'Forbrug af biomasse'!D:D,'Resultat-Produktion &amp; forbrug'!$E281,'Forbrug af biomasse'!G:G,1,'Forbrug af biomasse'!B:B,$F281)</f>
        <v>0</v>
      </c>
      <c r="O281" s="179">
        <f t="shared" si="69"/>
        <v>0</v>
      </c>
      <c r="P281" s="94">
        <f t="shared" si="98"/>
        <v>0</v>
      </c>
      <c r="Q281" s="180">
        <f t="shared" si="70"/>
        <v>99907.394395814132</v>
      </c>
      <c r="R281">
        <f>IFERROR(VLOOKUP(A281,[1]Energiindhold!$A$2:$C$11,3,FALSE),IFERROR(VLOOKUP(A281,[1]Biogasudbytte!$A$2:$B$18,2,FALSE)*[1]Energiindhold!$C$10,0))*P281</f>
        <v>0</v>
      </c>
      <c r="S281">
        <f>IF(A281&lt;&gt;"Biogas",IFERROR(VLOOKUP(A281,[1]Biogasudbytte!$A$2:$B$18,2,FALSE)*[1]Energiindhold!$C$10,0)*K281*IFERROR(VLOOKUP(A281,Biogasanlæg!$F$3:$G$8,2,FALSE),1)+IFERROR(VLOOKUP(A281,[1]Energiindhold!$A$2:$C$11,3,FALSE),0)*M281+IF(E281&lt;&gt;År1,R281,0),0)</f>
        <v>3.4967588038534942</v>
      </c>
      <c r="T281">
        <f>IFERROR(VLOOKUP(A281,[1]Biogasudbytte!$A$2:$B$18,2,FALSE)*[1]Energiindhold!$C$10,0)*K281*IFERROR(VLOOKUP(A281,Biogasanlæg!$F$3:$G$8,2,FALSE),1)</f>
        <v>0</v>
      </c>
      <c r="U281" s="170">
        <f t="shared" si="71"/>
        <v>3.4967588038534942</v>
      </c>
      <c r="V281" s="169">
        <f>P281*IFERROR(VLOOKUP(A281,[1]Tørstofindhold!A$2:B$24,2,FALSE),0)</f>
        <v>0</v>
      </c>
      <c r="W281">
        <f>IF(E281=År1,Q281,SUM(P281,Q281))*IFERROR(VLOOKUP(A281,[1]Tørstofindhold!A$2:B$24,2,FALSE),0)</f>
        <v>0</v>
      </c>
      <c r="X281">
        <f>K281*IFERROR(VLOOKUP(A281,[1]Tørstofindhold!A$2:B$24,2,FALSE),0)</f>
        <v>0</v>
      </c>
      <c r="Y281" s="170">
        <f t="shared" si="72"/>
        <v>0</v>
      </c>
      <c r="Z281">
        <f t="shared" si="99"/>
        <v>0</v>
      </c>
      <c r="AA281">
        <f t="shared" si="100"/>
        <v>0</v>
      </c>
      <c r="AB281" s="94">
        <f t="shared" si="86"/>
        <v>99907.394395814132</v>
      </c>
      <c r="AC281">
        <f>AB281*D281*10000*VLOOKUP(A281,[1]kcal!$A$2:$C$49,3,FALSE)/1000000000000</f>
        <v>0.89916654956232711</v>
      </c>
    </row>
    <row r="282" spans="1:29" x14ac:dyDescent="0.25">
      <c r="A282" s="171" t="str">
        <f t="shared" si="96"/>
        <v>Roer</v>
      </c>
      <c r="B282" s="171" t="str">
        <f t="shared" si="97"/>
        <v>Græs og urter</v>
      </c>
      <c r="C282" s="171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1</v>
      </c>
      <c r="D282" s="171">
        <f t="shared" si="82"/>
        <v>1</v>
      </c>
      <c r="E282" s="171">
        <f t="shared" si="81"/>
        <v>2050</v>
      </c>
      <c r="F282" t="s">
        <v>24</v>
      </c>
      <c r="G282" s="94">
        <f>IF(F282="Vestdanmark",SUMIFS(IF(E282=År1,'Resultater - Vestdanmark'!H$3:H$504,IF(E282=År2,'Resultater - Vestdanmark'!I$3:I$504,'Resultater - Vestdanmark'!J$3:J$504)),'Resultater - Vestdanmark'!$F$3:$F$504,$A282,IF(E282=År1,'Resultater - Vestdanmark'!H$3:H$504,IF(E282=År2,'Resultater - Vestdanmark'!I$3:I$504,'Resultater - Vestdanmark'!J$3:J$504)),"&gt;0"),SUMIFS(IF(E282=År1,'Resultater - Østdanmark'!H$3:H$504,IF(E282=År2,'Resultater - Østdanmark'!I$3:I$504,'Resultater - Østdanmark'!J$3:J$504)),'Resultater - Østdanmark'!$F$3:$F$504,$A282,IF(E282=År1,'Resultater - Østdanmark'!H$3:H$504,IF(E282=År2,'Resultater - Østdanmark'!I$3:I$504,'Resultater - Østdanmark'!J$3:J$504)),"&gt;0"))</f>
        <v>1151.564385499476</v>
      </c>
      <c r="H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forbrug'!H$3,'Forbrug af biomasse'!$B$2:$B$425,$F282)</f>
        <v>8164.068620171267</v>
      </c>
      <c r="I282">
        <f>IF(F282="Vestdanmark",-IF(A282="Halm",SUMIFS(IF(E282=År1,'Resultater - Vestdanmark'!H$3:H$504,IF(E282=År2,'Resultater - Vestdanmark'!I$3:I$504,'Resultater - Vestdanmark'!J$3:J$504)),'Resultater - Vestdanmark'!$F$3:$F$504,$A282,'Resultater - Vestdanmark'!H$3:H$504,"&lt;0"),0),-IF(A282="Halm",SUMIFS(IF(E282=År1,'Resultater - Østdanmark'!H$3:H$504,IF(E282=År2,'Resultater - Østdanmark'!I$3:I$504,'Resultater - Østdanmark'!J$3:J$504)),'Resultater - Østdanmark'!$F$3:$F$504,$A282,'Resultater - Østdanmark'!H$3:H$504,"&lt;0"),0))</f>
        <v>0</v>
      </c>
      <c r="J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forbrug'!J$3,'Forbrug af biomasse'!$B$2:$B$425,$F282)</f>
        <v>0</v>
      </c>
      <c r="K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forbrug'!K$3,'Forbrug af biomasse'!$B$2:$B$425,$F282)</f>
        <v>0</v>
      </c>
      <c r="L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forbrug'!L$3,'Forbrug af biomasse'!$B$2:$B$425,$F282)</f>
        <v>0</v>
      </c>
      <c r="M282" s="94">
        <f>IF(A282&lt;&gt;"Biogas",SUMIFS('Forbrug af biomasse'!$E$2:$E$425,'Forbrug af biomasse'!$C$2:$C$425,'Resultat-Produktion &amp; forbrug'!$A282,'Forbrug af biomasse'!$D$2:$D$425,'Resultat-Produktion &amp; forbrug'!$E282,'Forbrug af biomasse'!$A$2:$A$425,'Resultat-Produktion &amp; forbrug'!M$3,'Forbrug af biomasse'!$B$2:$B$425,$F282),G282)</f>
        <v>0</v>
      </c>
      <c r="N282" s="94">
        <f>SUMIFS('Forbrug af biomasse'!E:E,'Forbrug af biomasse'!C:C,'Resultat-Produktion &amp; forbrug'!$A282,'Forbrug af biomasse'!D:D,'Resultat-Produktion &amp; forbrug'!$E282,'Forbrug af biomasse'!G:G,1,'Forbrug af biomasse'!B:B,$F282)</f>
        <v>0</v>
      </c>
      <c r="O282" s="179">
        <f t="shared" si="69"/>
        <v>-7012.504234671791</v>
      </c>
      <c r="P282" s="94">
        <f t="shared" si="98"/>
        <v>0</v>
      </c>
      <c r="Q282" s="180">
        <f t="shared" si="70"/>
        <v>0</v>
      </c>
      <c r="R282">
        <f>IFERROR(VLOOKUP(A282,[1]Energiindhold!$A$2:$C$11,3,FALSE),IFERROR(VLOOKUP(A282,[1]Biogasudbytte!$A$2:$B$18,2,FALSE)*[1]Energiindhold!$C$10,0))*P282</f>
        <v>0</v>
      </c>
      <c r="S282">
        <f>IF(A282&lt;&gt;"Biogas",IFERROR(VLOOKUP(A282,[1]Biogasudbytte!$A$2:$B$18,2,FALSE)*[1]Energiindhold!$C$10,0)*K282*IFERROR(VLOOKUP(A282,Biogasanlæg!$F$3:$G$8,2,FALSE),1)+IFERROR(VLOOKUP(A282,[1]Energiindhold!$A$2:$C$11,3,FALSE),0)*M282+IF(E282&lt;&gt;År1,R282,0),0)</f>
        <v>0</v>
      </c>
      <c r="T282">
        <f>IFERROR(VLOOKUP(A282,[1]Biogasudbytte!$A$2:$B$18,2,FALSE)*[1]Energiindhold!$C$10,0)*K282*IFERROR(VLOOKUP(A282,Biogasanlæg!$F$3:$G$8,2,FALSE),1)</f>
        <v>0</v>
      </c>
      <c r="U282" s="170">
        <f t="shared" si="71"/>
        <v>0</v>
      </c>
      <c r="V282" s="169">
        <f>P282*IFERROR(VLOOKUP(A282,[1]Tørstofindhold!A$2:B$24,2,FALSE),0)</f>
        <v>0</v>
      </c>
      <c r="W282">
        <f>IF(E282=År1,Q282,SUM(P282,Q282))*IFERROR(VLOOKUP(A282,[1]Tørstofindhold!A$2:B$24,2,FALSE),0)</f>
        <v>0</v>
      </c>
      <c r="X282">
        <f>K282*IFERROR(VLOOKUP(A282,[1]Tørstofindhold!A$2:B$24,2,FALSE),0)</f>
        <v>0</v>
      </c>
      <c r="Y282" s="170">
        <f t="shared" si="72"/>
        <v>0</v>
      </c>
      <c r="Z282">
        <f t="shared" si="99"/>
        <v>1</v>
      </c>
      <c r="AA282">
        <f t="shared" si="100"/>
        <v>0</v>
      </c>
      <c r="AB282" s="94">
        <f t="shared" si="86"/>
        <v>-7012.504234671791</v>
      </c>
      <c r="AC282">
        <f>AB282*D282*10000*VLOOKUP(A282,[1]kcal!$A$2:$C$49,3,FALSE)/1000000000000</f>
        <v>-2.1037512704015372E-3</v>
      </c>
    </row>
    <row r="283" spans="1:29" x14ac:dyDescent="0.25">
      <c r="A283" s="171" t="str">
        <f t="shared" si="96"/>
        <v>Slagteriaffald til andet</v>
      </c>
      <c r="B283" s="171" t="str">
        <f t="shared" si="97"/>
        <v/>
      </c>
      <c r="C283" s="171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71">
        <f t="shared" si="82"/>
        <v>0</v>
      </c>
      <c r="E283" s="171">
        <f t="shared" ref="E283:E291" si="101">År3</f>
        <v>2050</v>
      </c>
      <c r="F283" t="s">
        <v>24</v>
      </c>
      <c r="G283" s="94">
        <f>IF(F283="Vestdanmark",SUMIFS(IF(E283=År1,'Resultater - Vestdanmark'!H$3:H$504,IF(E283=År2,'Resultater - Vestdanmark'!I$3:I$504,'Resultater - Vestdanmark'!J$3:J$504)),'Resultater - Vestdanmark'!$F$3:$F$504,$A283,IF(E283=År1,'Resultater - Vestdanmark'!H$3:H$504,IF(E283=År2,'Resultater - Vestdanmark'!I$3:I$504,'Resultater - Vestdanmark'!J$3:J$504)),"&gt;0"),SUMIFS(IF(E283=År1,'Resultater - Østdanmark'!H$3:H$504,IF(E283=År2,'Resultater - Østdanmark'!I$3:I$504,'Resultater - Østdanmark'!J$3:J$504)),'Resultater - Østdanmark'!$F$3:$F$504,$A283,IF(E283=År1,'Resultater - Østdanmark'!H$3:H$504,IF(E283=År2,'Resultater - Østdanmark'!I$3:I$504,'Resultater - Østdanmark'!J$3:J$504)),"&gt;0"))</f>
        <v>588.00501905544718</v>
      </c>
      <c r="H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forbrug'!H$3,'Forbrug af biomasse'!$B$2:$B$425,$F283)</f>
        <v>0</v>
      </c>
      <c r="I283">
        <f>IF(F283="Vestdanmark",-IF(A283="Halm",SUMIFS(IF(E283=År1,'Resultater - Vestdanmark'!H$3:H$504,IF(E283=År2,'Resultater - Vestdanmark'!I$3:I$504,'Resultater - Vestdanmark'!J$3:J$504)),'Resultater - Vestdanmark'!$F$3:$F$504,$A283,'Resultater - Vestdanmark'!H$3:H$504,"&lt;0"),0),-IF(A283="Halm",SUMIFS(IF(E283=År1,'Resultater - Østdanmark'!H$3:H$504,IF(E283=År2,'Resultater - Østdanmark'!I$3:I$504,'Resultater - Østdanmark'!J$3:J$504)),'Resultater - Østdanmark'!$F$3:$F$504,$A283,'Resultater - Østdanmark'!H$3:H$504,"&lt;0"),0))</f>
        <v>0</v>
      </c>
      <c r="J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forbrug'!J$3,'Forbrug af biomasse'!$B$2:$B$425,$F283)</f>
        <v>0</v>
      </c>
      <c r="K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forbrug'!K$3,'Forbrug af biomasse'!$B$2:$B$425,$F283)</f>
        <v>0</v>
      </c>
      <c r="L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forbrug'!L$3,'Forbrug af biomasse'!$B$2:$B$425,$F283)</f>
        <v>0</v>
      </c>
      <c r="M283" s="94">
        <f>IF(A283&lt;&gt;"Biogas",SUMIFS('Forbrug af biomasse'!$E$2:$E$425,'Forbrug af biomasse'!$C$2:$C$425,'Resultat-Produktion &amp; forbrug'!$A283,'Forbrug af biomasse'!$D$2:$D$425,'Resultat-Produktion &amp; forbrug'!$E283,'Forbrug af biomasse'!$A$2:$A$425,'Resultat-Produktion &amp; forbrug'!M$3,'Forbrug af biomasse'!$B$2:$B$425,$F283),G283)</f>
        <v>0</v>
      </c>
      <c r="N283" s="94">
        <f>SUMIFS('Forbrug af biomasse'!E:E,'Forbrug af biomasse'!C:C,'Resultat-Produktion &amp; forbrug'!$A283,'Forbrug af biomasse'!D:D,'Resultat-Produktion &amp; forbrug'!$E283,'Forbrug af biomasse'!G:G,1,'Forbrug af biomasse'!B:B,$F283)</f>
        <v>0</v>
      </c>
      <c r="O283" s="179">
        <f t="shared" ref="O283:O291" si="102">G283-SUM(H283:N283)</f>
        <v>588.00501905544718</v>
      </c>
      <c r="P283" s="94">
        <f t="shared" si="98"/>
        <v>0</v>
      </c>
      <c r="Q283" s="180">
        <f t="shared" ref="Q283:Q291" si="103">SUM(K283,M283)</f>
        <v>0</v>
      </c>
      <c r="R283">
        <f>IFERROR(VLOOKUP(A283,[1]Energiindhold!$A$2:$C$11,3,FALSE),IFERROR(VLOOKUP(A283,[1]Biogasudbytte!$A$2:$B$18,2,FALSE)*[1]Energiindhold!$C$10,0))*P283</f>
        <v>0</v>
      </c>
      <c r="S283">
        <f>IF(A283&lt;&gt;"Biogas",IFERROR(VLOOKUP(A283,[1]Biogasudbytte!$A$2:$B$18,2,FALSE)*[1]Energiindhold!$C$10,0)*K283*IFERROR(VLOOKUP(A283,Biogasanlæg!$F$3:$G$8,2,FALSE),1)+IFERROR(VLOOKUP(A283,[1]Energiindhold!$A$2:$C$11,3,FALSE),0)*M283+IF(E283&lt;&gt;År1,R283,0),0)</f>
        <v>0</v>
      </c>
      <c r="T283">
        <f>IFERROR(VLOOKUP(A283,[1]Biogasudbytte!$A$2:$B$18,2,FALSE)*[1]Energiindhold!$C$10,0)*K283*IFERROR(VLOOKUP(A283,Biogasanlæg!$F$3:$G$8,2,FALSE),1)</f>
        <v>0</v>
      </c>
      <c r="U283" s="170">
        <f t="shared" ref="U283:U291" si="104">S283-T283</f>
        <v>0</v>
      </c>
      <c r="V283" s="169">
        <f>P283*IFERROR(VLOOKUP(A283,[1]Tørstofindhold!A$2:B$24,2,FALSE),0)</f>
        <v>0</v>
      </c>
      <c r="W283">
        <f>IF(E283=År1,Q283,SUM(P283,Q283))*IFERROR(VLOOKUP(A283,[1]Tørstofindhold!A$2:B$24,2,FALSE),0)</f>
        <v>0</v>
      </c>
      <c r="X283">
        <f>K283*IFERROR(VLOOKUP(A283,[1]Tørstofindhold!A$2:B$24,2,FALSE),0)</f>
        <v>0</v>
      </c>
      <c r="Y283" s="170">
        <f t="shared" ref="Y283:Y291" si="105">W283-X283</f>
        <v>0</v>
      </c>
      <c r="Z283">
        <f t="shared" si="99"/>
        <v>0</v>
      </c>
      <c r="AA283">
        <f t="shared" si="100"/>
        <v>1</v>
      </c>
      <c r="AB283" s="94">
        <f t="shared" si="86"/>
        <v>588.00501905544718</v>
      </c>
      <c r="AC283">
        <f>AB283*D283*10000*VLOOKUP(A283,[1]kcal!$A$2:$C$49,3,FALSE)/1000000000000</f>
        <v>0</v>
      </c>
    </row>
    <row r="284" spans="1:29" x14ac:dyDescent="0.25">
      <c r="A284" s="171" t="str">
        <f t="shared" si="96"/>
        <v>Slagteriaffald til foder</v>
      </c>
      <c r="B284" s="171" t="str">
        <f t="shared" si="97"/>
        <v/>
      </c>
      <c r="C284" s="171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0</v>
      </c>
      <c r="D284" s="171">
        <f t="shared" si="82"/>
        <v>0</v>
      </c>
      <c r="E284" s="171">
        <f t="shared" si="101"/>
        <v>2050</v>
      </c>
      <c r="F284" t="s">
        <v>24</v>
      </c>
      <c r="G284" s="94">
        <f>IF(F284="Vestdanmark",SUMIFS(IF(E284=År1,'Resultater - Vestdanmark'!H$3:H$504,IF(E284=År2,'Resultater - Vestdanmark'!I$3:I$504,'Resultater - Vestdanmark'!J$3:J$504)),'Resultater - Vestdanmark'!$F$3:$F$504,$A284,IF(E284=År1,'Resultater - Vestdanmark'!H$3:H$504,IF(E284=År2,'Resultater - Vestdanmark'!I$3:I$504,'Resultater - Vestdanmark'!J$3:J$504)),"&gt;0"),SUMIFS(IF(E284=År1,'Resultater - Østdanmark'!H$3:H$504,IF(E284=År2,'Resultater - Østdanmark'!I$3:I$504,'Resultater - Østdanmark'!J$3:J$504)),'Resultater - Østdanmark'!$F$3:$F$504,$A284,IF(E284=År1,'Resultater - Østdanmark'!H$3:H$504,IF(E284=År2,'Resultater - Østdanmark'!I$3:I$504,'Resultater - Østdanmark'!J$3:J$504)),"&gt;0"))</f>
        <v>440.79056937463145</v>
      </c>
      <c r="H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forbrug'!H$3,'Forbrug af biomasse'!$B$2:$B$425,$F284)</f>
        <v>382.55486612091136</v>
      </c>
      <c r="I284">
        <f>IF(F284="Vestdanmark",-IF(A284="Halm",SUMIFS(IF(E284=År1,'Resultater - Vestdanmark'!H$3:H$504,IF(E284=År2,'Resultater - Vestdanmark'!I$3:I$504,'Resultater - Vestdanmark'!J$3:J$504)),'Resultater - Vestdanmark'!$F$3:$F$504,$A284,'Resultater - Vestdanmark'!H$3:H$504,"&lt;0"),0),-IF(A284="Halm",SUMIFS(IF(E284=År1,'Resultater - Østdanmark'!H$3:H$504,IF(E284=År2,'Resultater - Østdanmark'!I$3:I$504,'Resultater - Østdanmark'!J$3:J$504)),'Resultater - Østdanmark'!$F$3:$F$504,$A284,'Resultater - Østdanmark'!H$3:H$504,"&lt;0"),0))</f>
        <v>0</v>
      </c>
      <c r="J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forbrug'!J$3,'Forbrug af biomasse'!$B$2:$B$425,$F284)</f>
        <v>0</v>
      </c>
      <c r="K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forbrug'!K$3,'Forbrug af biomasse'!$B$2:$B$425,$F284)</f>
        <v>0</v>
      </c>
      <c r="L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forbrug'!L$3,'Forbrug af biomasse'!$B$2:$B$425,$F284)</f>
        <v>0</v>
      </c>
      <c r="M284" s="94">
        <f>IF(A284&lt;&gt;"Biogas",SUMIFS('Forbrug af biomasse'!$E$2:$E$425,'Forbrug af biomasse'!$C$2:$C$425,'Resultat-Produktion &amp; forbrug'!$A284,'Forbrug af biomasse'!$D$2:$D$425,'Resultat-Produktion &amp; forbrug'!$E284,'Forbrug af biomasse'!$A$2:$A$425,'Resultat-Produktion &amp; forbrug'!M$3,'Forbrug af biomasse'!$B$2:$B$425,$F284),G284)</f>
        <v>0</v>
      </c>
      <c r="N284" s="94">
        <f>SUMIFS('Forbrug af biomasse'!E:E,'Forbrug af biomasse'!C:C,'Resultat-Produktion &amp; forbrug'!$A284,'Forbrug af biomasse'!D:D,'Resultat-Produktion &amp; forbrug'!$E284,'Forbrug af biomasse'!G:G,1,'Forbrug af biomasse'!B:B,$F284)</f>
        <v>0</v>
      </c>
      <c r="O284" s="179">
        <f t="shared" si="102"/>
        <v>58.235703253720089</v>
      </c>
      <c r="P284" s="94">
        <f t="shared" si="98"/>
        <v>0</v>
      </c>
      <c r="Q284" s="180">
        <f t="shared" si="103"/>
        <v>0</v>
      </c>
      <c r="R284">
        <f>IFERROR(VLOOKUP(A284,[1]Energiindhold!$A$2:$C$11,3,FALSE),IFERROR(VLOOKUP(A284,[1]Biogasudbytte!$A$2:$B$18,2,FALSE)*[1]Energiindhold!$C$10,0))*P284</f>
        <v>0</v>
      </c>
      <c r="S284">
        <f>IF(A284&lt;&gt;"Biogas",IFERROR(VLOOKUP(A284,[1]Biogasudbytte!$A$2:$B$18,2,FALSE)*[1]Energiindhold!$C$10,0)*K284*IFERROR(VLOOKUP(A284,Biogasanlæg!$F$3:$G$8,2,FALSE),1)+IFERROR(VLOOKUP(A284,[1]Energiindhold!$A$2:$C$11,3,FALSE),0)*M284+IF(E284&lt;&gt;År1,R284,0),0)</f>
        <v>0</v>
      </c>
      <c r="T284">
        <f>IFERROR(VLOOKUP(A284,[1]Biogasudbytte!$A$2:$B$18,2,FALSE)*[1]Energiindhold!$C$10,0)*K284*IFERROR(VLOOKUP(A284,Biogasanlæg!$F$3:$G$8,2,FALSE),1)</f>
        <v>0</v>
      </c>
      <c r="U284" s="170">
        <f t="shared" si="104"/>
        <v>0</v>
      </c>
      <c r="V284" s="169">
        <f>P284*IFERROR(VLOOKUP(A284,[1]Tørstofindhold!A$2:B$24,2,FALSE),0)</f>
        <v>0</v>
      </c>
      <c r="W284">
        <f>IF(E284=År1,Q284,SUM(P284,Q284))*IFERROR(VLOOKUP(A284,[1]Tørstofindhold!A$2:B$24,2,FALSE),0)</f>
        <v>0</v>
      </c>
      <c r="X284">
        <f>K284*IFERROR(VLOOKUP(A284,[1]Tørstofindhold!A$2:B$24,2,FALSE),0)</f>
        <v>0</v>
      </c>
      <c r="Y284" s="170">
        <f t="shared" si="105"/>
        <v>0</v>
      </c>
      <c r="Z284">
        <f t="shared" si="99"/>
        <v>1</v>
      </c>
      <c r="AA284">
        <f t="shared" si="100"/>
        <v>0</v>
      </c>
      <c r="AB284" s="94">
        <f t="shared" si="86"/>
        <v>58.235703253720089</v>
      </c>
      <c r="AC284">
        <f>AB284*D284*10000*VLOOKUP(A284,[1]kcal!$A$2:$C$49,3,FALSE)/1000000000000</f>
        <v>0</v>
      </c>
    </row>
    <row r="285" spans="1:29" x14ac:dyDescent="0.25">
      <c r="A285" s="171" t="str">
        <f t="shared" si="96"/>
        <v>Spildevandsslam</v>
      </c>
      <c r="B285" s="171" t="str">
        <f t="shared" si="97"/>
        <v>Bionedbrydeligt affald</v>
      </c>
      <c r="C285" s="171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71">
        <f t="shared" si="82"/>
        <v>0</v>
      </c>
      <c r="E285" s="171">
        <f t="shared" si="101"/>
        <v>2050</v>
      </c>
      <c r="F285" t="s">
        <v>24</v>
      </c>
      <c r="G285" s="94">
        <f>IF(F285="Vestdanmark",SUMIFS(IF(E285=År1,'Resultater - Vestdanmark'!H$3:H$504,IF(E285=År2,'Resultater - Vestdanmark'!I$3:I$504,'Resultater - Vestdanmark'!J$3:J$504)),'Resultater - Vestdanmark'!$F$3:$F$504,$A285,IF(E285=År1,'Resultater - Vestdanmark'!H$3:H$504,IF(E285=År2,'Resultater - Vestdanmark'!I$3:I$504,'Resultater - Vestdanmark'!J$3:J$504)),"&gt;0"),SUMIFS(IF(E285=År1,'Resultater - Østdanmark'!H$3:H$504,IF(E285=År2,'Resultater - Østdanmark'!I$3:I$504,'Resultater - Østdanmark'!J$3:J$504)),'Resultater - Østdanmark'!$F$3:$F$504,$A285,IF(E285=År1,'Resultater - Østdanmark'!H$3:H$504,IF(E285=År2,'Resultater - Østdanmark'!I$3:I$504,'Resultater - Østdanmark'!J$3:J$504)),"&gt;0"))</f>
        <v>3492320.8870792342</v>
      </c>
      <c r="H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forbrug'!H$3,'Forbrug af biomasse'!$B$2:$B$425,$F285)</f>
        <v>0</v>
      </c>
      <c r="I285">
        <f>IF(F285="Vestdanmark",-IF(A285="Halm",SUMIFS(IF(E285=År1,'Resultater - Vestdanmark'!H$3:H$504,IF(E285=År2,'Resultater - Vestdanmark'!I$3:I$504,'Resultater - Vestdanmark'!J$3:J$504)),'Resultater - Vestdanmark'!$F$3:$F$504,$A285,'Resultater - Vestdanmark'!H$3:H$504,"&lt;0"),0),-IF(A285="Halm",SUMIFS(IF(E285=År1,'Resultater - Østdanmark'!H$3:H$504,IF(E285=År2,'Resultater - Østdanmark'!I$3:I$504,'Resultater - Østdanmark'!J$3:J$504)),'Resultater - Østdanmark'!$F$3:$F$504,$A285,'Resultater - Østdanmark'!H$3:H$504,"&lt;0"),0))</f>
        <v>0</v>
      </c>
      <c r="J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forbrug'!J$3,'Forbrug af biomasse'!$B$2:$B$425,$F285)</f>
        <v>0</v>
      </c>
      <c r="K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forbrug'!K$3,'Forbrug af biomasse'!$B$2:$B$425,$F285)</f>
        <v>3143088.7983713108</v>
      </c>
      <c r="L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forbrug'!L$3,'Forbrug af biomasse'!$B$2:$B$425,$F285)</f>
        <v>0</v>
      </c>
      <c r="M285" s="94">
        <f>IF(A285&lt;&gt;"Biogas",SUMIFS('Forbrug af biomasse'!$E$2:$E$425,'Forbrug af biomasse'!$C$2:$C$425,'Resultat-Produktion &amp; forbrug'!$A285,'Forbrug af biomasse'!$D$2:$D$425,'Resultat-Produktion &amp; forbrug'!$E285,'Forbrug af biomasse'!$A$2:$A$425,'Resultat-Produktion &amp; forbrug'!M$3,'Forbrug af biomasse'!$B$2:$B$425,$F285),G285)</f>
        <v>0</v>
      </c>
      <c r="N285" s="94">
        <f>SUMIFS('Forbrug af biomasse'!E:E,'Forbrug af biomasse'!C:C,'Resultat-Produktion &amp; forbrug'!$A285,'Forbrug af biomasse'!D:D,'Resultat-Produktion &amp; forbrug'!$E285,'Forbrug af biomasse'!G:G,1,'Forbrug af biomasse'!B:B,$F285)</f>
        <v>0</v>
      </c>
      <c r="O285" s="179">
        <f t="shared" si="102"/>
        <v>349232.08870792342</v>
      </c>
      <c r="P285" s="94">
        <f t="shared" si="98"/>
        <v>349232.08870792342</v>
      </c>
      <c r="Q285" s="180">
        <f t="shared" si="103"/>
        <v>3143088.7983713108</v>
      </c>
      <c r="R285">
        <f>IFERROR(VLOOKUP(A285,[1]Energiindhold!$A$2:$C$11,3,FALSE),IFERROR(VLOOKUP(A285,[1]Biogasudbytte!$A$2:$B$18,2,FALSE)*[1]Energiindhold!$C$10,0))*P285</f>
        <v>0.1742703045861409</v>
      </c>
      <c r="S285">
        <f>IF(A285&lt;&gt;"Biogas",IFERROR(VLOOKUP(A285,[1]Biogasudbytte!$A$2:$B$18,2,FALSE)*[1]Energiindhold!$C$10,0)*K285*IFERROR(VLOOKUP(A285,Biogasanlæg!$F$3:$G$8,2,FALSE),1)+IFERROR(VLOOKUP(A285,[1]Energiindhold!$A$2:$C$11,3,FALSE),0)*M285+IF(E285&lt;&gt;År1,R285,0),0)</f>
        <v>1.742703045861409</v>
      </c>
      <c r="T285">
        <f>IFERROR(VLOOKUP(A285,[1]Biogasudbytte!$A$2:$B$18,2,FALSE)*[1]Energiindhold!$C$10,0)*K285*IFERROR(VLOOKUP(A285,Biogasanlæg!$F$3:$G$8,2,FALSE),1)</f>
        <v>1.5684327412752681</v>
      </c>
      <c r="U285" s="170">
        <f t="shared" si="104"/>
        <v>0.1742703045861409</v>
      </c>
      <c r="V285" s="169">
        <f>P285*IFERROR(VLOOKUP(A285,[1]Tørstofindhold!A$2:B$24,2,FALSE),0)</f>
        <v>20953.925322475403</v>
      </c>
      <c r="W285">
        <f>IF(E285=År1,Q285,SUM(P285,Q285))*IFERROR(VLOOKUP(A285,[1]Tørstofindhold!A$2:B$24,2,FALSE),0)</f>
        <v>209539.25322475404</v>
      </c>
      <c r="X285">
        <f>K285*IFERROR(VLOOKUP(A285,[1]Tørstofindhold!A$2:B$24,2,FALSE),0)</f>
        <v>188585.32790227863</v>
      </c>
      <c r="Y285" s="170">
        <f t="shared" si="105"/>
        <v>20953.925322475407</v>
      </c>
      <c r="Z285">
        <f t="shared" si="99"/>
        <v>0</v>
      </c>
      <c r="AA285">
        <f t="shared" si="100"/>
        <v>1</v>
      </c>
      <c r="AB285" s="94">
        <f t="shared" si="86"/>
        <v>349232.08870792342</v>
      </c>
      <c r="AC285">
        <f>AB285*D285*10000*VLOOKUP(A285,[1]kcal!$A$2:$C$49,3,FALSE)/1000000000000</f>
        <v>0</v>
      </c>
    </row>
    <row r="286" spans="1:29" x14ac:dyDescent="0.25">
      <c r="A286" s="171" t="str">
        <f t="shared" si="96"/>
        <v>Svinegylle</v>
      </c>
      <c r="B286" s="171" t="str">
        <f t="shared" si="97"/>
        <v>Husdyrgødning</v>
      </c>
      <c r="C286" s="171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1</v>
      </c>
      <c r="D286" s="171">
        <f t="shared" si="82"/>
        <v>0</v>
      </c>
      <c r="E286" s="171">
        <f t="shared" si="101"/>
        <v>2050</v>
      </c>
      <c r="F286" t="s">
        <v>24</v>
      </c>
      <c r="G286" s="94">
        <f>IF(F286="Vestdanmark",SUMIFS(IF(E286=År1,'Resultater - Vestdanmark'!H$3:H$504,IF(E286=År2,'Resultater - Vestdanmark'!I$3:I$504,'Resultater - Vestdanmark'!J$3:J$504)),'Resultater - Vestdanmark'!$F$3:$F$504,$A286,IF(E286=År1,'Resultater - Vestdanmark'!H$3:H$504,IF(E286=År2,'Resultater - Vestdanmark'!I$3:I$504,'Resultater - Vestdanmark'!J$3:J$504)),"&gt;0"),SUMIFS(IF(E286=År1,'Resultater - Østdanmark'!H$3:H$504,IF(E286=År2,'Resultater - Østdanmark'!I$3:I$504,'Resultater - Østdanmark'!J$3:J$504)),'Resultater - Østdanmark'!$F$3:$F$504,$A286,IF(E286=År1,'Resultater - Østdanmark'!H$3:H$504,IF(E286=År2,'Resultater - Østdanmark'!I$3:I$504,'Resultater - Østdanmark'!J$3:J$504)),"&gt;0"))</f>
        <v>0</v>
      </c>
      <c r="H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forbrug'!H$3,'Forbrug af biomasse'!$B$2:$B$425,$F286)</f>
        <v>0</v>
      </c>
      <c r="I286">
        <f>IF(F286="Vestdanmark",-IF(A286="Halm",SUMIFS(IF(E286=År1,'Resultater - Vestdanmark'!H$3:H$504,IF(E286=År2,'Resultater - Vestdanmark'!I$3:I$504,'Resultater - Vestdanmark'!J$3:J$504)),'Resultater - Vestdanmark'!$F$3:$F$504,$A286,'Resultater - Vestdanmark'!H$3:H$504,"&lt;0"),0),-IF(A286="Halm",SUMIFS(IF(E286=År1,'Resultater - Østdanmark'!H$3:H$504,IF(E286=År2,'Resultater - Østdanmark'!I$3:I$504,'Resultater - Østdanmark'!J$3:J$504)),'Resultater - Østdanmark'!$F$3:$F$504,$A286,'Resultater - Østdanmark'!H$3:H$504,"&lt;0"),0))</f>
        <v>0</v>
      </c>
      <c r="J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forbrug'!J$3,'Forbrug af biomasse'!$B$2:$B$425,$F286)</f>
        <v>0</v>
      </c>
      <c r="K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forbrug'!K$3,'Forbrug af biomasse'!$B$2:$B$425,$F286)</f>
        <v>0</v>
      </c>
      <c r="L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forbrug'!L$3,'Forbrug af biomasse'!$B$2:$B$425,$F286)</f>
        <v>0</v>
      </c>
      <c r="M286" s="94">
        <f>IF(A286&lt;&gt;"Biogas",SUMIFS('Forbrug af biomasse'!$E$2:$E$425,'Forbrug af biomasse'!$C$2:$C$425,'Resultat-Produktion &amp; forbrug'!$A286,'Forbrug af biomasse'!$D$2:$D$425,'Resultat-Produktion &amp; forbrug'!$E286,'Forbrug af biomasse'!$A$2:$A$425,'Resultat-Produktion &amp; forbrug'!M$3,'Forbrug af biomasse'!$B$2:$B$425,$F286),G286)</f>
        <v>0</v>
      </c>
      <c r="N286" s="94">
        <f>SUMIFS('Forbrug af biomasse'!E:E,'Forbrug af biomasse'!C:C,'Resultat-Produktion &amp; forbrug'!$A286,'Forbrug af biomasse'!D:D,'Resultat-Produktion &amp; forbrug'!$E286,'Forbrug af biomasse'!G:G,1,'Forbrug af biomasse'!B:B,$F286)</f>
        <v>0</v>
      </c>
      <c r="O286" s="179">
        <f t="shared" si="102"/>
        <v>0</v>
      </c>
      <c r="P286" s="94">
        <f t="shared" si="98"/>
        <v>0</v>
      </c>
      <c r="Q286" s="180">
        <f t="shared" si="103"/>
        <v>0</v>
      </c>
      <c r="R286">
        <f>IFERROR(VLOOKUP(A286,[1]Energiindhold!$A$2:$C$11,3,FALSE),IFERROR(VLOOKUP(A286,[1]Biogasudbytte!$A$2:$B$18,2,FALSE)*[1]Energiindhold!$C$10,0))*P286</f>
        <v>0</v>
      </c>
      <c r="S286">
        <f>IF(A286&lt;&gt;"Biogas",IFERROR(VLOOKUP(A286,[1]Biogasudbytte!$A$2:$B$18,2,FALSE)*[1]Energiindhold!$C$10,0)*K286*IFERROR(VLOOKUP(A286,Biogasanlæg!$F$3:$G$8,2,FALSE),1)+IFERROR(VLOOKUP(A286,[1]Energiindhold!$A$2:$C$11,3,FALSE),0)*M286+IF(E286&lt;&gt;År1,R286,0),0)</f>
        <v>0</v>
      </c>
      <c r="T286">
        <f>IFERROR(VLOOKUP(A286,[1]Biogasudbytte!$A$2:$B$18,2,FALSE)*[1]Energiindhold!$C$10,0)*K286*IFERROR(VLOOKUP(A286,Biogasanlæg!$F$3:$G$8,2,FALSE),1)</f>
        <v>0</v>
      </c>
      <c r="U286" s="170">
        <f t="shared" si="104"/>
        <v>0</v>
      </c>
      <c r="V286" s="169">
        <f>P286*IFERROR(VLOOKUP(A286,[1]Tørstofindhold!A$2:B$24,2,FALSE),0)</f>
        <v>0</v>
      </c>
      <c r="W286">
        <f>IF(E286=År1,Q286,SUM(P286,Q286))*IFERROR(VLOOKUP(A286,[1]Tørstofindhold!A$2:B$24,2,FALSE),0)</f>
        <v>0</v>
      </c>
      <c r="X286">
        <f>K286*IFERROR(VLOOKUP(A286,[1]Tørstofindhold!A$2:B$24,2,FALSE),0)</f>
        <v>0</v>
      </c>
      <c r="Y286" s="170">
        <f t="shared" si="105"/>
        <v>0</v>
      </c>
      <c r="Z286">
        <f t="shared" si="99"/>
        <v>0</v>
      </c>
      <c r="AA286">
        <f t="shared" si="100"/>
        <v>0</v>
      </c>
      <c r="AB286" s="94">
        <f t="shared" si="86"/>
        <v>0</v>
      </c>
      <c r="AC286">
        <f>AB286*D286*10000*VLOOKUP(A286,[1]kcal!$A$2:$C$49,3,FALSE)/1000000000000</f>
        <v>0</v>
      </c>
    </row>
    <row r="287" spans="1:29" x14ac:dyDescent="0.25">
      <c r="A287" s="171" t="str">
        <f t="shared" si="96"/>
        <v>Svinekød</v>
      </c>
      <c r="B287" s="171" t="str">
        <f t="shared" si="97"/>
        <v/>
      </c>
      <c r="C287" s="171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0</v>
      </c>
      <c r="D287" s="171">
        <f t="shared" si="82"/>
        <v>1</v>
      </c>
      <c r="E287" s="171">
        <f t="shared" si="101"/>
        <v>2050</v>
      </c>
      <c r="F287" t="s">
        <v>24</v>
      </c>
      <c r="G287" s="94">
        <f>IF(F287="Vestdanmark",SUMIFS(IF(E287=År1,'Resultater - Vestdanmark'!H$3:H$504,IF(E287=År2,'Resultater - Vestdanmark'!I$3:I$504,'Resultater - Vestdanmark'!J$3:J$504)),'Resultater - Vestdanmark'!$F$3:$F$504,$A287,IF(E287=År1,'Resultater - Vestdanmark'!H$3:H$504,IF(E287=År2,'Resultater - Vestdanmark'!I$3:I$504,'Resultater - Vestdanmark'!J$3:J$504)),"&gt;0"),SUMIFS(IF(E287=År1,'Resultater - Østdanmark'!H$3:H$504,IF(E287=År2,'Resultater - Østdanmark'!I$3:I$504,'Resultater - Østdanmark'!J$3:J$504)),'Resultater - Østdanmark'!$F$3:$F$504,$A287,IF(E287=År1,'Resultater - Østdanmark'!H$3:H$504,IF(E287=År2,'Resultater - Østdanmark'!I$3:I$504,'Resultater - Østdanmark'!J$3:J$504)),"&gt;0"))</f>
        <v>4757.7690216638703</v>
      </c>
      <c r="H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forbrug'!H$3,'Forbrug af biomasse'!$B$2:$B$425,$F287)</f>
        <v>0</v>
      </c>
      <c r="I287">
        <f>IF(F287="Vestdanmark",-IF(A287="Halm",SUMIFS(IF(E287=År1,'Resultater - Vestdanmark'!H$3:H$504,IF(E287=År2,'Resultater - Vestdanmark'!I$3:I$504,'Resultater - Vestdanmark'!J$3:J$504)),'Resultater - Vestdanmark'!$F$3:$F$504,$A287,'Resultater - Vestdanmark'!H$3:H$504,"&lt;0"),0),-IF(A287="Halm",SUMIFS(IF(E287=År1,'Resultater - Østdanmark'!H$3:H$504,IF(E287=År2,'Resultater - Østdanmark'!I$3:I$504,'Resultater - Østdanmark'!J$3:J$504)),'Resultater - Østdanmark'!$F$3:$F$504,$A287,'Resultater - Østdanmark'!H$3:H$504,"&lt;0"),0))</f>
        <v>0</v>
      </c>
      <c r="J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forbrug'!J$3,'Forbrug af biomasse'!$B$2:$B$425,$F287)</f>
        <v>110474.29755686472</v>
      </c>
      <c r="K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forbrug'!K$3,'Forbrug af biomasse'!$B$2:$B$425,$F287)</f>
        <v>0</v>
      </c>
      <c r="L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forbrug'!L$3,'Forbrug af biomasse'!$B$2:$B$425,$F287)</f>
        <v>0</v>
      </c>
      <c r="M287" s="94">
        <f>IF(A287&lt;&gt;"Biogas",SUMIFS('Forbrug af biomasse'!$E$2:$E$425,'Forbrug af biomasse'!$C$2:$C$425,'Resultat-Produktion &amp; forbrug'!$A287,'Forbrug af biomasse'!$D$2:$D$425,'Resultat-Produktion &amp; forbrug'!$E287,'Forbrug af biomasse'!$A$2:$A$425,'Resultat-Produktion &amp; forbrug'!M$3,'Forbrug af biomasse'!$B$2:$B$425,$F287),G287)</f>
        <v>0</v>
      </c>
      <c r="N287" s="94">
        <f>SUMIFS('Forbrug af biomasse'!E:E,'Forbrug af biomasse'!C:C,'Resultat-Produktion &amp; forbrug'!$A287,'Forbrug af biomasse'!D:D,'Resultat-Produktion &amp; forbrug'!$E287,'Forbrug af biomasse'!G:G,1,'Forbrug af biomasse'!B:B,$F287)</f>
        <v>0</v>
      </c>
      <c r="O287" s="179">
        <f t="shared" si="102"/>
        <v>-105716.52853520085</v>
      </c>
      <c r="P287" s="94">
        <f t="shared" si="98"/>
        <v>0</v>
      </c>
      <c r="Q287" s="180">
        <f t="shared" si="103"/>
        <v>0</v>
      </c>
      <c r="R287">
        <f>IFERROR(VLOOKUP(A287,[1]Energiindhold!$A$2:$C$11,3,FALSE),IFERROR(VLOOKUP(A287,[1]Biogasudbytte!$A$2:$B$18,2,FALSE)*[1]Energiindhold!$C$10,0))*P287</f>
        <v>0</v>
      </c>
      <c r="S287">
        <f>IF(A287&lt;&gt;"Biogas",IFERROR(VLOOKUP(A287,[1]Biogasudbytte!$A$2:$B$18,2,FALSE)*[1]Energiindhold!$C$10,0)*K287*IFERROR(VLOOKUP(A287,Biogasanlæg!$F$3:$G$8,2,FALSE),1)+IFERROR(VLOOKUP(A287,[1]Energiindhold!$A$2:$C$11,3,FALSE),0)*M287+IF(E287&lt;&gt;År1,R287,0),0)</f>
        <v>0</v>
      </c>
      <c r="T287">
        <f>IFERROR(VLOOKUP(A287,[1]Biogasudbytte!$A$2:$B$18,2,FALSE)*[1]Energiindhold!$C$10,0)*K287*IFERROR(VLOOKUP(A287,Biogasanlæg!$F$3:$G$8,2,FALSE),1)</f>
        <v>0</v>
      </c>
      <c r="U287" s="170">
        <f t="shared" si="104"/>
        <v>0</v>
      </c>
      <c r="V287" s="169">
        <f>P287*IFERROR(VLOOKUP(A287,[1]Tørstofindhold!A$2:B$24,2,FALSE),0)</f>
        <v>0</v>
      </c>
      <c r="W287">
        <f>IF(E287=År1,Q287,SUM(P287,Q287))*IFERROR(VLOOKUP(A287,[1]Tørstofindhold!A$2:B$24,2,FALSE),0)</f>
        <v>0</v>
      </c>
      <c r="X287">
        <f>K287*IFERROR(VLOOKUP(A287,[1]Tørstofindhold!A$2:B$24,2,FALSE),0)</f>
        <v>0</v>
      </c>
      <c r="Y287" s="170">
        <f t="shared" si="105"/>
        <v>0</v>
      </c>
      <c r="Z287">
        <f t="shared" si="99"/>
        <v>1</v>
      </c>
      <c r="AA287">
        <f t="shared" si="100"/>
        <v>0</v>
      </c>
      <c r="AB287" s="94">
        <f t="shared" si="86"/>
        <v>4757.7690216638703</v>
      </c>
      <c r="AC287">
        <f>AB287*D287*10000*VLOOKUP(A287,[1]kcal!$A$2:$C$49,3,FALSE)/1000000000000</f>
        <v>9.2776495922445475E-3</v>
      </c>
    </row>
    <row r="288" spans="1:29" x14ac:dyDescent="0.25">
      <c r="A288" s="171" t="str">
        <f t="shared" si="96"/>
        <v>Tang</v>
      </c>
      <c r="B288" s="171" t="str">
        <f t="shared" si="97"/>
        <v>Havbiomasse</v>
      </c>
      <c r="C288" s="171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71">
        <f t="shared" si="82"/>
        <v>1</v>
      </c>
      <c r="E288" s="171">
        <f t="shared" si="101"/>
        <v>2050</v>
      </c>
      <c r="F288" t="s">
        <v>24</v>
      </c>
      <c r="G288" s="94">
        <f>IF(F288="Vestdanmark",SUMIFS(IF(E288=År1,'Resultater - Vestdanmark'!H$3:H$504,IF(E288=År2,'Resultater - Vestdanmark'!I$3:I$504,'Resultater - Vestdanmark'!J$3:J$504)),'Resultater - Vestdanmark'!$F$3:$F$504,$A288,IF(E288=År1,'Resultater - Vestdanmark'!H$3:H$504,IF(E288=År2,'Resultater - Vestdanmark'!I$3:I$504,'Resultater - Vestdanmark'!J$3:J$504)),"&gt;0"),SUMIFS(IF(E288=År1,'Resultater - Østdanmark'!H$3:H$504,IF(E288=År2,'Resultater - Østdanmark'!I$3:I$504,'Resultater - Østdanmark'!J$3:J$504)),'Resultater - Østdanmark'!$F$3:$F$504,$A288,IF(E288=År1,'Resultater - Østdanmark'!H$3:H$504,IF(E288=År2,'Resultater - Østdanmark'!I$3:I$504,'Resultater - Østdanmark'!J$3:J$504)),"&gt;0"))</f>
        <v>0</v>
      </c>
      <c r="H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forbrug'!H$3,'Forbrug af biomasse'!$B$2:$B$425,$F288)</f>
        <v>0</v>
      </c>
      <c r="I288">
        <f>IF(F288="Vestdanmark",-IF(A288="Halm",SUMIFS(IF(E288=År1,'Resultater - Vestdanmark'!H$3:H$504,IF(E288=År2,'Resultater - Vestdanmark'!I$3:I$504,'Resultater - Vestdanmark'!J$3:J$504)),'Resultater - Vestdanmark'!$F$3:$F$504,$A288,'Resultater - Vestdanmark'!H$3:H$504,"&lt;0"),0),-IF(A288="Halm",SUMIFS(IF(E288=År1,'Resultater - Østdanmark'!H$3:H$504,IF(E288=År2,'Resultater - Østdanmark'!I$3:I$504,'Resultater - Østdanmark'!J$3:J$504)),'Resultater - Østdanmark'!$F$3:$F$504,$A288,'Resultater - Østdanmark'!H$3:H$504,"&lt;0"),0))</f>
        <v>0</v>
      </c>
      <c r="J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forbrug'!J$3,'Forbrug af biomasse'!$B$2:$B$425,$F288)</f>
        <v>0</v>
      </c>
      <c r="K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forbrug'!K$3,'Forbrug af biomasse'!$B$2:$B$425,$F288)</f>
        <v>0</v>
      </c>
      <c r="L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forbrug'!L$3,'Forbrug af biomasse'!$B$2:$B$425,$F288)</f>
        <v>0</v>
      </c>
      <c r="M288" s="94">
        <f>IF(A288&lt;&gt;"Biogas",SUMIFS('Forbrug af biomasse'!$E$2:$E$425,'Forbrug af biomasse'!$C$2:$C$425,'Resultat-Produktion &amp; forbrug'!$A288,'Forbrug af biomasse'!$D$2:$D$425,'Resultat-Produktion &amp; forbrug'!$E288,'Forbrug af biomasse'!$A$2:$A$425,'Resultat-Produktion &amp; forbrug'!M$3,'Forbrug af biomasse'!$B$2:$B$425,$F288),G288)</f>
        <v>0</v>
      </c>
      <c r="N288" s="94">
        <f>SUMIFS('Forbrug af biomasse'!E:E,'Forbrug af biomasse'!C:C,'Resultat-Produktion &amp; forbrug'!$A288,'Forbrug af biomasse'!D:D,'Resultat-Produktion &amp; forbrug'!$E288,'Forbrug af biomasse'!G:G,1,'Forbrug af biomasse'!B:B,$F288)</f>
        <v>0</v>
      </c>
      <c r="O288" s="179">
        <f t="shared" si="102"/>
        <v>0</v>
      </c>
      <c r="P288" s="94">
        <f t="shared" si="98"/>
        <v>0</v>
      </c>
      <c r="Q288" s="180">
        <f t="shared" si="103"/>
        <v>0</v>
      </c>
      <c r="R288">
        <f>IFERROR(VLOOKUP(A288,[1]Energiindhold!$A$2:$C$11,3,FALSE),IFERROR(VLOOKUP(A288,[1]Biogasudbytte!$A$2:$B$18,2,FALSE)*[1]Energiindhold!$C$10,0))*P288</f>
        <v>0</v>
      </c>
      <c r="S288">
        <f>IF(A288&lt;&gt;"Biogas",IFERROR(VLOOKUP(A288,[1]Biogasudbytte!$A$2:$B$18,2,FALSE)*[1]Energiindhold!$C$10,0)*K288*IFERROR(VLOOKUP(A288,Biogasanlæg!$F$3:$G$8,2,FALSE),1)+IFERROR(VLOOKUP(A288,[1]Energiindhold!$A$2:$C$11,3,FALSE),0)*M288+IF(E288&lt;&gt;År1,R288,0),0)</f>
        <v>0</v>
      </c>
      <c r="T288">
        <f>IFERROR(VLOOKUP(A288,[1]Biogasudbytte!$A$2:$B$18,2,FALSE)*[1]Energiindhold!$C$10,0)*K288*IFERROR(VLOOKUP(A288,Biogasanlæg!$F$3:$G$8,2,FALSE),1)</f>
        <v>0</v>
      </c>
      <c r="U288" s="170">
        <f t="shared" si="104"/>
        <v>0</v>
      </c>
      <c r="V288" s="169">
        <f>P288*IFERROR(VLOOKUP(A288,[1]Tørstofindhold!A$2:B$24,2,FALSE),0)</f>
        <v>0</v>
      </c>
      <c r="W288">
        <f>IF(E288=År1,Q288,SUM(P288,Q288))*IFERROR(VLOOKUP(A288,[1]Tørstofindhold!A$2:B$24,2,FALSE),0)</f>
        <v>0</v>
      </c>
      <c r="X288">
        <f>K288*IFERROR(VLOOKUP(A288,[1]Tørstofindhold!A$2:B$24,2,FALSE),0)</f>
        <v>0</v>
      </c>
      <c r="Y288" s="170">
        <f t="shared" si="105"/>
        <v>0</v>
      </c>
      <c r="Z288">
        <f t="shared" si="99"/>
        <v>0</v>
      </c>
      <c r="AA288">
        <f t="shared" si="100"/>
        <v>1</v>
      </c>
      <c r="AB288" s="94">
        <f t="shared" si="86"/>
        <v>0</v>
      </c>
      <c r="AC288">
        <f>AB288*D288*10000*VLOOKUP(A288,[1]kcal!$A$2:$C$49,3,FALSE)/1000000000000</f>
        <v>0</v>
      </c>
    </row>
    <row r="289" spans="1:29" x14ac:dyDescent="0.25">
      <c r="A289" s="171" t="str">
        <f t="shared" si="96"/>
        <v>Total til biogas</v>
      </c>
      <c r="B289" s="171" t="str">
        <f t="shared" si="97"/>
        <v/>
      </c>
      <c r="C289" s="171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71">
        <f t="shared" si="82"/>
        <v>0</v>
      </c>
      <c r="E289" s="171">
        <f t="shared" si="101"/>
        <v>2050</v>
      </c>
      <c r="F289" t="s">
        <v>24</v>
      </c>
      <c r="G289" s="94">
        <f>IF(F289="Vestdanmark",SUMIFS(IF(E289=År1,'Resultater - Vestdanmark'!H$3:H$504,IF(E289=År2,'Resultater - Vestdanmark'!I$3:I$504,'Resultater - Vestdanmark'!J$3:J$504)),'Resultater - Vestdanmark'!$F$3:$F$504,$A289,IF(E289=År1,'Resultater - Vestdanmark'!H$3:H$504,IF(E289=År2,'Resultater - Vestdanmark'!I$3:I$504,'Resultater - Vestdanmark'!J$3:J$504)),"&gt;0"),SUMIFS(IF(E289=År1,'Resultater - Østdanmark'!H$3:H$504,IF(E289=År2,'Resultater - Østdanmark'!I$3:I$504,'Resultater - Østdanmark'!J$3:J$504)),'Resultater - Østdanmark'!$F$3:$F$504,$A289,IF(E289=År1,'Resultater - Østdanmark'!H$3:H$504,IF(E289=År2,'Resultater - Østdanmark'!I$3:I$504,'Resultater - Østdanmark'!J$3:J$504)),"&gt;0"))</f>
        <v>0</v>
      </c>
      <c r="H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forbrug'!H$3,'Forbrug af biomasse'!$B$2:$B$425,$F289)</f>
        <v>0</v>
      </c>
      <c r="I289">
        <f>IF(F289="Vestdanmark",-IF(A289="Halm",SUMIFS(IF(E289=År1,'Resultater - Vestdanmark'!H$3:H$504,IF(E289=År2,'Resultater - Vestdanmark'!I$3:I$504,'Resultater - Vestdanmark'!J$3:J$504)),'Resultater - Vestdanmark'!$F$3:$F$504,$A289,'Resultater - Vestdanmark'!H$3:H$504,"&lt;0"),0),-IF(A289="Halm",SUMIFS(IF(E289=År1,'Resultater - Østdanmark'!H$3:H$504,IF(E289=År2,'Resultater - Østdanmark'!I$3:I$504,'Resultater - Østdanmark'!J$3:J$504)),'Resultater - Østdanmark'!$F$3:$F$504,$A289,'Resultater - Østdanmark'!H$3:H$504,"&lt;0"),0))</f>
        <v>0</v>
      </c>
      <c r="J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forbrug'!J$3,'Forbrug af biomasse'!$B$2:$B$425,$F289)</f>
        <v>0</v>
      </c>
      <c r="K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forbrug'!K$3,'Forbrug af biomasse'!$B$2:$B$425,$F289)</f>
        <v>0</v>
      </c>
      <c r="L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forbrug'!L$3,'Forbrug af biomasse'!$B$2:$B$425,$F289)</f>
        <v>0</v>
      </c>
      <c r="M289" s="94">
        <f>IF(A289&lt;&gt;"Biogas",SUMIFS('Forbrug af biomasse'!$E$2:$E$425,'Forbrug af biomasse'!$C$2:$C$425,'Resultat-Produktion &amp; forbrug'!$A289,'Forbrug af biomasse'!$D$2:$D$425,'Resultat-Produktion &amp; forbrug'!$E289,'Forbrug af biomasse'!$A$2:$A$425,'Resultat-Produktion &amp; forbrug'!M$3,'Forbrug af biomasse'!$B$2:$B$425,$F289),G289)</f>
        <v>0</v>
      </c>
      <c r="N289" s="94">
        <f>SUMIFS('Forbrug af biomasse'!E:E,'Forbrug af biomasse'!C:C,'Resultat-Produktion &amp; forbrug'!$A289,'Forbrug af biomasse'!D:D,'Resultat-Produktion &amp; forbrug'!$E289,'Forbrug af biomasse'!G:G,1,'Forbrug af biomasse'!B:B,$F289)</f>
        <v>0</v>
      </c>
      <c r="O289" s="179">
        <f t="shared" si="102"/>
        <v>0</v>
      </c>
      <c r="P289" s="94">
        <f t="shared" si="98"/>
        <v>0</v>
      </c>
      <c r="Q289" s="180">
        <f t="shared" si="103"/>
        <v>0</v>
      </c>
      <c r="R289">
        <f>IFERROR(VLOOKUP(A289,[1]Energiindhold!$A$2:$C$11,3,FALSE),IFERROR(VLOOKUP(A289,[1]Biogasudbytte!$A$2:$B$18,2,FALSE)*[1]Energiindhold!$C$10,0))*P289</f>
        <v>0</v>
      </c>
      <c r="S289">
        <f>IF(A289&lt;&gt;"Biogas",IFERROR(VLOOKUP(A289,[1]Biogasudbytte!$A$2:$B$18,2,FALSE)*[1]Energiindhold!$C$10,0)*K289*IFERROR(VLOOKUP(A289,Biogasanlæg!$F$3:$G$8,2,FALSE),1)+IFERROR(VLOOKUP(A289,[1]Energiindhold!$A$2:$C$11,3,FALSE),0)*M289+IF(E289&lt;&gt;År1,R289,0),0)</f>
        <v>0</v>
      </c>
      <c r="T289">
        <f>IFERROR(VLOOKUP(A289,[1]Biogasudbytte!$A$2:$B$18,2,FALSE)*[1]Energiindhold!$C$10,0)*K289*IFERROR(VLOOKUP(A289,Biogasanlæg!$F$3:$G$8,2,FALSE),1)</f>
        <v>0</v>
      </c>
      <c r="U289" s="170">
        <f t="shared" si="104"/>
        <v>0</v>
      </c>
      <c r="V289" s="169">
        <f>P289*IFERROR(VLOOKUP(A289,[1]Tørstofindhold!A$2:B$24,2,FALSE),0)</f>
        <v>0</v>
      </c>
      <c r="W289">
        <f>IF(E289=År1,Q289,SUM(P289,Q289))*IFERROR(VLOOKUP(A289,[1]Tørstofindhold!A$2:B$24,2,FALSE),0)</f>
        <v>0</v>
      </c>
      <c r="X289">
        <f>K289*IFERROR(VLOOKUP(A289,[1]Tørstofindhold!A$2:B$24,2,FALSE),0)</f>
        <v>0</v>
      </c>
      <c r="Y289" s="170">
        <f t="shared" si="105"/>
        <v>0</v>
      </c>
      <c r="Z289">
        <f t="shared" si="99"/>
        <v>0</v>
      </c>
      <c r="AA289">
        <f t="shared" si="100"/>
        <v>0</v>
      </c>
      <c r="AB289" s="94">
        <f t="shared" si="86"/>
        <v>0</v>
      </c>
      <c r="AC289">
        <f>AB289*D289*10000*VLOOKUP(A289,[1]kcal!$A$2:$C$49,3,FALSE)/1000000000000</f>
        <v>0</v>
      </c>
    </row>
    <row r="290" spans="1:29" x14ac:dyDescent="0.25">
      <c r="A290" s="171" t="str">
        <f t="shared" si="96"/>
        <v>Træ til energi</v>
      </c>
      <c r="B290" s="171" t="str">
        <f t="shared" si="97"/>
        <v>Vedmasse</v>
      </c>
      <c r="C290" s="171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1</v>
      </c>
      <c r="D290" s="171">
        <f t="shared" si="82"/>
        <v>0</v>
      </c>
      <c r="E290" s="171">
        <f t="shared" si="101"/>
        <v>2050</v>
      </c>
      <c r="F290" t="s">
        <v>24</v>
      </c>
      <c r="G290" s="94">
        <f ca="1">IF(F290="Vestdanmark",SUMIFS(IF(E290=År1,'Resultater - Vestdanmark'!H$3:H$504,IF(E290=År2,'Resultater - Vestdanmark'!I$3:I$504,'Resultater - Vestdanmark'!J$3:J$504)),'Resultater - Vestdanmark'!$F$3:$F$504,$A290,IF(E290=År1,'Resultater - Vestdanmark'!H$3:H$504,IF(E290=År2,'Resultater - Vestdanmark'!I$3:I$504,'Resultater - Vestdanmark'!J$3:J$504)),"&gt;0"),SUMIFS(IF(E290=År1,'Resultater - Østdanmark'!H$3:H$504,IF(E290=År2,'Resultater - Østdanmark'!I$3:I$504,'Resultater - Østdanmark'!J$3:J$504)),'Resultater - Østdanmark'!$F$3:$F$504,$A290,IF(E290=År1,'Resultater - Østdanmark'!H$3:H$504,IF(E290=År2,'Resultater - Østdanmark'!I$3:I$504,'Resultater - Østdanmark'!J$3:J$504)),"&gt;0"))</f>
        <v>637918.49942824384</v>
      </c>
      <c r="H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forbrug'!H$3,'Forbrug af biomasse'!$B$2:$B$425,$F290)</f>
        <v>0</v>
      </c>
      <c r="I290">
        <f>IF(F290="Vestdanmark",-IF(A290="Halm",SUMIFS(IF(E290=År1,'Resultater - Vestdanmark'!H$3:H$504,IF(E290=År2,'Resultater - Vestdanmark'!I$3:I$504,'Resultater - Vestdanmark'!J$3:J$504)),'Resultater - Vestdanmark'!$F$3:$F$504,$A290,'Resultater - Vestdanmark'!H$3:H$504,"&lt;0"),0),-IF(A290="Halm",SUMIFS(IF(E290=År1,'Resultater - Østdanmark'!H$3:H$504,IF(E290=År2,'Resultater - Østdanmark'!I$3:I$504,'Resultater - Østdanmark'!J$3:J$504)),'Resultater - Østdanmark'!$F$3:$F$504,$A290,'Resultater - Østdanmark'!H$3:H$504,"&lt;0"),0))</f>
        <v>0</v>
      </c>
      <c r="J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forbrug'!J$3,'Forbrug af biomasse'!$B$2:$B$425,$F290)</f>
        <v>0</v>
      </c>
      <c r="K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forbrug'!K$3,'Forbrug af biomasse'!$B$2:$B$425,$F290)</f>
        <v>0</v>
      </c>
      <c r="L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forbrug'!L$3,'Forbrug af biomasse'!$B$2:$B$425,$F290)</f>
        <v>0</v>
      </c>
      <c r="M290" s="94">
        <f ca="1">IF(A290&lt;&gt;"Biogas",SUMIFS('Forbrug af biomasse'!$E$2:$E$425,'Forbrug af biomasse'!$C$2:$C$425,'Resultat-Produktion &amp; forbrug'!$A290,'Forbrug af biomasse'!$D$2:$D$425,'Resultat-Produktion &amp; forbrug'!$E290,'Forbrug af biomasse'!$A$2:$A$425,'Resultat-Produktion &amp; forbrug'!M$3,'Forbrug af biomasse'!$B$2:$B$425,$F290),G290)</f>
        <v>637918.49942824384</v>
      </c>
      <c r="N290" s="94">
        <f>SUMIFS('Forbrug af biomasse'!E:E,'Forbrug af biomasse'!C:C,'Resultat-Produktion &amp; forbrug'!$A290,'Forbrug af biomasse'!D:D,'Resultat-Produktion &amp; forbrug'!$E290,'Forbrug af biomasse'!G:G,1,'Forbrug af biomasse'!B:B,$F290)</f>
        <v>0</v>
      </c>
      <c r="O290" s="179">
        <f t="shared" ca="1" si="102"/>
        <v>0</v>
      </c>
      <c r="P290" s="94">
        <f t="shared" ca="1" si="98"/>
        <v>0</v>
      </c>
      <c r="Q290" s="180">
        <f t="shared" ca="1" si="103"/>
        <v>637918.49942824384</v>
      </c>
      <c r="R290">
        <f ca="1">IFERROR(VLOOKUP(A290,[1]Energiindhold!$A$2:$C$11,3,FALSE),IFERROR(VLOOKUP(A290,[1]Biogasudbytte!$A$2:$B$18,2,FALSE)*[1]Energiindhold!$C$10,0))*P290</f>
        <v>0</v>
      </c>
      <c r="S290">
        <f ca="1">IF(A290&lt;&gt;"Biogas",IFERROR(VLOOKUP(A290,[1]Biogasudbytte!$A$2:$B$18,2,FALSE)*[1]Energiindhold!$C$10,0)*K290*IFERROR(VLOOKUP(A290,Biogasanlæg!$F$3:$G$8,2,FALSE),1)+IFERROR(VLOOKUP(A290,[1]Energiindhold!$A$2:$C$11,3,FALSE),0)*M290+IF(E290&lt;&gt;År1,R290,0),0)</f>
        <v>9.2457157245424533</v>
      </c>
      <c r="T290">
        <f>IFERROR(VLOOKUP(A290,[1]Biogasudbytte!$A$2:$B$18,2,FALSE)*[1]Energiindhold!$C$10,0)*K290*IFERROR(VLOOKUP(A290,Biogasanlæg!$F$3:$G$8,2,FALSE),1)</f>
        <v>0</v>
      </c>
      <c r="U290" s="170">
        <f t="shared" ca="1" si="104"/>
        <v>9.2457157245424533</v>
      </c>
      <c r="V290" s="169">
        <f ca="1">P290*IFERROR(VLOOKUP(A290,[1]Tørstofindhold!A$2:B$24,2,FALSE),0)</f>
        <v>0</v>
      </c>
      <c r="W290">
        <f ca="1">IF(E290=År1,Q290,SUM(P290,Q290))*IFERROR(VLOOKUP(A290,[1]Tørstofindhold!A$2:B$24,2,FALSE),0)</f>
        <v>315503.85784221895</v>
      </c>
      <c r="X290">
        <f>K290*IFERROR(VLOOKUP(A290,[1]Tørstofindhold!A$2:B$24,2,FALSE),0)</f>
        <v>0</v>
      </c>
      <c r="Y290" s="170">
        <f t="shared" ca="1" si="105"/>
        <v>315503.85784221895</v>
      </c>
      <c r="Z290">
        <f t="shared" ca="1" si="99"/>
        <v>0</v>
      </c>
      <c r="AA290">
        <f t="shared" ca="1" si="100"/>
        <v>0</v>
      </c>
      <c r="AB290" s="94">
        <f t="shared" ca="1" si="86"/>
        <v>637918.49942824384</v>
      </c>
      <c r="AC290">
        <f ca="1">AB290*D290*10000*VLOOKUP(A290,[1]kcal!$A$2:$C$49,3,FALSE)/1000000000000</f>
        <v>0</v>
      </c>
    </row>
    <row r="291" spans="1:29" ht="15.75" thickBot="1" x14ac:dyDescent="0.3">
      <c r="A291" s="171" t="str">
        <f t="shared" si="96"/>
        <v>Træmaterialer</v>
      </c>
      <c r="B291" s="171" t="str">
        <f t="shared" si="97"/>
        <v/>
      </c>
      <c r="C291" s="171">
        <f>IF(COUNTIFS('Resultater - Danmark'!$D$3:$D$504,'Resultat-Produktion &amp; forbrug'!A291,'Resultater - Danmark'!$A$3:$A$504,"Til energi")+COUNTIFS('Resultater - Danmark'!$D$3:$D$504,'Resultat-Produktion &amp; forbrug'!A291,'Resultater - Danmark'!$A$3:$A$504,"Biogasanlæg")&gt;0,1,0)</f>
        <v>0</v>
      </c>
      <c r="D291" s="171">
        <f t="shared" si="82"/>
        <v>0</v>
      </c>
      <c r="E291" s="171">
        <f t="shared" si="101"/>
        <v>2050</v>
      </c>
      <c r="F291" t="s">
        <v>24</v>
      </c>
      <c r="G291" s="94">
        <f ca="1">IF(F291="Vestdanmark",SUMIFS(IF(E291=År1,'Resultater - Vestdanmark'!H$3:H$504,IF(E291=År2,'Resultater - Vestdanmark'!I$3:I$504,'Resultater - Vestdanmark'!J$3:J$504)),'Resultater - Vestdanmark'!$F$3:$F$504,$A291,IF(E291=År1,'Resultater - Vestdanmark'!H$3:H$504,IF(E291=År2,'Resultater - Vestdanmark'!I$3:I$504,'Resultater - Vestdanmark'!J$3:J$504)),"&gt;0"),SUMIFS(IF(E291=År1,'Resultater - Østdanmark'!H$3:H$504,IF(E291=År2,'Resultater - Østdanmark'!I$3:I$504,'Resultater - Østdanmark'!J$3:J$504)),'Resultater - Østdanmark'!$F$3:$F$504,$A291,IF(E291=År1,'Resultater - Østdanmark'!H$3:H$504,IF(E291=År2,'Resultater - Østdanmark'!I$3:I$504,'Resultater - Østdanmark'!J$3:J$504)),"&gt;0"))</f>
        <v>181156.38422629872</v>
      </c>
      <c r="H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forbrug'!H$3,'Forbrug af biomasse'!$B$2:$B$425,$F291)</f>
        <v>0</v>
      </c>
      <c r="I291">
        <f>IF(F291="Vestdanmark",-IF(A291="Halm",SUMIFS(IF(E291=År1,'Resultater - Vestdanmark'!H$3:H$504,IF(E291=År2,'Resultater - Vestdanmark'!I$3:I$504,'Resultater - Vestdanmark'!J$3:J$504)),'Resultater - Vestdanmark'!$F$3:$F$504,$A291,'Resultater - Vestdanmark'!H$3:H$504,"&lt;0"),0),-IF(A291="Halm",SUMIFS(IF(E291=År1,'Resultater - Østdanmark'!H$3:H$504,IF(E291=År2,'Resultater - Østdanmark'!I$3:I$504,'Resultater - Østdanmark'!J$3:J$504)),'Resultater - Østdanmark'!$F$3:$F$504,$A291,'Resultater - Østdanmark'!H$3:H$504,"&lt;0"),0))</f>
        <v>0</v>
      </c>
      <c r="J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forbrug'!J$3,'Forbrug af biomasse'!$B$2:$B$425,$F291)</f>
        <v>0</v>
      </c>
      <c r="K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forbrug'!K$3,'Forbrug af biomasse'!$B$2:$B$425,$F291)</f>
        <v>0</v>
      </c>
      <c r="L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forbrug'!L$3,'Forbrug af biomasse'!$B$2:$B$425,$F291)</f>
        <v>0</v>
      </c>
      <c r="M291" s="94">
        <f>IF(A291&lt;&gt;"Biogas",SUMIFS('Forbrug af biomasse'!$E$2:$E$425,'Forbrug af biomasse'!$C$2:$C$425,'Resultat-Produktion &amp; forbrug'!$A291,'Forbrug af biomasse'!$D$2:$D$425,'Resultat-Produktion &amp; forbrug'!$E291,'Forbrug af biomasse'!$A$2:$A$425,'Resultat-Produktion &amp; forbrug'!M$3,'Forbrug af biomasse'!$B$2:$B$425,$F291),G291)</f>
        <v>0</v>
      </c>
      <c r="N291" s="94">
        <f ca="1">SUMIFS('Forbrug af biomasse'!E:E,'Forbrug af biomasse'!C:C,'Resultat-Produktion &amp; forbrug'!$A291,'Forbrug af biomasse'!D:D,'Resultat-Produktion &amp; forbrug'!$E291,'Forbrug af biomasse'!G:G,1,'Forbrug af biomasse'!B:B,$F291)</f>
        <v>181156.38422629872</v>
      </c>
      <c r="O291" s="181">
        <f t="shared" ca="1" si="102"/>
        <v>0</v>
      </c>
      <c r="P291" s="182">
        <f t="shared" si="98"/>
        <v>0</v>
      </c>
      <c r="Q291" s="183">
        <f t="shared" si="103"/>
        <v>0</v>
      </c>
      <c r="R291" s="173">
        <f>IFERROR(VLOOKUP(A291,[1]Energiindhold!$A$2:$C$11,3,FALSE),IFERROR(VLOOKUP(A291,[1]Biogasudbytte!$A$2:$B$18,2,FALSE)*[1]Energiindhold!$C$10,0))*P291</f>
        <v>0</v>
      </c>
      <c r="S291" s="173">
        <f>IF(A291&lt;&gt;"Biogas",IFERROR(VLOOKUP(A291,[1]Biogasudbytte!$A$2:$B$18,2,FALSE)*[1]Energiindhold!$C$10,0)*K291*IFERROR(VLOOKUP(A291,Biogasanlæg!$F$3:$G$8,2,FALSE),1)+IFERROR(VLOOKUP(A291,[1]Energiindhold!$A$2:$C$11,3,FALSE),0)*M291+IF(E291&lt;&gt;År1,R291,0),0)</f>
        <v>0</v>
      </c>
      <c r="T291" s="173">
        <f>IFERROR(VLOOKUP(A291,[1]Biogasudbytte!$A$2:$B$18,2,FALSE)*[1]Energiindhold!$C$10,0)*K291*IFERROR(VLOOKUP(A291,Biogasanlæg!$F$3:$G$8,2,FALSE),1)</f>
        <v>0</v>
      </c>
      <c r="U291" s="174">
        <f t="shared" si="104"/>
        <v>0</v>
      </c>
      <c r="V291" s="172">
        <f>P291*IFERROR(VLOOKUP(A291,[1]Tørstofindhold!A$2:B$24,2,FALSE),0)</f>
        <v>0</v>
      </c>
      <c r="W291" s="173">
        <f>IF(E291=År1,Q291,SUM(P291,Q291))*IFERROR(VLOOKUP(A291,[1]Tørstofindhold!A$2:B$24,2,FALSE),0)</f>
        <v>0</v>
      </c>
      <c r="X291" s="173">
        <f>K291*IFERROR(VLOOKUP(A291,[1]Tørstofindhold!A$2:B$24,2,FALSE),0)</f>
        <v>0</v>
      </c>
      <c r="Y291" s="174">
        <f t="shared" si="105"/>
        <v>0</v>
      </c>
      <c r="Z291">
        <f t="shared" ca="1" si="99"/>
        <v>0</v>
      </c>
      <c r="AA291">
        <f t="shared" ca="1" si="100"/>
        <v>0</v>
      </c>
      <c r="AB291" s="94">
        <f t="shared" ca="1" si="86"/>
        <v>181156.38422629872</v>
      </c>
      <c r="AC291">
        <f ca="1">AB291*D291*10000*VLOOKUP(A291,[1]kcal!$A$2:$C$49,3,FALSE)/1000000000000</f>
        <v>0</v>
      </c>
    </row>
  </sheetData>
  <mergeCells count="6">
    <mergeCell ref="AB1:AC1"/>
    <mergeCell ref="R1:U1"/>
    <mergeCell ref="V1:Y1"/>
    <mergeCell ref="A1:C1"/>
    <mergeCell ref="G1:N1"/>
    <mergeCell ref="O1:Q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FCE3-890A-4384-B45F-B3CAB4E5864E}">
  <sheetPr codeName="Sheet37">
    <tabColor rgb="FFFF0000"/>
  </sheetPr>
  <dimension ref="A1:AH147"/>
  <sheetViews>
    <sheetView zoomScale="106" workbookViewId="0">
      <pane xSplit="6" ySplit="3" topLeftCell="Y118" activePane="bottomRight" state="frozen"/>
      <selection pane="topRight" activeCell="F1" sqref="F1"/>
      <selection pane="bottomLeft" activeCell="A3" sqref="A3"/>
      <selection pane="bottomRight" activeCell="H138" sqref="H138"/>
    </sheetView>
  </sheetViews>
  <sheetFormatPr defaultColWidth="18" defaultRowHeight="15" x14ac:dyDescent="0.25"/>
  <cols>
    <col min="1" max="2" width="18.140625" bestFit="1" customWidth="1"/>
    <col min="3" max="3" width="18.140625" customWidth="1"/>
    <col min="4" max="4" width="8.140625" bestFit="1" customWidth="1"/>
    <col min="5" max="5" width="8.140625" customWidth="1"/>
    <col min="6" max="6" width="7.85546875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  <col min="27" max="27" width="23.28515625" bestFit="1" customWidth="1"/>
    <col min="28" max="28" width="4.28515625" style="343" customWidth="1"/>
  </cols>
  <sheetData>
    <row r="1" spans="1:32" ht="15.75" thickTop="1" x14ac:dyDescent="0.25">
      <c r="A1" s="427" t="s">
        <v>248</v>
      </c>
      <c r="B1" s="427"/>
      <c r="C1" s="427"/>
      <c r="D1" s="427"/>
      <c r="E1" s="395"/>
      <c r="G1" s="428" t="s">
        <v>250</v>
      </c>
      <c r="H1" s="428"/>
      <c r="I1" s="428"/>
      <c r="J1" s="428"/>
      <c r="K1" s="428"/>
      <c r="L1" s="428"/>
      <c r="M1" s="428"/>
      <c r="N1" s="429"/>
      <c r="O1" s="430" t="s">
        <v>251</v>
      </c>
      <c r="P1" s="431"/>
      <c r="Q1" s="432"/>
      <c r="R1" s="424" t="s">
        <v>122</v>
      </c>
      <c r="S1" s="424"/>
      <c r="T1" s="424"/>
      <c r="U1" s="425"/>
      <c r="V1" s="426" t="s">
        <v>229</v>
      </c>
      <c r="W1" s="424"/>
      <c r="X1" s="424"/>
      <c r="Y1" s="425"/>
      <c r="AC1" s="423" t="s">
        <v>337</v>
      </c>
      <c r="AD1" s="423"/>
      <c r="AE1">
        <f>År1</f>
        <v>2019</v>
      </c>
      <c r="AF1">
        <f ca="1">SUMIF($F$4:$F$147,$AE1,AD$4:AD$147)</f>
        <v>19.960490719951657</v>
      </c>
    </row>
    <row r="2" spans="1:32" x14ac:dyDescent="0.25">
      <c r="A2" s="395"/>
      <c r="B2" s="395"/>
      <c r="C2" s="395"/>
      <c r="D2" s="395"/>
      <c r="E2" s="395"/>
      <c r="G2" s="396"/>
      <c r="H2" s="396">
        <v>1</v>
      </c>
      <c r="I2" s="396">
        <v>1</v>
      </c>
      <c r="J2" s="396">
        <v>0</v>
      </c>
      <c r="K2" s="396">
        <v>1</v>
      </c>
      <c r="L2" s="396">
        <v>1</v>
      </c>
      <c r="M2" s="396">
        <v>0</v>
      </c>
      <c r="N2" s="396">
        <v>0</v>
      </c>
      <c r="O2" s="397"/>
      <c r="P2" s="398"/>
      <c r="Q2" s="399"/>
      <c r="R2" s="398"/>
      <c r="S2" s="398"/>
      <c r="T2" s="398"/>
      <c r="U2" s="400"/>
      <c r="V2" s="401"/>
      <c r="W2" s="398"/>
      <c r="X2" s="398"/>
      <c r="Y2" s="400"/>
      <c r="AE2">
        <f>År2</f>
        <v>2030</v>
      </c>
      <c r="AF2">
        <f ca="1">SUMIF($F$4:$F$147,$AE2,AD$4:AD$147)</f>
        <v>23.423598307772078</v>
      </c>
    </row>
    <row r="3" spans="1:32" x14ac:dyDescent="0.25">
      <c r="A3" s="91" t="s">
        <v>128</v>
      </c>
      <c r="B3" s="91" t="s">
        <v>311</v>
      </c>
      <c r="C3" s="91" t="s">
        <v>342</v>
      </c>
      <c r="D3" s="91" t="s">
        <v>129</v>
      </c>
      <c r="E3" s="91" t="s">
        <v>339</v>
      </c>
      <c r="F3" s="91" t="s">
        <v>58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  <c r="AB3" s="402" t="str">
        <f>""</f>
        <v/>
      </c>
      <c r="AC3" s="91" t="s">
        <v>338</v>
      </c>
      <c r="AD3" s="91" t="s">
        <v>340</v>
      </c>
      <c r="AE3">
        <f>År3</f>
        <v>2050</v>
      </c>
      <c r="AF3">
        <f ca="1">SUMIF($F$4:$F$147,$AE3,AD$4:AD$147)</f>
        <v>17.658840532248167</v>
      </c>
    </row>
    <row r="4" spans="1:32" x14ac:dyDescent="0.25">
      <c r="A4" s="171" t="s">
        <v>15</v>
      </c>
      <c r="B4" s="171"/>
      <c r="C4" s="171" t="str">
        <f>IFERROR(VLOOKUP(A4,'Kategorisering af kcal'!$J$2:$K$18,2,FALSE),"")</f>
        <v>Æg</v>
      </c>
      <c r="D4" s="171">
        <f>IF(COUNTIFS('Resultater - Danmark'!$D$3:$D$504,'Produktion &amp; forbrug'!A4,'Resultater - Danmark'!$A$3:$A$504,"Til energi")+COUNTIFS('Resultater - Danmark'!$D$3:$D$504,'Produktion &amp; forbrug'!A4,'Resultater - Danmark'!$A$3:$A$504,"Biogasanlæg")&gt;0,1,0)</f>
        <v>0</v>
      </c>
      <c r="E4" s="171">
        <v>1</v>
      </c>
      <c r="F4" s="171">
        <f t="shared" ref="F4:F51" si="0">År1</f>
        <v>2019</v>
      </c>
      <c r="G4" s="94">
        <f>SUMIFS('Resultat-Produktion &amp; forbrug'!G$4:G$291,'Resultat-Produktion &amp; forbrug'!$A$4:$A$291,'Produktion &amp; forbrug'!$A4,'Resultat-Produktion &amp; forbrug'!$E$4:$E$291,'Produktion &amp; forbrug'!$F4)</f>
        <v>235000</v>
      </c>
      <c r="H4" s="94">
        <f>SUMIFS('Resultat-Produktion &amp; forbrug'!H$4:H$291,'Resultat-Produktion &amp; forbrug'!$A$4:$A$291,'Produktion &amp; forbrug'!$A4,'Resultat-Produktion &amp; forbrug'!$E$4:$E$291,'Produktion &amp; forbrug'!$F4)</f>
        <v>0</v>
      </c>
      <c r="I4" s="94">
        <f>SUMIFS('Resultat-Produktion &amp; forbrug'!I$4:I$291,'Resultat-Produktion &amp; forbrug'!$A$4:$A$291,'Produktion &amp; forbrug'!$A4,'Resultat-Produktion &amp; forbrug'!$E$4:$E$291,'Produktion &amp; forbrug'!$F4)</f>
        <v>0</v>
      </c>
      <c r="J4" s="94">
        <f>SUMIFS('Resultat-Produktion &amp; forbrug'!J$4:J$291,'Resultat-Produktion &amp; forbrug'!$A$4:$A$291,'Produktion &amp; forbrug'!$A4,'Resultat-Produktion &amp; forbrug'!$E$4:$E$291,'Produktion &amp; forbrug'!$F4)</f>
        <v>58403.100598004137</v>
      </c>
      <c r="K4" s="94">
        <f>SUMIFS('Resultat-Produktion &amp; forbrug'!K$4:K$291,'Resultat-Produktion &amp; forbrug'!$A$4:$A$291,'Produktion &amp; forbrug'!$A4,'Resultat-Produktion &amp; forbrug'!$E$4:$E$291,'Produktion &amp; forbrug'!$F4)</f>
        <v>0</v>
      </c>
      <c r="L4" s="94">
        <f>SUMIFS('Resultat-Produktion &amp; forbrug'!L$4:L$291,'Resultat-Produktion &amp; forbrug'!$A$4:$A$291,'Produktion &amp; forbrug'!$A4,'Resultat-Produktion &amp; forbrug'!$E$4:$E$291,'Produktion &amp; forbrug'!$F4)</f>
        <v>0</v>
      </c>
      <c r="M4" s="94">
        <f>SUMIFS('Resultat-Produktion &amp; forbrug'!M$4:M$291,'Resultat-Produktion &amp; forbrug'!$A$4:$A$291,'Produktion &amp; forbrug'!$A4,'Resultat-Produktion &amp; forbrug'!$E$4:$E$291,'Produktion &amp; forbrug'!$F4)</f>
        <v>0</v>
      </c>
      <c r="N4" s="94">
        <f>SUMIFS('Resultat-Produktion &amp; forbrug'!N$4:N$291,'Resultat-Produktion &amp; forbrug'!$A$4:$A$291,'Produktion &amp; forbrug'!$A4,'Resultat-Produktion &amp; forbrug'!$E$4:$E$291,'Produktion &amp; forbrug'!$F4)</f>
        <v>0</v>
      </c>
      <c r="O4" s="179">
        <f>G4-SUM(H4:N4)</f>
        <v>176596.89940199588</v>
      </c>
      <c r="P4" s="94">
        <f>IF(D4=1,MAX(O4,0),0)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IF(A4&lt;&gt;"Biogas",IFERROR(VLOOKUP(A4,[1]Biogasudbytte!$A$2:$B$18,2,FALSE)*[1]Energiindhold!$C$10,0)*K4*IFERROR(VLOOKUP(A4,Biogasanlæg!$F$3:$G$8,2,FALSE),1)+IFERROR(VLOOKUP(A4,[1]Energiindhold!$A$2:$C$11,3,FALSE),0)*M4+IF(F4&lt;&gt;År1,R4,0),0)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IF(F4=År1,Q4,SUM(P4,Q4))*IFERROR(VLOOKUP(A4,[1]Tørstofindhold!A$2:B$24,2,FALSE),0)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35" si="1">IF(SUMIFS($O$4:$O$147,$A$4:$A$147,A4,$F$4:$F$147,F4)&lt;0,1,0)</f>
        <v>0</v>
      </c>
      <c r="AA4">
        <f t="shared" ref="AA4:AA35" si="2">IF(SUMIFS($O$4:$O$147,$A$4:$A$147,A4,$F$4:$F$147,F4)&gt;0,1,0)</f>
        <v>1</v>
      </c>
      <c r="AC4" s="94">
        <f>G4-SUMPRODUCT($H$2:$N$2,H4:N4)</f>
        <v>235000</v>
      </c>
      <c r="AD4">
        <f>AC4*E4*10000*VLOOKUP(A4,[1]kcal!$A$2:$C$49,3,FALSE)/1000000000000</f>
        <v>0.32429999999999998</v>
      </c>
    </row>
    <row r="5" spans="1:32" x14ac:dyDescent="0.25">
      <c r="A5" s="171" t="s">
        <v>49</v>
      </c>
      <c r="B5" s="171"/>
      <c r="C5" s="171" t="str">
        <f>IFERROR(VLOOKUP(A5,'Kategorisering af kcal'!$J$2:$K$18,2,FALSE),"")</f>
        <v>Bælgsæd</v>
      </c>
      <c r="D5" s="171">
        <f>IF(COUNTIFS('Resultater - Danmark'!$D$3:$D$504,'Produktion &amp; forbrug'!A5,'Resultater - Danmark'!$A$3:$A$504,"Til energi")+COUNTIFS('Resultater - Danmark'!$D$3:$D$504,'Produktion &amp; forbrug'!A5,'Resultater - Danmark'!$A$3:$A$504,"Biogasanlæg")&gt;0,1,0)</f>
        <v>0</v>
      </c>
      <c r="E5" s="171">
        <v>1</v>
      </c>
      <c r="F5" s="171">
        <f t="shared" si="0"/>
        <v>2019</v>
      </c>
      <c r="G5" s="94">
        <f>SUMIFS('Resultat-Produktion &amp; forbrug'!G$4:G$291,'Resultat-Produktion &amp; forbrug'!$A$4:$A$291,'Produktion &amp; forbrug'!$A5,'Resultat-Produktion &amp; forbrug'!$E$4:$E$291,'Produktion &amp; forbrug'!$F5)</f>
        <v>285369.85676311865</v>
      </c>
      <c r="H5" s="94">
        <f>SUMIFS('Resultat-Produktion &amp; forbrug'!H$4:H$291,'Resultat-Produktion &amp; forbrug'!$A$4:$A$291,'Produktion &amp; forbrug'!$A5,'Resultat-Produktion &amp; forbrug'!$E$4:$E$291,'Produktion &amp; forbrug'!$F5)</f>
        <v>72415.092228932088</v>
      </c>
      <c r="I5" s="94">
        <f>SUMIFS('Resultat-Produktion &amp; forbrug'!I$4:I$291,'Resultat-Produktion &amp; forbrug'!$A$4:$A$291,'Produktion &amp; forbrug'!$A5,'Resultat-Produktion &amp; forbrug'!$E$4:$E$291,'Produktion &amp; forbrug'!$F5)</f>
        <v>0</v>
      </c>
      <c r="J5" s="94">
        <f>SUMIFS('Resultat-Produktion &amp; forbrug'!J$4:J$291,'Resultat-Produktion &amp; forbrug'!$A$4:$A$291,'Produktion &amp; forbrug'!$A5,'Resultat-Produktion &amp; forbrug'!$E$4:$E$291,'Produktion &amp; forbrug'!$F5)</f>
        <v>0</v>
      </c>
      <c r="K5" s="94">
        <f>SUMIFS('Resultat-Produktion &amp; forbrug'!K$4:K$291,'Resultat-Produktion &amp; forbrug'!$A$4:$A$291,'Produktion &amp; forbrug'!$A5,'Resultat-Produktion &amp; forbrug'!$E$4:$E$291,'Produktion &amp; forbrug'!$F5)</f>
        <v>0</v>
      </c>
      <c r="L5" s="94">
        <f>SUMIFS('Resultat-Produktion &amp; forbrug'!L$4:L$291,'Resultat-Produktion &amp; forbrug'!$A$4:$A$291,'Produktion &amp; forbrug'!$A5,'Resultat-Produktion &amp; forbrug'!$E$4:$E$291,'Produktion &amp; forbrug'!$F5)</f>
        <v>0</v>
      </c>
      <c r="M5" s="94">
        <f>SUMIFS('Resultat-Produktion &amp; forbrug'!M$4:M$291,'Resultat-Produktion &amp; forbrug'!$A$4:$A$291,'Produktion &amp; forbrug'!$A5,'Resultat-Produktion &amp; forbrug'!$E$4:$E$291,'Produktion &amp; forbrug'!$F5)</f>
        <v>0</v>
      </c>
      <c r="N5" s="94">
        <f>SUMIFS('Resultat-Produktion &amp; forbrug'!N$4:N$291,'Resultat-Produktion &amp; forbrug'!$A$4:$A$291,'Produktion &amp; forbrug'!$A5,'Resultat-Produktion &amp; forbrug'!$E$4:$E$291,'Produktion &amp; forbrug'!$F5)</f>
        <v>0</v>
      </c>
      <c r="O5" s="179">
        <f t="shared" ref="O5:O68" si="3">G5-SUM(H5:N5)</f>
        <v>212954.76453418657</v>
      </c>
      <c r="P5" s="94">
        <f t="shared" ref="P5:P68" si="4">IF(D5=1,MAX(O5,0),0)</f>
        <v>0</v>
      </c>
      <c r="Q5" s="180">
        <f t="shared" ref="Q5:Q68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IF(A5&lt;&gt;"Biogas",IFERROR(VLOOKUP(A5,[1]Biogasudbytte!$A$2:$B$18,2,FALSE)*[1]Energiindhold!$C$10,0)*K5*IFERROR(VLOOKUP(A5,Biogasanlæg!$F$3:$G$8,2,FALSE),1)+IFERROR(VLOOKUP(A5,[1]Energiindhold!$A$2:$C$11,3,FALSE),0)*M5+IF(F5&lt;&gt;År1,R5,0),0)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68" si="6">S5-T5</f>
        <v>0</v>
      </c>
      <c r="V5" s="169">
        <f>P5*IFERROR(VLOOKUP(A5,[1]Tørstofindhold!A$2:B$24,2,FALSE),0)</f>
        <v>0</v>
      </c>
      <c r="W5">
        <f>IF(F5=År1,Q5,SUM(P5,Q5))*IFERROR(VLOOKUP(A5,[1]Tørstofindhold!A$2:B$24,2,FALSE),0)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68" si="7">W5-X5</f>
        <v>0</v>
      </c>
      <c r="Z5">
        <f t="shared" si="1"/>
        <v>0</v>
      </c>
      <c r="AA5">
        <f t="shared" si="2"/>
        <v>1</v>
      </c>
      <c r="AC5" s="94">
        <f t="shared" ref="AC5:AC68" si="8">G5-SUMPRODUCT($H$2:$N$2,H5:N5)</f>
        <v>212954.76453418657</v>
      </c>
      <c r="AD5">
        <f>AC5*E5*10000*VLOOKUP(A5,[1]kcal!$A$2:$C$49,3,FALSE)/1000000000000</f>
        <v>1.4789708396899257</v>
      </c>
    </row>
    <row r="6" spans="1:32" x14ac:dyDescent="0.25">
      <c r="A6" s="171" t="s">
        <v>102</v>
      </c>
      <c r="B6" s="171" t="s">
        <v>230</v>
      </c>
      <c r="C6" s="171" t="str">
        <f>IFERROR(VLOOKUP(A6,'Kategorisering af kcal'!$J$2:$K$18,2,FALSE),"")</f>
        <v/>
      </c>
      <c r="D6" s="171">
        <f>IF(COUNTIFS('Resultater - Danmark'!$D$3:$D$504,'Produktion &amp; forbrug'!A6,'Resultater - Danmark'!$A$3:$A$504,"Til energi")+COUNTIFS('Resultater - Danmark'!$D$3:$D$504,'Produktion &amp; forbrug'!A6,'Resultater - Danmark'!$A$3:$A$504,"Biogasanlæg")&gt;0,1,0)</f>
        <v>1</v>
      </c>
      <c r="E6" s="171">
        <v>0</v>
      </c>
      <c r="F6" s="171">
        <f t="shared" si="0"/>
        <v>2019</v>
      </c>
      <c r="G6" s="94">
        <f ca="1">SUMIFS('Resultat-Produktion &amp; forbrug'!G$4:G$291,'Resultat-Produktion &amp; forbrug'!$A$4:$A$291,'Produktion &amp; forbrug'!$A6,'Resultat-Produktion &amp; forbrug'!$E$4:$E$291,'Produktion &amp; forbrug'!$F6)</f>
        <v>358674.32551850227</v>
      </c>
      <c r="H6" s="94">
        <f>SUMIFS('Resultat-Produktion &amp; forbrug'!H$4:H$291,'Resultat-Produktion &amp; forbrug'!$A$4:$A$291,'Produktion &amp; forbrug'!$A6,'Resultat-Produktion &amp; forbrug'!$E$4:$E$291,'Produktion &amp; forbrug'!$F6)</f>
        <v>0</v>
      </c>
      <c r="I6" s="94">
        <f>SUMIFS('Resultat-Produktion &amp; forbrug'!I$4:I$291,'Resultat-Produktion &amp; forbrug'!$A$4:$A$291,'Produktion &amp; forbrug'!$A6,'Resultat-Produktion &amp; forbrug'!$E$4:$E$291,'Produktion &amp; forbrug'!$F6)</f>
        <v>0</v>
      </c>
      <c r="J6" s="94">
        <f>SUMIFS('Resultat-Produktion &amp; forbrug'!J$4:J$291,'Resultat-Produktion &amp; forbrug'!$A$4:$A$291,'Produktion &amp; forbrug'!$A6,'Resultat-Produktion &amp; forbrug'!$E$4:$E$291,'Produktion &amp; forbrug'!$F6)</f>
        <v>0</v>
      </c>
      <c r="K6" s="94">
        <f ca="1">SUMIFS('Resultat-Produktion &amp; forbrug'!K$4:K$291,'Resultat-Produktion &amp; forbrug'!$A$4:$A$291,'Produktion &amp; forbrug'!$A6,'Resultat-Produktion &amp; forbrug'!$E$4:$E$291,'Produktion &amp; forbrug'!$F6)</f>
        <v>729134</v>
      </c>
      <c r="L6" s="94">
        <f>SUMIFS('Resultat-Produktion &amp; forbrug'!L$4:L$291,'Resultat-Produktion &amp; forbrug'!$A$4:$A$291,'Produktion &amp; forbrug'!$A6,'Resultat-Produktion &amp; forbrug'!$E$4:$E$291,'Produktion &amp; forbrug'!$F6)</f>
        <v>0</v>
      </c>
      <c r="M6" s="94">
        <f ca="1">SUMIFS('Resultat-Produktion &amp; forbrug'!M$4:M$291,'Resultat-Produktion &amp; forbrug'!$A$4:$A$291,'Produktion &amp; forbrug'!$A6,'Resultat-Produktion &amp; forbrug'!$E$4:$E$291,'Produktion &amp; forbrug'!$F6)</f>
        <v>0</v>
      </c>
      <c r="N6" s="94">
        <f ca="1">SUMIFS('Resultat-Produktion &amp; forbrug'!N$4:N$291,'Resultat-Produktion &amp; forbrug'!$A$4:$A$291,'Produktion &amp; forbrug'!$A6,'Resultat-Produktion &amp; forbrug'!$E$4:$E$291,'Produktion &amp; forbrug'!$F6)</f>
        <v>0</v>
      </c>
      <c r="O6" s="179">
        <f t="shared" ca="1" si="3"/>
        <v>-370459.67448149773</v>
      </c>
      <c r="P6" s="94">
        <f t="shared" ca="1" si="4"/>
        <v>0</v>
      </c>
      <c r="Q6" s="180">
        <f t="shared" ca="1" si="5"/>
        <v>729134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IF(A6&lt;&gt;"Biogas",IFERROR(VLOOKUP(A6,[1]Biogasudbytte!$A$2:$B$18,2,FALSE)*[1]Energiindhold!$C$10,0)*K6*IFERROR(VLOOKUP(A6,Biogasanlæg!$F$3:$G$8,2,FALSE),1)+IFERROR(VLOOKUP(A6,[1]Energiindhold!$A$2:$C$11,3,FALSE),0)*M6+IF(F6&lt;&gt;År1,R6,0),0)</f>
        <v>2.4840939159400004</v>
      </c>
      <c r="T6">
        <f ca="1">IFERROR(VLOOKUP(A6,[1]Biogasudbytte!$A$2:$B$18,2,FALSE)*[1]Energiindhold!$C$10,0)*K6*IFERROR(VLOOKUP(A6,Biogasanlæg!$F$3:$G$8,2,FALSE),1)</f>
        <v>2.4840939159400004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IF(F6=År1,Q6,SUM(P6,Q6))*IFERROR(VLOOKUP(A6,[1]Tørstofindhold!A$2:B$24,2,FALSE),0)</f>
        <v>204157.52000000002</v>
      </c>
      <c r="X6">
        <f ca="1">K6*IFERROR(VLOOKUP(A6,[1]Tørstofindhold!A$2:B$24,2,FALSE),0)</f>
        <v>204157.52000000002</v>
      </c>
      <c r="Y6" s="170">
        <f t="shared" ca="1" si="7"/>
        <v>0</v>
      </c>
      <c r="Z6">
        <f t="shared" ca="1" si="1"/>
        <v>1</v>
      </c>
      <c r="AA6">
        <f t="shared" ca="1" si="2"/>
        <v>0</v>
      </c>
      <c r="AC6" s="94">
        <f t="shared" ca="1" si="8"/>
        <v>-370459.67448149773</v>
      </c>
      <c r="AD6">
        <f ca="1">AC6*E6*10000*VLOOKUP(A6,[1]kcal!$A$2:$C$49,3,FALSE)/1000000000000</f>
        <v>0</v>
      </c>
    </row>
    <row r="7" spans="1:32" x14ac:dyDescent="0.25">
      <c r="A7" s="171" t="s">
        <v>109</v>
      </c>
      <c r="B7" s="171"/>
      <c r="C7" s="171" t="str">
        <f>IFERROR(VLOOKUP(A7,'Kategorisering af kcal'!$J$2:$K$18,2,FALSE),"")</f>
        <v/>
      </c>
      <c r="D7" s="171">
        <f>IF(COUNTIFS('Resultater - Danmark'!$D$3:$D$504,'Produktion &amp; forbrug'!A7,'Resultater - Danmark'!$A$3:$A$504,"Til energi")+COUNTIFS('Resultater - Danmark'!$D$3:$D$504,'Produktion &amp; forbrug'!A7,'Resultater - Danmark'!$A$3:$A$504,"Biogasanlæg")&gt;0,1,0)</f>
        <v>1</v>
      </c>
      <c r="E7" s="171">
        <v>0</v>
      </c>
      <c r="F7" s="171">
        <f t="shared" si="0"/>
        <v>2019</v>
      </c>
      <c r="G7" s="94">
        <f ca="1">SUMIFS('Resultat-Produktion &amp; forbrug'!G$4:G$291,'Resultat-Produktion &amp; forbrug'!$A$4:$A$291,'Produktion &amp; forbrug'!$A7,'Resultat-Produktion &amp; forbrug'!$E$4:$E$291,'Produktion &amp; forbrug'!$F7)</f>
        <v>462837288.84999996</v>
      </c>
      <c r="H7" s="94">
        <f>SUMIFS('Resultat-Produktion &amp; forbrug'!H$4:H$291,'Resultat-Produktion &amp; forbrug'!$A$4:$A$291,'Produktion &amp; forbrug'!$A7,'Resultat-Produktion &amp; forbrug'!$E$4:$E$291,'Produktion &amp; forbrug'!$F7)</f>
        <v>0</v>
      </c>
      <c r="I7" s="94">
        <f>SUMIFS('Resultat-Produktion &amp; forbrug'!I$4:I$291,'Resultat-Produktion &amp; forbrug'!$A$4:$A$291,'Produktion &amp; forbrug'!$A7,'Resultat-Produktion &amp; forbrug'!$E$4:$E$291,'Produktion &amp; forbrug'!$F7)</f>
        <v>0</v>
      </c>
      <c r="J7" s="94">
        <f>SUMIFS('Resultat-Produktion &amp; forbrug'!J$4:J$291,'Resultat-Produktion &amp; forbrug'!$A$4:$A$291,'Produktion &amp; forbrug'!$A7,'Resultat-Produktion &amp; forbrug'!$E$4:$E$291,'Produktion &amp; forbrug'!$F7)</f>
        <v>0</v>
      </c>
      <c r="K7" s="94">
        <f>SUMIFS('Resultat-Produktion &amp; forbrug'!K$4:K$291,'Resultat-Produktion &amp; forbrug'!$A$4:$A$291,'Produktion &amp; forbrug'!$A7,'Resultat-Produktion &amp; forbrug'!$E$4:$E$291,'Produktion &amp; forbrug'!$F7)</f>
        <v>0</v>
      </c>
      <c r="L7" s="94">
        <f>SUMIFS('Resultat-Produktion &amp; forbrug'!L$4:L$291,'Resultat-Produktion &amp; forbrug'!$A$4:$A$291,'Produktion &amp; forbrug'!$A7,'Resultat-Produktion &amp; forbrug'!$E$4:$E$291,'Produktion &amp; forbrug'!$F7)</f>
        <v>0</v>
      </c>
      <c r="M7" s="94">
        <f ca="1">SUMIFS('Resultat-Produktion &amp; forbrug'!M$4:M$291,'Resultat-Produktion &amp; forbrug'!$A$4:$A$291,'Produktion &amp; forbrug'!$A7,'Resultat-Produktion &amp; forbrug'!$E$4:$E$291,'Produktion &amp; forbrug'!$F7)</f>
        <v>462837288.84999996</v>
      </c>
      <c r="N7" s="94">
        <f>SUMIFS('Resultat-Produktion &amp; forbrug'!N$4:N$291,'Resultat-Produktion &amp; forbrug'!$A$4:$A$291,'Produktion &amp; forbrug'!$A7,'Resultat-Produktion &amp; forbrug'!$E$4:$E$291,'Produktion &amp; forbrug'!$F7)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462837288.84999996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IF(A7&lt;&gt;"Biogas",IFERROR(VLOOKUP(A7,[1]Biogasudbytte!$A$2:$B$18,2,FALSE)*[1]Energiindhold!$C$10,0)*K7*IFERROR(VLOOKUP(A7,Biogasanlæg!$F$3:$G$8,2,FALSE),1)+IFERROR(VLOOKUP(A7,[1]Energiindhold!$A$2:$C$11,3,FALSE),0)*M7+IF(F7&lt;&gt;År1,R7,0),0)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IF(F7=År1,Q7,SUM(P7,Q7))*IFERROR(VLOOKUP(A7,[1]Tørstofindhold!A$2:B$24,2,FALSE),0)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  <c r="AC7" s="94">
        <f t="shared" ca="1" si="8"/>
        <v>462837288.84999996</v>
      </c>
      <c r="AD7">
        <f ca="1">AC7*E7*10000*VLOOKUP(A7,[1]kcal!$A$2:$C$49,3,FALSE)/1000000000000</f>
        <v>0</v>
      </c>
    </row>
    <row r="8" spans="1:32" x14ac:dyDescent="0.25">
      <c r="A8" s="171" t="s">
        <v>110</v>
      </c>
      <c r="B8" s="171"/>
      <c r="C8" s="171" t="str">
        <f>IFERROR(VLOOKUP(A8,'Kategorisering af kcal'!$J$2:$K$18,2,FALSE),"")</f>
        <v/>
      </c>
      <c r="D8" s="171">
        <f>IF(COUNTIFS('Resultater - Danmark'!$D$3:$D$504,'Produktion &amp; forbrug'!A8,'Resultater - Danmark'!$A$3:$A$504,"Til energi")+COUNTIFS('Resultater - Danmark'!$D$3:$D$504,'Produktion &amp; forbrug'!A8,'Resultater - Danmark'!$A$3:$A$504,"Biogasanlæg")&gt;0,1,0)</f>
        <v>0</v>
      </c>
      <c r="E8" s="171">
        <v>0</v>
      </c>
      <c r="F8" s="171">
        <f t="shared" si="0"/>
        <v>2019</v>
      </c>
      <c r="G8" s="94">
        <f ca="1">SUMIFS('Resultat-Produktion &amp; forbrug'!G$4:G$291,'Resultat-Produktion &amp; forbrug'!$A$4:$A$291,'Produktion &amp; forbrug'!$A8,'Resultat-Produktion &amp; forbrug'!$E$4:$E$291,'Produktion &amp; forbrug'!$F8)</f>
        <v>12034020.807749998</v>
      </c>
      <c r="H8" s="94">
        <f>SUMIFS('Resultat-Produktion &amp; forbrug'!H$4:H$291,'Resultat-Produktion &amp; forbrug'!$A$4:$A$291,'Produktion &amp; forbrug'!$A8,'Resultat-Produktion &amp; forbrug'!$E$4:$E$291,'Produktion &amp; forbrug'!$F8)</f>
        <v>0</v>
      </c>
      <c r="I8" s="94">
        <f>SUMIFS('Resultat-Produktion &amp; forbrug'!I$4:I$291,'Resultat-Produktion &amp; forbrug'!$A$4:$A$291,'Produktion &amp; forbrug'!$A8,'Resultat-Produktion &amp; forbrug'!$E$4:$E$291,'Produktion &amp; forbrug'!$F8)</f>
        <v>0</v>
      </c>
      <c r="J8" s="94">
        <f>SUMIFS('Resultat-Produktion &amp; forbrug'!J$4:J$291,'Resultat-Produktion &amp; forbrug'!$A$4:$A$291,'Produktion &amp; forbrug'!$A8,'Resultat-Produktion &amp; forbrug'!$E$4:$E$291,'Produktion &amp; forbrug'!$F8)</f>
        <v>0</v>
      </c>
      <c r="K8" s="94">
        <f>SUMIFS('Resultat-Produktion &amp; forbrug'!K$4:K$291,'Resultat-Produktion &amp; forbrug'!$A$4:$A$291,'Produktion &amp; forbrug'!$A8,'Resultat-Produktion &amp; forbrug'!$E$4:$E$291,'Produktion &amp; forbrug'!$F8)</f>
        <v>0</v>
      </c>
      <c r="L8" s="94">
        <f ca="1">SUMIFS('Resultat-Produktion &amp; forbrug'!L$4:L$291,'Resultat-Produktion &amp; forbrug'!$A$4:$A$291,'Produktion &amp; forbrug'!$A8,'Resultat-Produktion &amp; forbrug'!$E$4:$E$291,'Produktion &amp; forbrug'!$F8)</f>
        <v>8803491.7355084848</v>
      </c>
      <c r="M8" s="94">
        <f>SUMIFS('Resultat-Produktion &amp; forbrug'!M$4:M$291,'Resultat-Produktion &amp; forbrug'!$A$4:$A$291,'Produktion &amp; forbrug'!$A8,'Resultat-Produktion &amp; forbrug'!$E$4:$E$291,'Produktion &amp; forbrug'!$F8)</f>
        <v>0</v>
      </c>
      <c r="N8" s="94">
        <f>SUMIFS('Resultat-Produktion &amp; forbrug'!N$4:N$291,'Resultat-Produktion &amp; forbrug'!$A$4:$A$291,'Produktion &amp; forbrug'!$A8,'Resultat-Produktion &amp; forbrug'!$E$4:$E$291,'Produktion &amp; forbrug'!$F8)</f>
        <v>0</v>
      </c>
      <c r="O8" s="179">
        <f t="shared" ca="1" si="3"/>
        <v>3230529.0722415131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IF(A8&lt;&gt;"Biogas",IFERROR(VLOOKUP(A8,[1]Biogasudbytte!$A$2:$B$18,2,FALSE)*[1]Energiindhold!$C$10,0)*K8*IFERROR(VLOOKUP(A8,Biogasanlæg!$F$3:$G$8,2,FALSE),1)+IFERROR(VLOOKUP(A8,[1]Energiindhold!$A$2:$C$11,3,FALSE),0)*M8+IF(F8&lt;&gt;År1,R8,0),0)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IF(F8=År1,Q8,SUM(P8,Q8))*IFERROR(VLOOKUP(A8,[1]Tørstofindhold!A$2:B$24,2,FALSE),0)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  <c r="AC8" s="94">
        <f ca="1">G8-SUMPRODUCT($H$2:$N$2,H8:N8)</f>
        <v>3230529.0722415131</v>
      </c>
      <c r="AD8">
        <f ca="1">AC8*E8*10000*VLOOKUP(A8,[1]kcal!$A$2:$C$49,3,FALSE)/1000000000000</f>
        <v>0</v>
      </c>
    </row>
    <row r="9" spans="1:32" x14ac:dyDescent="0.25">
      <c r="A9" s="171" t="s">
        <v>208</v>
      </c>
      <c r="B9" s="171" t="s">
        <v>230</v>
      </c>
      <c r="C9" s="171" t="str">
        <f>IFERROR(VLOOKUP(A9,'Kategorisering af kcal'!$J$2:$K$18,2,FALSE),"")</f>
        <v/>
      </c>
      <c r="D9" s="171">
        <f>IF(COUNTIFS('Resultater - Danmark'!$D$3:$D$504,'Produktion &amp; forbrug'!A9,'Resultater - Danmark'!$A$3:$A$504,"Til energi")+COUNTIFS('Resultater - Danmark'!$D$3:$D$504,'Produktion &amp; forbrug'!A9,'Resultater - Danmark'!$A$3:$A$504,"Biogasanlæg")&gt;0,1,0)</f>
        <v>1</v>
      </c>
      <c r="E9" s="171">
        <v>0</v>
      </c>
      <c r="F9" s="171">
        <f t="shared" si="0"/>
        <v>2019</v>
      </c>
      <c r="G9" s="94">
        <f>SUMIFS('Resultat-Produktion &amp; forbrug'!G$4:G$291,'Resultat-Produktion &amp; forbrug'!$A$4:$A$291,'Produktion &amp; forbrug'!$A9,'Resultat-Produktion &amp; forbrug'!$E$4:$E$291,'Produktion &amp; forbrug'!$F9)</f>
        <v>0</v>
      </c>
      <c r="H9" s="94">
        <f>SUMIFS('Resultat-Produktion &amp; forbrug'!H$4:H$291,'Resultat-Produktion &amp; forbrug'!$A$4:$A$291,'Produktion &amp; forbrug'!$A9,'Resultat-Produktion &amp; forbrug'!$E$4:$E$291,'Produktion &amp; forbrug'!$F9)</f>
        <v>0</v>
      </c>
      <c r="I9" s="94">
        <f>SUMIFS('Resultat-Produktion &amp; forbrug'!I$4:I$291,'Resultat-Produktion &amp; forbrug'!$A$4:$A$291,'Produktion &amp; forbrug'!$A9,'Resultat-Produktion &amp; forbrug'!$E$4:$E$291,'Produktion &amp; forbrug'!$F9)</f>
        <v>0</v>
      </c>
      <c r="J9" s="94">
        <f>SUMIFS('Resultat-Produktion &amp; forbrug'!J$4:J$291,'Resultat-Produktion &amp; forbrug'!$A$4:$A$291,'Produktion &amp; forbrug'!$A9,'Resultat-Produktion &amp; forbrug'!$E$4:$E$291,'Produktion &amp; forbrug'!$F9)</f>
        <v>0</v>
      </c>
      <c r="K9" s="94">
        <f>SUMIFS('Resultat-Produktion &amp; forbrug'!K$4:K$291,'Resultat-Produktion &amp; forbrug'!$A$4:$A$291,'Produktion &amp; forbrug'!$A9,'Resultat-Produktion &amp; forbrug'!$E$4:$E$291,'Produktion &amp; forbrug'!$F9)</f>
        <v>0</v>
      </c>
      <c r="L9" s="94">
        <f>SUMIFS('Resultat-Produktion &amp; forbrug'!L$4:L$291,'Resultat-Produktion &amp; forbrug'!$A$4:$A$291,'Produktion &amp; forbrug'!$A9,'Resultat-Produktion &amp; forbrug'!$E$4:$E$291,'Produktion &amp; forbrug'!$F9)</f>
        <v>0</v>
      </c>
      <c r="M9" s="94">
        <f>SUMIFS('Resultat-Produktion &amp; forbrug'!M$4:M$291,'Resultat-Produktion &amp; forbrug'!$A$4:$A$291,'Produktion &amp; forbrug'!$A9,'Resultat-Produktion &amp; forbrug'!$E$4:$E$291,'Produktion &amp; forbrug'!$F9)</f>
        <v>0</v>
      </c>
      <c r="N9" s="94">
        <f>SUMIFS('Resultat-Produktion &amp; forbrug'!N$4:N$291,'Resultat-Produktion &amp; forbrug'!$A$4:$A$291,'Produktion &amp; forbrug'!$A9,'Resultat-Produktion &amp; forbrug'!$E$4:$E$291,'Produktion &amp; forbrug'!$F9)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IF(A9&lt;&gt;"Biogas",IFERROR(VLOOKUP(A9,[1]Biogasudbytte!$A$2:$B$18,2,FALSE)*[1]Energiindhold!$C$10,0)*K9*IFERROR(VLOOKUP(A9,Biogasanlæg!$F$3:$G$8,2,FALSE),1)+IFERROR(VLOOKUP(A9,[1]Energiindhold!$A$2:$C$11,3,FALSE),0)*M9+IF(F9&lt;&gt;År1,R9,0),0)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IF(F9=År1,Q9,SUM(P9,Q9))*IFERROR(VLOOKUP(A9,[1]Tørstofindhold!A$2:B$24,2,FALSE),0)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1"/>
        <v>0</v>
      </c>
      <c r="AA9">
        <f t="shared" si="2"/>
        <v>0</v>
      </c>
      <c r="AC9" s="94">
        <f t="shared" si="8"/>
        <v>0</v>
      </c>
      <c r="AD9">
        <f>AC9*E9*10000*VLOOKUP(A9,[1]kcal!$A$2:$C$49,3,FALSE)/1000000000000</f>
        <v>0</v>
      </c>
    </row>
    <row r="10" spans="1:32" x14ac:dyDescent="0.25">
      <c r="A10" t="s">
        <v>101</v>
      </c>
      <c r="B10" s="171" t="s">
        <v>222</v>
      </c>
      <c r="C10" s="171" t="str">
        <f>IFERROR(VLOOKUP(A10,'Kategorisering af kcal'!$J$2:$K$18,2,FALSE),"")</f>
        <v/>
      </c>
      <c r="D10" s="171">
        <f>IF(COUNTIFS('Resultater - Danmark'!$D$3:$D$504,'Produktion &amp; forbrug'!A10,'Resultater - Danmark'!$A$3:$A$504,"Til energi")+COUNTIFS('Resultater - Danmark'!$D$3:$D$504,'Produktion &amp; forbrug'!A10,'Resultater - Danmark'!$A$3:$A$504,"Biogasanlæg")&gt;0,1,0)</f>
        <v>1</v>
      </c>
      <c r="E10" s="171">
        <v>0</v>
      </c>
      <c r="F10" s="171">
        <f t="shared" si="0"/>
        <v>2019</v>
      </c>
      <c r="G10" s="94">
        <f>SUMIFS('Resultat-Produktion &amp; forbrug'!G$4:G$291,'Resultat-Produktion &amp; forbrug'!$A$4:$A$291,'Produktion &amp; forbrug'!$A10,'Resultat-Produktion &amp; forbrug'!$E$4:$E$291,'Produktion &amp; forbrug'!$F10)</f>
        <v>2933070.0000000005</v>
      </c>
      <c r="H10" s="94">
        <f>SUMIFS('Resultat-Produktion &amp; forbrug'!H$4:H$291,'Resultat-Produktion &amp; forbrug'!$A$4:$A$291,'Produktion &amp; forbrug'!$A10,'Resultat-Produktion &amp; forbrug'!$E$4:$E$291,'Produktion &amp; forbrug'!$F10)</f>
        <v>0</v>
      </c>
      <c r="I10" s="94">
        <f>SUMIFS('Resultat-Produktion &amp; forbrug'!I$4:I$291,'Resultat-Produktion &amp; forbrug'!$A$4:$A$291,'Produktion &amp; forbrug'!$A10,'Resultat-Produktion &amp; forbrug'!$E$4:$E$291,'Produktion &amp; forbrug'!$F10)</f>
        <v>0</v>
      </c>
      <c r="J10" s="94">
        <f>SUMIFS('Resultat-Produktion &amp; forbrug'!J$4:J$291,'Resultat-Produktion &amp; forbrug'!$A$4:$A$291,'Produktion &amp; forbrug'!$A10,'Resultat-Produktion &amp; forbrug'!$E$4:$E$291,'Produktion &amp; forbrug'!$F10)</f>
        <v>0</v>
      </c>
      <c r="K10" s="94">
        <f>SUMIFS('Resultat-Produktion &amp; forbrug'!K$4:K$291,'Resultat-Produktion &amp; forbrug'!$A$4:$A$291,'Produktion &amp; forbrug'!$A10,'Resultat-Produktion &amp; forbrug'!$E$4:$E$291,'Produktion &amp; forbrug'!$F10)</f>
        <v>757087.00000000012</v>
      </c>
      <c r="L10" s="94">
        <f>SUMIFS('Resultat-Produktion &amp; forbrug'!L$4:L$291,'Resultat-Produktion &amp; forbrug'!$A$4:$A$291,'Produktion &amp; forbrug'!$A10,'Resultat-Produktion &amp; forbrug'!$E$4:$E$291,'Produktion &amp; forbrug'!$F10)</f>
        <v>823764.99285714305</v>
      </c>
      <c r="M10" s="94">
        <f>SUMIFS('Resultat-Produktion &amp; forbrug'!M$4:M$291,'Resultat-Produktion &amp; forbrug'!$A$4:$A$291,'Produktion &amp; forbrug'!$A10,'Resultat-Produktion &amp; forbrug'!$E$4:$E$291,'Produktion &amp; forbrug'!$F10)</f>
        <v>0</v>
      </c>
      <c r="N10" s="94">
        <f>SUMIFS('Resultat-Produktion &amp; forbrug'!N$4:N$291,'Resultat-Produktion &amp; forbrug'!$A$4:$A$291,'Produktion &amp; forbrug'!$A10,'Resultat-Produktion &amp; forbrug'!$E$4:$E$291,'Produktion &amp; forbrug'!$F10)</f>
        <v>0</v>
      </c>
      <c r="O10" s="179">
        <f t="shared" si="3"/>
        <v>1352218.0071428572</v>
      </c>
      <c r="P10" s="94">
        <f t="shared" si="4"/>
        <v>1352218.0071428572</v>
      </c>
      <c r="Q10" s="180">
        <f>SUM(K10,M10)</f>
        <v>757087.00000000012</v>
      </c>
      <c r="R10">
        <f>IFERROR(VLOOKUP(A10,[1]Energiindhold!$A$2:$C$11,3,FALSE),IFERROR(VLOOKUP(A10,[1]Biogasudbytte!$A$2:$B$18,2,FALSE)*[1]Energiindhold!$C$10,0))*P10</f>
        <v>2.9126775873857143</v>
      </c>
      <c r="S10">
        <f>IF(A10&lt;&gt;"Biogas",IFERROR(VLOOKUP(A10,[1]Biogasudbytte!$A$2:$B$18,2,FALSE)*[1]Energiindhold!$C$10,0)*K10*IFERROR(VLOOKUP(A10,Biogasanlæg!$F$3:$G$8,2,FALSE),1)+IFERROR(VLOOKUP(A10,[1]Energiindhold!$A$2:$C$11,3,FALSE),0)*M10+IF(F10&lt;&gt;År1,R10,0),0)</f>
        <v>1.6307653980000003</v>
      </c>
      <c r="T10">
        <f>IFERROR(VLOOKUP(A10,[1]Biogasudbytte!$A$2:$B$18,2,FALSE)*[1]Energiindhold!$C$10,0)*K10*IFERROR(VLOOKUP(A10,Biogasanlæg!$F$3:$G$8,2,FALSE),1)</f>
        <v>1.6307653980000003</v>
      </c>
      <c r="U10" s="170">
        <f t="shared" si="6"/>
        <v>0</v>
      </c>
      <c r="V10" s="169">
        <f>P10*IFERROR(VLOOKUP(A10,[1]Tørstofindhold!A$2:B$24,2,FALSE),0)</f>
        <v>405665.40214285714</v>
      </c>
      <c r="W10">
        <f>IF(F10=År1,Q10,SUM(P10,Q10))*IFERROR(VLOOKUP(A10,[1]Tørstofindhold!A$2:B$24,2,FALSE),0)</f>
        <v>227126.10000000003</v>
      </c>
      <c r="X10">
        <f>K10*IFERROR(VLOOKUP(A10,[1]Tørstofindhold!A$2:B$24,2,FALSE),0)</f>
        <v>227126.10000000003</v>
      </c>
      <c r="Y10" s="170">
        <f t="shared" si="7"/>
        <v>0</v>
      </c>
      <c r="Z10">
        <f t="shared" si="1"/>
        <v>0</v>
      </c>
      <c r="AA10">
        <f t="shared" si="2"/>
        <v>1</v>
      </c>
      <c r="AC10" s="94">
        <f t="shared" si="8"/>
        <v>1352218.0071428572</v>
      </c>
      <c r="AD10">
        <f>AC10*E10*10000*VLOOKUP(A10,[1]kcal!$A$2:$C$49,3,FALSE)/1000000000000</f>
        <v>0</v>
      </c>
    </row>
    <row r="11" spans="1:32" x14ac:dyDescent="0.25">
      <c r="A11" t="s">
        <v>204</v>
      </c>
      <c r="B11" s="171"/>
      <c r="C11" s="171" t="str">
        <f>IFERROR(VLOOKUP(A11,'Kategorisering af kcal'!$J$2:$K$18,2,FALSE),"")</f>
        <v/>
      </c>
      <c r="D11" s="171">
        <f>IF(COUNTIFS('Resultater - Danmark'!$D$3:$D$504,'Produktion &amp; forbrug'!A11,'Resultater - Danmark'!$A$3:$A$504,"Til energi")+COUNTIFS('Resultater - Danmark'!$D$3:$D$504,'Produktion &amp; forbrug'!A11,'Resultater - Danmark'!$A$3:$A$504,"Biogasanlæg")&gt;0,1,0)</f>
        <v>0</v>
      </c>
      <c r="E11" s="171">
        <v>0</v>
      </c>
      <c r="F11" s="171">
        <f t="shared" si="0"/>
        <v>2019</v>
      </c>
      <c r="G11" s="94">
        <f>SUMIFS('Resultat-Produktion &amp; forbrug'!G$4:G$291,'Resultat-Produktion &amp; forbrug'!$A$4:$A$291,'Produktion &amp; forbrug'!$A11,'Resultat-Produktion &amp; forbrug'!$E$4:$E$291,'Produktion &amp; forbrug'!$F11)</f>
        <v>0</v>
      </c>
      <c r="H11" s="94">
        <f>SUMIFS('Resultat-Produktion &amp; forbrug'!H$4:H$291,'Resultat-Produktion &amp; forbrug'!$A$4:$A$291,'Produktion &amp; forbrug'!$A11,'Resultat-Produktion &amp; forbrug'!$E$4:$E$291,'Produktion &amp; forbrug'!$F11)</f>
        <v>0</v>
      </c>
      <c r="I11" s="94">
        <f>SUMIFS('Resultat-Produktion &amp; forbrug'!I$4:I$291,'Resultat-Produktion &amp; forbrug'!$A$4:$A$291,'Produktion &amp; forbrug'!$A11,'Resultat-Produktion &amp; forbrug'!$E$4:$E$291,'Produktion &amp; forbrug'!$F11)</f>
        <v>0</v>
      </c>
      <c r="J11" s="94">
        <f>SUMIFS('Resultat-Produktion &amp; forbrug'!J$4:J$291,'Resultat-Produktion &amp; forbrug'!$A$4:$A$291,'Produktion &amp; forbrug'!$A11,'Resultat-Produktion &amp; forbrug'!$E$4:$E$291,'Produktion &amp; forbrug'!$F11)</f>
        <v>0</v>
      </c>
      <c r="K11" s="94">
        <f>SUMIFS('Resultat-Produktion &amp; forbrug'!K$4:K$291,'Resultat-Produktion &amp; forbrug'!$A$4:$A$291,'Produktion &amp; forbrug'!$A11,'Resultat-Produktion &amp; forbrug'!$E$4:$E$291,'Produktion &amp; forbrug'!$F11)</f>
        <v>0</v>
      </c>
      <c r="L11" s="94">
        <f>SUMIFS('Resultat-Produktion &amp; forbrug'!L$4:L$291,'Resultat-Produktion &amp; forbrug'!$A$4:$A$291,'Produktion &amp; forbrug'!$A11,'Resultat-Produktion &amp; forbrug'!$E$4:$E$291,'Produktion &amp; forbrug'!$F11)</f>
        <v>0</v>
      </c>
      <c r="M11" s="94">
        <f>SUMIFS('Resultat-Produktion &amp; forbrug'!M$4:M$291,'Resultat-Produktion &amp; forbrug'!$A$4:$A$291,'Produktion &amp; forbrug'!$A11,'Resultat-Produktion &amp; forbrug'!$E$4:$E$291,'Produktion &amp; forbrug'!$F11)</f>
        <v>0</v>
      </c>
      <c r="N11" s="94">
        <f>SUMIFS('Resultat-Produktion &amp; forbrug'!N$4:N$291,'Resultat-Produktion &amp; forbrug'!$A$4:$A$291,'Produktion &amp; forbrug'!$A11,'Resultat-Produktion &amp; forbrug'!$E$4:$E$291,'Produktion &amp; forbrug'!$F11)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IF(A11&lt;&gt;"Biogas",IFERROR(VLOOKUP(A11,[1]Biogasudbytte!$A$2:$B$18,2,FALSE)*[1]Energiindhold!$C$10,0)*K11*IFERROR(VLOOKUP(A11,Biogasanlæg!$F$3:$G$8,2,FALSE),1)+IFERROR(VLOOKUP(A11,[1]Energiindhold!$A$2:$C$11,3,FALSE),0)*M11+IF(F11&lt;&gt;År1,R11,0),0)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IF(F11=År1,Q11,SUM(P11,Q11))*IFERROR(VLOOKUP(A11,[1]Tørstofindhold!A$2:B$24,2,FALSE),0)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1"/>
        <v>0</v>
      </c>
      <c r="AA11">
        <f t="shared" si="2"/>
        <v>0</v>
      </c>
      <c r="AC11" s="94">
        <f t="shared" si="8"/>
        <v>0</v>
      </c>
      <c r="AD11">
        <f>AC11*E11*10000*VLOOKUP(A11,[1]kcal!$A$2:$C$49,3,FALSE)/1000000000000</f>
        <v>0</v>
      </c>
    </row>
    <row r="12" spans="1:32" x14ac:dyDescent="0.25">
      <c r="A12" t="s">
        <v>137</v>
      </c>
      <c r="B12" s="171" t="s">
        <v>222</v>
      </c>
      <c r="C12" s="171" t="str">
        <f>IFERROR(VLOOKUP(A12,'Kategorisering af kcal'!$J$2:$K$18,2,FALSE),"")</f>
        <v/>
      </c>
      <c r="D12" s="171">
        <f>IF(COUNTIFS('Resultater - Danmark'!$D$3:$D$504,'Produktion &amp; forbrug'!A12,'Resultater - Danmark'!$A$3:$A$504,"Til energi")+COUNTIFS('Resultater - Danmark'!$D$3:$D$504,'Produktion &amp; forbrug'!A12,'Resultater - Danmark'!$A$3:$A$504,"Biogasanlæg")&gt;0,1,0)</f>
        <v>1</v>
      </c>
      <c r="E12" s="171">
        <v>0</v>
      </c>
      <c r="F12" s="171">
        <f t="shared" si="0"/>
        <v>2019</v>
      </c>
      <c r="G12" s="94">
        <f>SUMIFS('Resultat-Produktion &amp; forbrug'!G$4:G$291,'Resultat-Produktion &amp; forbrug'!$A$4:$A$291,'Produktion &amp; forbrug'!$A12,'Resultat-Produktion &amp; forbrug'!$E$4:$E$291,'Produktion &amp; forbrug'!$F12)</f>
        <v>8883</v>
      </c>
      <c r="H12" s="94">
        <f>SUMIFS('Resultat-Produktion &amp; forbrug'!H$4:H$291,'Resultat-Produktion &amp; forbrug'!$A$4:$A$291,'Produktion &amp; forbrug'!$A12,'Resultat-Produktion &amp; forbrug'!$E$4:$E$291,'Produktion &amp; forbrug'!$F12)</f>
        <v>0</v>
      </c>
      <c r="I12" s="94">
        <f>SUMIFS('Resultat-Produktion &amp; forbrug'!I$4:I$291,'Resultat-Produktion &amp; forbrug'!$A$4:$A$291,'Produktion &amp; forbrug'!$A12,'Resultat-Produktion &amp; forbrug'!$E$4:$E$291,'Produktion &amp; forbrug'!$F12)</f>
        <v>0</v>
      </c>
      <c r="J12" s="94">
        <f>SUMIFS('Resultat-Produktion &amp; forbrug'!J$4:J$291,'Resultat-Produktion &amp; forbrug'!$A$4:$A$291,'Produktion &amp; forbrug'!$A12,'Resultat-Produktion &amp; forbrug'!$E$4:$E$291,'Produktion &amp; forbrug'!$F12)</f>
        <v>0</v>
      </c>
      <c r="K12" s="94">
        <f>SUMIFS('Resultat-Produktion &amp; forbrug'!K$4:K$291,'Resultat-Produktion &amp; forbrug'!$A$4:$A$291,'Produktion &amp; forbrug'!$A12,'Resultat-Produktion &amp; forbrug'!$E$4:$E$291,'Produktion &amp; forbrug'!$F12)</f>
        <v>4441.5</v>
      </c>
      <c r="L12" s="94">
        <f>SUMIFS('Resultat-Produktion &amp; forbrug'!L$4:L$291,'Resultat-Produktion &amp; forbrug'!$A$4:$A$291,'Produktion &amp; forbrug'!$A12,'Resultat-Produktion &amp; forbrug'!$E$4:$E$291,'Produktion &amp; forbrug'!$F12)</f>
        <v>4441.5</v>
      </c>
      <c r="M12" s="94">
        <f>SUMIFS('Resultat-Produktion &amp; forbrug'!M$4:M$291,'Resultat-Produktion &amp; forbrug'!$A$4:$A$291,'Produktion &amp; forbrug'!$A12,'Resultat-Produktion &amp; forbrug'!$E$4:$E$291,'Produktion &amp; forbrug'!$F12)</f>
        <v>0</v>
      </c>
      <c r="N12" s="94">
        <f>SUMIFS('Resultat-Produktion &amp; forbrug'!N$4:N$291,'Resultat-Produktion &amp; forbrug'!$A$4:$A$291,'Produktion &amp; forbrug'!$A12,'Resultat-Produktion &amp; forbrug'!$E$4:$E$291,'Produktion &amp; forbrug'!$F12)</f>
        <v>0</v>
      </c>
      <c r="O12" s="179">
        <f t="shared" si="3"/>
        <v>0</v>
      </c>
      <c r="P12" s="94">
        <f t="shared" si="4"/>
        <v>0</v>
      </c>
      <c r="Q12" s="180">
        <f t="shared" si="5"/>
        <v>4441.5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IF(A12&lt;&gt;"Biogas",IFERROR(VLOOKUP(A12,[1]Biogasudbytte!$A$2:$B$18,2,FALSE)*[1]Energiindhold!$C$10,0)*K12*IFERROR(VLOOKUP(A12,Biogasanlæg!$F$3:$G$8,2,FALSE),1)+IFERROR(VLOOKUP(A12,[1]Energiindhold!$A$2:$C$11,3,FALSE),0)*M12+IF(F12&lt;&gt;År1,R12,0),0)</f>
        <v>2.0887930350000001E-3</v>
      </c>
      <c r="T12">
        <f>IFERROR(VLOOKUP(A12,[1]Biogasudbytte!$A$2:$B$18,2,FALSE)*[1]Energiindhold!$C$10,0)*K12*IFERROR(VLOOKUP(A12,Biogasanlæg!$F$3:$G$8,2,FALSE),1)</f>
        <v>2.0887930350000001E-3</v>
      </c>
      <c r="U12" s="170">
        <f t="shared" si="6"/>
        <v>0</v>
      </c>
      <c r="V12" s="169">
        <f>P12*IFERROR(VLOOKUP(A12,[1]Tørstofindhold!A$2:B$24,2,FALSE),0)</f>
        <v>0</v>
      </c>
      <c r="W12">
        <f>IF(F12=År1,Q12,SUM(P12,Q12))*IFERROR(VLOOKUP(A12,[1]Tørstofindhold!A$2:B$24,2,FALSE),0)</f>
        <v>279.81450000000001</v>
      </c>
      <c r="X12">
        <f>K12*IFERROR(VLOOKUP(A12,[1]Tørstofindhold!A$2:B$24,2,FALSE),0)</f>
        <v>279.81450000000001</v>
      </c>
      <c r="Y12" s="170">
        <f t="shared" si="7"/>
        <v>0</v>
      </c>
      <c r="Z12">
        <f t="shared" si="1"/>
        <v>0</v>
      </c>
      <c r="AA12">
        <f t="shared" si="2"/>
        <v>0</v>
      </c>
      <c r="AC12" s="94">
        <f t="shared" si="8"/>
        <v>0</v>
      </c>
      <c r="AD12">
        <f>AC12*E12*10000*VLOOKUP(A12,[1]kcal!$A$2:$C$49,3,FALSE)/1000000000000</f>
        <v>0</v>
      </c>
    </row>
    <row r="13" spans="1:32" x14ac:dyDescent="0.25">
      <c r="A13" t="s">
        <v>96</v>
      </c>
      <c r="B13" s="171"/>
      <c r="C13" s="171" t="str">
        <f>IFERROR(VLOOKUP(A13,'Kategorisering af kcal'!$J$2:$K$18,2,FALSE),"")</f>
        <v>Kød</v>
      </c>
      <c r="D13" s="171">
        <f>IF(COUNTIFS('Resultater - Danmark'!$D$3:$D$504,'Produktion &amp; forbrug'!A13,'Resultater - Danmark'!$A$3:$A$504,"Til energi")+COUNTIFS('Resultater - Danmark'!$D$3:$D$504,'Produktion &amp; forbrug'!A13,'Resultater - Danmark'!$A$3:$A$504,"Biogasanlæg")&gt;0,1,0)</f>
        <v>0</v>
      </c>
      <c r="E13" s="171">
        <v>1</v>
      </c>
      <c r="F13" s="171">
        <f t="shared" si="0"/>
        <v>2019</v>
      </c>
      <c r="G13" s="94">
        <f>SUMIFS('Resultat-Produktion &amp; forbrug'!G$4:G$291,'Resultat-Produktion &amp; forbrug'!$A$4:$A$291,'Produktion &amp; forbrug'!$A13,'Resultat-Produktion &amp; forbrug'!$E$4:$E$291,'Produktion &amp; forbrug'!$F13)</f>
        <v>201545.30567673693</v>
      </c>
      <c r="H13" s="94">
        <f>SUMIFS('Resultat-Produktion &amp; forbrug'!H$4:H$291,'Resultat-Produktion &amp; forbrug'!$A$4:$A$291,'Produktion &amp; forbrug'!$A13,'Resultat-Produktion &amp; forbrug'!$E$4:$E$291,'Produktion &amp; forbrug'!$F13)</f>
        <v>0</v>
      </c>
      <c r="I13" s="94">
        <f>SUMIFS('Resultat-Produktion &amp; forbrug'!I$4:I$291,'Resultat-Produktion &amp; forbrug'!$A$4:$A$291,'Produktion &amp; forbrug'!$A13,'Resultat-Produktion &amp; forbrug'!$E$4:$E$291,'Produktion &amp; forbrug'!$F13)</f>
        <v>0</v>
      </c>
      <c r="J13" s="94">
        <f>SUMIFS('Resultat-Produktion &amp; forbrug'!J$4:J$291,'Resultat-Produktion &amp; forbrug'!$A$4:$A$291,'Produktion &amp; forbrug'!$A13,'Resultat-Produktion &amp; forbrug'!$E$4:$E$291,'Produktion &amp; forbrug'!$F13)</f>
        <v>63270.025647837821</v>
      </c>
      <c r="K13" s="94">
        <f>SUMIFS('Resultat-Produktion &amp; forbrug'!K$4:K$291,'Resultat-Produktion &amp; forbrug'!$A$4:$A$291,'Produktion &amp; forbrug'!$A13,'Resultat-Produktion &amp; forbrug'!$E$4:$E$291,'Produktion &amp; forbrug'!$F13)</f>
        <v>0</v>
      </c>
      <c r="L13" s="94">
        <f>SUMIFS('Resultat-Produktion &amp; forbrug'!L$4:L$291,'Resultat-Produktion &amp; forbrug'!$A$4:$A$291,'Produktion &amp; forbrug'!$A13,'Resultat-Produktion &amp; forbrug'!$E$4:$E$291,'Produktion &amp; forbrug'!$F13)</f>
        <v>0</v>
      </c>
      <c r="M13" s="94">
        <f>SUMIFS('Resultat-Produktion &amp; forbrug'!M$4:M$291,'Resultat-Produktion &amp; forbrug'!$A$4:$A$291,'Produktion &amp; forbrug'!$A13,'Resultat-Produktion &amp; forbrug'!$E$4:$E$291,'Produktion &amp; forbrug'!$F13)</f>
        <v>0</v>
      </c>
      <c r="N13" s="94">
        <f>SUMIFS('Resultat-Produktion &amp; forbrug'!N$4:N$291,'Resultat-Produktion &amp; forbrug'!$A$4:$A$291,'Produktion &amp; forbrug'!$A13,'Resultat-Produktion &amp; forbrug'!$E$4:$E$291,'Produktion &amp; forbrug'!$F13)</f>
        <v>0</v>
      </c>
      <c r="O13" s="179">
        <f t="shared" si="3"/>
        <v>138275.28002889911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IF(A13&lt;&gt;"Biogas",IFERROR(VLOOKUP(A13,[1]Biogasudbytte!$A$2:$B$18,2,FALSE)*[1]Energiindhold!$C$10,0)*K13*IFERROR(VLOOKUP(A13,Biogasanlæg!$F$3:$G$8,2,FALSE),1)+IFERROR(VLOOKUP(A13,[1]Energiindhold!$A$2:$C$11,3,FALSE),0)*M13+IF(F13&lt;&gt;År1,R13,0),0)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IF(F13=År1,Q13,SUM(P13,Q13))*IFERROR(VLOOKUP(A13,[1]Tørstofindhold!A$2:B$24,2,FALSE),0)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  <c r="AC13" s="94">
        <f t="shared" si="8"/>
        <v>201545.30567673693</v>
      </c>
      <c r="AD13">
        <f>AC13*E13*10000*VLOOKUP(A13,[1]kcal!$A$2:$C$49,3,FALSE)/1000000000000</f>
        <v>0.30634886462864014</v>
      </c>
    </row>
    <row r="14" spans="1:32" x14ac:dyDescent="0.25">
      <c r="A14" t="s">
        <v>113</v>
      </c>
      <c r="B14" s="171"/>
      <c r="C14" s="171" t="str">
        <f>IFERROR(VLOOKUP(A14,'Kategorisering af kcal'!$J$2:$K$18,2,FALSE),"")</f>
        <v/>
      </c>
      <c r="D14" s="171">
        <f>IF(COUNTIFS('Resultater - Danmark'!$D$3:$D$504,'Produktion &amp; forbrug'!A14,'Resultater - Danmark'!$A$3:$A$504,"Til energi")+COUNTIFS('Resultater - Danmark'!$D$3:$D$504,'Produktion &amp; forbrug'!A14,'Resultater - Danmark'!$A$3:$A$504,"Biogasanlæg")&gt;0,1,0)</f>
        <v>0</v>
      </c>
      <c r="E14" s="171">
        <v>0</v>
      </c>
      <c r="F14" s="171">
        <f t="shared" si="0"/>
        <v>2019</v>
      </c>
      <c r="G14" s="94">
        <f>SUMIFS('Resultat-Produktion &amp; forbrug'!G$4:G$291,'Resultat-Produktion &amp; forbrug'!$A$4:$A$291,'Produktion &amp; forbrug'!$A14,'Resultat-Produktion &amp; forbrug'!$E$4:$E$291,'Produktion &amp; forbrug'!$F14)</f>
        <v>1508282.669250763</v>
      </c>
      <c r="H14" s="94">
        <f>SUMIFS('Resultat-Produktion &amp; forbrug'!H$4:H$291,'Resultat-Produktion &amp; forbrug'!$A$4:$A$291,'Produktion &amp; forbrug'!$A14,'Resultat-Produktion &amp; forbrug'!$E$4:$E$291,'Produktion &amp; forbrug'!$F14)</f>
        <v>0</v>
      </c>
      <c r="I14" s="94">
        <f>SUMIFS('Resultat-Produktion &amp; forbrug'!I$4:I$291,'Resultat-Produktion &amp; forbrug'!$A$4:$A$291,'Produktion &amp; forbrug'!$A14,'Resultat-Produktion &amp; forbrug'!$E$4:$E$291,'Produktion &amp; forbrug'!$F14)</f>
        <v>0</v>
      </c>
      <c r="J14" s="94">
        <f>SUMIFS('Resultat-Produktion &amp; forbrug'!J$4:J$291,'Resultat-Produktion &amp; forbrug'!$A$4:$A$291,'Produktion &amp; forbrug'!$A14,'Resultat-Produktion &amp; forbrug'!$E$4:$E$291,'Produktion &amp; forbrug'!$F14)</f>
        <v>0</v>
      </c>
      <c r="K14" s="94">
        <f>SUMIFS('Resultat-Produktion &amp; forbrug'!K$4:K$291,'Resultat-Produktion &amp; forbrug'!$A$4:$A$291,'Produktion &amp; forbrug'!$A14,'Resultat-Produktion &amp; forbrug'!$E$4:$E$291,'Produktion &amp; forbrug'!$F14)</f>
        <v>0</v>
      </c>
      <c r="L14" s="94">
        <f>SUMIFS('Resultat-Produktion &amp; forbrug'!L$4:L$291,'Resultat-Produktion &amp; forbrug'!$A$4:$A$291,'Produktion &amp; forbrug'!$A14,'Resultat-Produktion &amp; forbrug'!$E$4:$E$291,'Produktion &amp; forbrug'!$F14)</f>
        <v>0</v>
      </c>
      <c r="M14" s="94">
        <f>SUMIFS('Resultat-Produktion &amp; forbrug'!M$4:M$291,'Resultat-Produktion &amp; forbrug'!$A$4:$A$291,'Produktion &amp; forbrug'!$A14,'Resultat-Produktion &amp; forbrug'!$E$4:$E$291,'Produktion &amp; forbrug'!$F14)</f>
        <v>0</v>
      </c>
      <c r="N14" s="94">
        <f>SUMIFS('Resultat-Produktion &amp; forbrug'!N$4:N$291,'Resultat-Produktion &amp; forbrug'!$A$4:$A$291,'Produktion &amp; forbrug'!$A14,'Resultat-Produktion &amp; forbrug'!$E$4:$E$291,'Produktion &amp; forbrug'!$F14)</f>
        <v>0</v>
      </c>
      <c r="O14" s="179">
        <f t="shared" si="3"/>
        <v>1508282.669250763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IF(A14&lt;&gt;"Biogas",IFERROR(VLOOKUP(A14,[1]Biogasudbytte!$A$2:$B$18,2,FALSE)*[1]Energiindhold!$C$10,0)*K14*IFERROR(VLOOKUP(A14,Biogasanlæg!$F$3:$G$8,2,FALSE),1)+IFERROR(VLOOKUP(A14,[1]Energiindhold!$A$2:$C$11,3,FALSE),0)*M14+IF(F14&lt;&gt;År1,R14,0),0)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IF(F14=År1,Q14,SUM(P14,Q14))*IFERROR(VLOOKUP(A14,[1]Tørstofindhold!A$2:B$24,2,FALSE),0)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  <c r="AC14" s="94">
        <f t="shared" si="8"/>
        <v>1508282.669250763</v>
      </c>
      <c r="AD14">
        <f>AC14*E14*10000*VLOOKUP(A14,[1]kcal!$A$2:$C$49,3,FALSE)/1000000000000</f>
        <v>0</v>
      </c>
    </row>
    <row r="15" spans="1:32" x14ac:dyDescent="0.25">
      <c r="A15" t="s">
        <v>54</v>
      </c>
      <c r="B15" s="171"/>
      <c r="C15" s="171" t="str">
        <f>IFERROR(VLOOKUP(A15,'Kategorisering af kcal'!$J$2:$K$18,2,FALSE),"")</f>
        <v>Frugt</v>
      </c>
      <c r="D15" s="171">
        <f>IF(COUNTIFS('Resultater - Danmark'!$D$3:$D$504,'Produktion &amp; forbrug'!A15,'Resultater - Danmark'!$A$3:$A$504,"Til energi")+COUNTIFS('Resultater - Danmark'!$D$3:$D$504,'Produktion &amp; forbrug'!A15,'Resultater - Danmark'!$A$3:$A$504,"Biogasanlæg")&gt;0,1,0)</f>
        <v>0</v>
      </c>
      <c r="E15" s="171">
        <v>1</v>
      </c>
      <c r="F15" s="171">
        <f t="shared" si="0"/>
        <v>2019</v>
      </c>
      <c r="G15" s="94">
        <f>SUMIFS('Resultat-Produktion &amp; forbrug'!G$4:G$291,'Resultat-Produktion &amp; forbrug'!$A$4:$A$291,'Produktion &amp; forbrug'!$A15,'Resultat-Produktion &amp; forbrug'!$E$4:$E$291,'Produktion &amp; forbrug'!$F15)</f>
        <v>41728.949017214291</v>
      </c>
      <c r="H15" s="94">
        <f>SUMIFS('Resultat-Produktion &amp; forbrug'!H$4:H$291,'Resultat-Produktion &amp; forbrug'!$A$4:$A$291,'Produktion &amp; forbrug'!$A15,'Resultat-Produktion &amp; forbrug'!$E$4:$E$291,'Produktion &amp; forbrug'!$F15)</f>
        <v>0</v>
      </c>
      <c r="I15" s="94">
        <f>SUMIFS('Resultat-Produktion &amp; forbrug'!I$4:I$291,'Resultat-Produktion &amp; forbrug'!$A$4:$A$291,'Produktion &amp; forbrug'!$A15,'Resultat-Produktion &amp; forbrug'!$E$4:$E$291,'Produktion &amp; forbrug'!$F15)</f>
        <v>0</v>
      </c>
      <c r="J15" s="94">
        <f>SUMIFS('Resultat-Produktion &amp; forbrug'!J$4:J$291,'Resultat-Produktion &amp; forbrug'!$A$4:$A$291,'Produktion &amp; forbrug'!$A15,'Resultat-Produktion &amp; forbrug'!$E$4:$E$291,'Produktion &amp; forbrug'!$F15)</f>
        <v>462357.87973419944</v>
      </c>
      <c r="K15" s="94">
        <f>SUMIFS('Resultat-Produktion &amp; forbrug'!K$4:K$291,'Resultat-Produktion &amp; forbrug'!$A$4:$A$291,'Produktion &amp; forbrug'!$A15,'Resultat-Produktion &amp; forbrug'!$E$4:$E$291,'Produktion &amp; forbrug'!$F15)</f>
        <v>0</v>
      </c>
      <c r="L15" s="94">
        <f>SUMIFS('Resultat-Produktion &amp; forbrug'!L$4:L$291,'Resultat-Produktion &amp; forbrug'!$A$4:$A$291,'Produktion &amp; forbrug'!$A15,'Resultat-Produktion &amp; forbrug'!$E$4:$E$291,'Produktion &amp; forbrug'!$F15)</f>
        <v>0</v>
      </c>
      <c r="M15" s="94">
        <f>SUMIFS('Resultat-Produktion &amp; forbrug'!M$4:M$291,'Resultat-Produktion &amp; forbrug'!$A$4:$A$291,'Produktion &amp; forbrug'!$A15,'Resultat-Produktion &amp; forbrug'!$E$4:$E$291,'Produktion &amp; forbrug'!$F15)</f>
        <v>0</v>
      </c>
      <c r="N15" s="94">
        <f>SUMIFS('Resultat-Produktion &amp; forbrug'!N$4:N$291,'Resultat-Produktion &amp; forbrug'!$A$4:$A$291,'Produktion &amp; forbrug'!$A15,'Resultat-Produktion &amp; forbrug'!$E$4:$E$291,'Produktion &amp; forbrug'!$F15)</f>
        <v>0</v>
      </c>
      <c r="O15" s="179">
        <f t="shared" si="3"/>
        <v>-420628.93071698514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IF(A15&lt;&gt;"Biogas",IFERROR(VLOOKUP(A15,[1]Biogasudbytte!$A$2:$B$18,2,FALSE)*[1]Energiindhold!$C$10,0)*K15*IFERROR(VLOOKUP(A15,Biogasanlæg!$F$3:$G$8,2,FALSE),1)+IFERROR(VLOOKUP(A15,[1]Energiindhold!$A$2:$C$11,3,FALSE),0)*M15+IF(F15&lt;&gt;År1,R15,0),0)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IF(F15=År1,Q15,SUM(P15,Q15))*IFERROR(VLOOKUP(A15,[1]Tørstofindhold!A$2:B$24,2,FALSE),0)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  <c r="AC15" s="94">
        <f t="shared" si="8"/>
        <v>41728.949017214291</v>
      </c>
      <c r="AD15">
        <f>AC15*E15*10000*VLOOKUP(A15,[1]kcal!$A$2:$C$49,3,FALSE)/1000000000000</f>
        <v>2.1699053488951431E-2</v>
      </c>
    </row>
    <row r="16" spans="1:32" x14ac:dyDescent="0.25">
      <c r="A16" s="171" t="s">
        <v>158</v>
      </c>
      <c r="B16" s="171" t="s">
        <v>158</v>
      </c>
      <c r="C16" s="171" t="str">
        <f>IFERROR(VLOOKUP(A16,'Kategorisering af kcal'!$J$2:$K$18,2,FALSE),"")</f>
        <v/>
      </c>
      <c r="D16" s="171">
        <f>IF(COUNTIFS('Resultater - Danmark'!$D$3:$D$504,'Produktion &amp; forbrug'!A16,'Resultater - Danmark'!$A$3:$A$504,"Til energi")+COUNTIFS('Resultater - Danmark'!$D$3:$D$504,'Produktion &amp; forbrug'!A16,'Resultater - Danmark'!$A$3:$A$504,"Biogasanlæg")&gt;0,1,0)</f>
        <v>1</v>
      </c>
      <c r="E16" s="171">
        <v>0</v>
      </c>
      <c r="F16" s="171">
        <f t="shared" si="0"/>
        <v>2019</v>
      </c>
      <c r="G16" s="94">
        <f>SUMIFS('Resultat-Produktion &amp; forbrug'!G$4:G$291,'Resultat-Produktion &amp; forbrug'!$A$4:$A$291,'Produktion &amp; forbrug'!$A16,'Resultat-Produktion &amp; forbrug'!$E$4:$E$291,'Produktion &amp; forbrug'!$F16)</f>
        <v>0</v>
      </c>
      <c r="H16" s="94">
        <f>SUMIFS('Resultat-Produktion &amp; forbrug'!H$4:H$291,'Resultat-Produktion &amp; forbrug'!$A$4:$A$291,'Produktion &amp; forbrug'!$A16,'Resultat-Produktion &amp; forbrug'!$E$4:$E$291,'Produktion &amp; forbrug'!$F16)</f>
        <v>0</v>
      </c>
      <c r="I16" s="94">
        <f>SUMIFS('Resultat-Produktion &amp; forbrug'!I$4:I$291,'Resultat-Produktion &amp; forbrug'!$A$4:$A$291,'Produktion &amp; forbrug'!$A16,'Resultat-Produktion &amp; forbrug'!$E$4:$E$291,'Produktion &amp; forbrug'!$F16)</f>
        <v>0</v>
      </c>
      <c r="J16" s="94">
        <f>SUMIFS('Resultat-Produktion &amp; forbrug'!J$4:J$291,'Resultat-Produktion &amp; forbrug'!$A$4:$A$291,'Produktion &amp; forbrug'!$A16,'Resultat-Produktion &amp; forbrug'!$E$4:$E$291,'Produktion &amp; forbrug'!$F16)</f>
        <v>0</v>
      </c>
      <c r="K16" s="94">
        <f>SUMIFS('Resultat-Produktion &amp; forbrug'!K$4:K$291,'Resultat-Produktion &amp; forbrug'!$A$4:$A$291,'Produktion &amp; forbrug'!$A16,'Resultat-Produktion &amp; forbrug'!$E$4:$E$291,'Produktion &amp; forbrug'!$F16)</f>
        <v>142742</v>
      </c>
      <c r="L16" s="94">
        <f>SUMIFS('Resultat-Produktion &amp; forbrug'!L$4:L$291,'Resultat-Produktion &amp; forbrug'!$A$4:$A$291,'Produktion &amp; forbrug'!$A16,'Resultat-Produktion &amp; forbrug'!$E$4:$E$291,'Produktion &amp; forbrug'!$F16)</f>
        <v>0</v>
      </c>
      <c r="M16" s="94">
        <f>SUMIFS('Resultat-Produktion &amp; forbrug'!M$4:M$291,'Resultat-Produktion &amp; forbrug'!$A$4:$A$291,'Produktion &amp; forbrug'!$A16,'Resultat-Produktion &amp; forbrug'!$E$4:$E$291,'Produktion &amp; forbrug'!$F16)</f>
        <v>0</v>
      </c>
      <c r="N16" s="94">
        <f>SUMIFS('Resultat-Produktion &amp; forbrug'!N$4:N$291,'Resultat-Produktion &amp; forbrug'!$A$4:$A$291,'Produktion &amp; forbrug'!$A16,'Resultat-Produktion &amp; forbrug'!$E$4:$E$291,'Produktion &amp; forbrug'!$F16)</f>
        <v>0</v>
      </c>
      <c r="O16" s="179">
        <f t="shared" si="3"/>
        <v>-142742</v>
      </c>
      <c r="P16" s="94">
        <f t="shared" si="4"/>
        <v>0</v>
      </c>
      <c r="Q16" s="180">
        <f t="shared" si="5"/>
        <v>142742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IF(A16&lt;&gt;"Biogas",IFERROR(VLOOKUP(A16,[1]Biogasudbytte!$A$2:$B$18,2,FALSE)*[1]Energiindhold!$C$10,0)*K16*IFERROR(VLOOKUP(A16,Biogasanlæg!$F$3:$G$8,2,FALSE),1)+IFERROR(VLOOKUP(A16,[1]Energiindhold!$A$2:$C$11,3,FALSE),0)*M16+IF(F16&lt;&gt;År1,R16,0),0)</f>
        <v>2.1694819870080004</v>
      </c>
      <c r="T16">
        <f>IFERROR(VLOOKUP(A16,[1]Biogasudbytte!$A$2:$B$18,2,FALSE)*[1]Energiindhold!$C$10,0)*K16*IFERROR(VLOOKUP(A16,Biogasanlæg!$F$3:$G$8,2,FALSE),1)</f>
        <v>2.1694819870080004</v>
      </c>
      <c r="U16" s="170">
        <f t="shared" si="6"/>
        <v>0</v>
      </c>
      <c r="V16" s="169">
        <f>P16*IFERROR(VLOOKUP(A16,[1]Tørstofindhold!A$2:B$24,2,FALSE),0)</f>
        <v>0</v>
      </c>
      <c r="W16">
        <f>IF(F16=År1,Q16,SUM(P16,Q16))*IFERROR(VLOOKUP(A16,[1]Tørstofindhold!A$2:B$24,2,FALSE),0)</f>
        <v>128467.8</v>
      </c>
      <c r="X16">
        <f>K16*IFERROR(VLOOKUP(A16,[1]Tørstofindhold!A$2:B$24,2,FALSE),0)</f>
        <v>128467.8</v>
      </c>
      <c r="Y16" s="170">
        <f t="shared" si="7"/>
        <v>0</v>
      </c>
      <c r="Z16">
        <f t="shared" si="1"/>
        <v>1</v>
      </c>
      <c r="AA16">
        <f t="shared" si="2"/>
        <v>0</v>
      </c>
      <c r="AC16" s="94">
        <f t="shared" si="8"/>
        <v>-142742</v>
      </c>
      <c r="AD16">
        <f>AC16*E16*10000*VLOOKUP(A16,[1]kcal!$A$2:$C$49,3,FALSE)/1000000000000</f>
        <v>0</v>
      </c>
    </row>
    <row r="17" spans="1:30" x14ac:dyDescent="0.25">
      <c r="A17" s="171" t="s">
        <v>51</v>
      </c>
      <c r="B17" s="171" t="s">
        <v>224</v>
      </c>
      <c r="C17" s="171" t="str">
        <f>IFERROR(VLOOKUP(A17,'Kategorisering af kcal'!$J$2:$K$18,2,FALSE),"")</f>
        <v/>
      </c>
      <c r="D17" s="171">
        <f>IF(COUNTIFS('Resultater - Danmark'!$D$3:$D$504,'Produktion &amp; forbrug'!A17,'Resultater - Danmark'!$A$3:$A$504,"Til energi")+COUNTIFS('Resultater - Danmark'!$D$3:$D$504,'Produktion &amp; forbrug'!A17,'Resultater - Danmark'!$A$3:$A$504,"Biogasanlæg")&gt;0,1,0)</f>
        <v>1</v>
      </c>
      <c r="E17" s="171">
        <v>0</v>
      </c>
      <c r="F17" s="171">
        <f t="shared" si="0"/>
        <v>2019</v>
      </c>
      <c r="G17" s="94">
        <f>SUMIFS('Resultat-Produktion &amp; forbrug'!G$4:G$291,'Resultat-Produktion &amp; forbrug'!$A$4:$A$291,'Produktion &amp; forbrug'!$A17,'Resultat-Produktion &amp; forbrug'!$E$4:$E$291,'Produktion &amp; forbrug'!$F17)</f>
        <v>17913006.538833313</v>
      </c>
      <c r="H17" s="94">
        <f>SUMIFS('Resultat-Produktion &amp; forbrug'!H$4:H$291,'Resultat-Produktion &amp; forbrug'!$A$4:$A$291,'Produktion &amp; forbrug'!$A17,'Resultat-Produktion &amp; forbrug'!$E$4:$E$291,'Produktion &amp; forbrug'!$F17)</f>
        <v>13739757.985270014</v>
      </c>
      <c r="I17" s="94">
        <f>SUMIFS('Resultat-Produktion &amp; forbrug'!I$4:I$291,'Resultat-Produktion &amp; forbrug'!$A$4:$A$291,'Produktion &amp; forbrug'!$A17,'Resultat-Produktion &amp; forbrug'!$E$4:$E$291,'Produktion &amp; forbrug'!$F17)</f>
        <v>0</v>
      </c>
      <c r="J17" s="94">
        <f>SUMIFS('Resultat-Produktion &amp; forbrug'!J$4:J$291,'Resultat-Produktion &amp; forbrug'!$A$4:$A$291,'Produktion &amp; forbrug'!$A17,'Resultat-Produktion &amp; forbrug'!$E$4:$E$291,'Produktion &amp; forbrug'!$F17)</f>
        <v>0</v>
      </c>
      <c r="K17" s="94">
        <f>SUMIFS('Resultat-Produktion &amp; forbrug'!K$4:K$291,'Resultat-Produktion &amp; forbrug'!$A$4:$A$291,'Produktion &amp; forbrug'!$A17,'Resultat-Produktion &amp; forbrug'!$E$4:$E$291,'Produktion &amp; forbrug'!$F17)</f>
        <v>85676.999999999956</v>
      </c>
      <c r="L17" s="94">
        <f>SUMIFS('Resultat-Produktion &amp; forbrug'!L$4:L$291,'Resultat-Produktion &amp; forbrug'!$A$4:$A$291,'Produktion &amp; forbrug'!$A17,'Resultat-Produktion &amp; forbrug'!$E$4:$E$291,'Produktion &amp; forbrug'!$F17)</f>
        <v>0</v>
      </c>
      <c r="M17" s="94">
        <f>SUMIFS('Resultat-Produktion &amp; forbrug'!M$4:M$291,'Resultat-Produktion &amp; forbrug'!$A$4:$A$291,'Produktion &amp; forbrug'!$A17,'Resultat-Produktion &amp; forbrug'!$E$4:$E$291,'Produktion &amp; forbrug'!$F17)</f>
        <v>0</v>
      </c>
      <c r="N17" s="94">
        <f>SUMIFS('Resultat-Produktion &amp; forbrug'!N$4:N$291,'Resultat-Produktion &amp; forbrug'!$A$4:$A$291,'Produktion &amp; forbrug'!$A17,'Resultat-Produktion &amp; forbrug'!$E$4:$E$291,'Produktion &amp; forbrug'!$F17)</f>
        <v>0</v>
      </c>
      <c r="O17" s="179">
        <f t="shared" si="3"/>
        <v>4087571.5535632987</v>
      </c>
      <c r="P17" s="94">
        <f t="shared" si="4"/>
        <v>4087571.5535632987</v>
      </c>
      <c r="Q17" s="180">
        <f t="shared" si="5"/>
        <v>85676.999999999956</v>
      </c>
      <c r="R17">
        <f>IFERROR(VLOOKUP(A17,[1]Energiindhold!$A$2:$C$11,3,FALSE),IFERROR(VLOOKUP(A17,[1]Biogasudbytte!$A$2:$B$18,2,FALSE)*[1]Energiindhold!$C$10,0))*P17</f>
        <v>7.5206207121122741</v>
      </c>
      <c r="S17">
        <f>IF(A17&lt;&gt;"Biogas",IFERROR(VLOOKUP(A17,[1]Biogasudbytte!$A$2:$B$18,2,FALSE)*[1]Energiindhold!$C$10,0)*K17*IFERROR(VLOOKUP(A17,Biogasanlæg!$F$3:$G$8,2,FALSE),1)+IFERROR(VLOOKUP(A17,[1]Energiindhold!$A$2:$C$11,3,FALSE),0)*M17+IF(F17&lt;&gt;År1,R17,0),0)</f>
        <v>0.15763497037499993</v>
      </c>
      <c r="T17">
        <f>IFERROR(VLOOKUP(A17,[1]Biogasudbytte!$A$2:$B$18,2,FALSE)*[1]Energiindhold!$C$10,0)*K17*IFERROR(VLOOKUP(A17,Biogasanlæg!$F$3:$G$8,2,FALSE),1)</f>
        <v>0.15763497037499993</v>
      </c>
      <c r="U17" s="170">
        <f t="shared" si="6"/>
        <v>0</v>
      </c>
      <c r="V17" s="169">
        <f>P17*IFERROR(VLOOKUP(A17,[1]Tørstofindhold!A$2:B$24,2,FALSE),0)</f>
        <v>1144520.0349977238</v>
      </c>
      <c r="W17">
        <f>IF(F17=År1,Q17,SUM(P17,Q17))*IFERROR(VLOOKUP(A17,[1]Tørstofindhold!A$2:B$24,2,FALSE),0)</f>
        <v>23989.55999999999</v>
      </c>
      <c r="X17">
        <f>K17*IFERROR(VLOOKUP(A17,[1]Tørstofindhold!A$2:B$24,2,FALSE),0)</f>
        <v>23989.55999999999</v>
      </c>
      <c r="Y17" s="170">
        <f t="shared" si="7"/>
        <v>0</v>
      </c>
      <c r="Z17">
        <f t="shared" si="1"/>
        <v>0</v>
      </c>
      <c r="AA17">
        <f t="shared" si="2"/>
        <v>1</v>
      </c>
      <c r="AC17" s="94">
        <f t="shared" si="8"/>
        <v>4087571.5535632987</v>
      </c>
      <c r="AD17">
        <f>AC17*E17*10000*VLOOKUP(A17,[1]kcal!$A$2:$C$49,3,FALSE)/1000000000000</f>
        <v>0</v>
      </c>
    </row>
    <row r="18" spans="1:30" x14ac:dyDescent="0.25">
      <c r="A18" s="171" t="s">
        <v>203</v>
      </c>
      <c r="B18" s="171"/>
      <c r="C18" s="171" t="str">
        <f>IFERROR(VLOOKUP(A18,'Kategorisering af kcal'!$J$2:$K$18,2,FALSE),"")</f>
        <v/>
      </c>
      <c r="D18" s="171">
        <f>IF(COUNTIFS('Resultater - Danmark'!$D$3:$D$504,'Produktion &amp; forbrug'!A18,'Resultater - Danmark'!$A$3:$A$504,"Til energi")+COUNTIFS('Resultater - Danmark'!$D$3:$D$504,'Produktion &amp; forbrug'!A18,'Resultater - Danmark'!$A$3:$A$504,"Biogasanlæg")&gt;0,1,0)</f>
        <v>0</v>
      </c>
      <c r="E18" s="171">
        <v>0</v>
      </c>
      <c r="F18" s="171">
        <f t="shared" si="0"/>
        <v>2019</v>
      </c>
      <c r="G18" s="94">
        <f>SUMIFS('Resultat-Produktion &amp; forbrug'!G$4:G$291,'Resultat-Produktion &amp; forbrug'!$A$4:$A$291,'Produktion &amp; forbrug'!$A18,'Resultat-Produktion &amp; forbrug'!$E$4:$E$291,'Produktion &amp; forbrug'!$F18)</f>
        <v>0</v>
      </c>
      <c r="H18" s="94">
        <f>SUMIFS('Resultat-Produktion &amp; forbrug'!H$4:H$291,'Resultat-Produktion &amp; forbrug'!$A$4:$A$291,'Produktion &amp; forbrug'!$A18,'Resultat-Produktion &amp; forbrug'!$E$4:$E$291,'Produktion &amp; forbrug'!$F18)</f>
        <v>0</v>
      </c>
      <c r="I18" s="94">
        <f>SUMIFS('Resultat-Produktion &amp; forbrug'!I$4:I$291,'Resultat-Produktion &amp; forbrug'!$A$4:$A$291,'Produktion &amp; forbrug'!$A18,'Resultat-Produktion &amp; forbrug'!$E$4:$E$291,'Produktion &amp; forbrug'!$F18)</f>
        <v>0</v>
      </c>
      <c r="J18" s="94">
        <f>SUMIFS('Resultat-Produktion &amp; forbrug'!J$4:J$291,'Resultat-Produktion &amp; forbrug'!$A$4:$A$291,'Produktion &amp; forbrug'!$A18,'Resultat-Produktion &amp; forbrug'!$E$4:$E$291,'Produktion &amp; forbrug'!$F18)</f>
        <v>0</v>
      </c>
      <c r="K18" s="94">
        <f>SUMIFS('Resultat-Produktion &amp; forbrug'!K$4:K$291,'Resultat-Produktion &amp; forbrug'!$A$4:$A$291,'Produktion &amp; forbrug'!$A18,'Resultat-Produktion &amp; forbrug'!$E$4:$E$291,'Produktion &amp; forbrug'!$F18)</f>
        <v>0</v>
      </c>
      <c r="L18" s="94">
        <f>SUMIFS('Resultat-Produktion &amp; forbrug'!L$4:L$291,'Resultat-Produktion &amp; forbrug'!$A$4:$A$291,'Produktion &amp; forbrug'!$A18,'Resultat-Produktion &amp; forbrug'!$E$4:$E$291,'Produktion &amp; forbrug'!$F18)</f>
        <v>0</v>
      </c>
      <c r="M18" s="94">
        <f>SUMIFS('Resultat-Produktion &amp; forbrug'!M$4:M$291,'Resultat-Produktion &amp; forbrug'!$A$4:$A$291,'Produktion &amp; forbrug'!$A18,'Resultat-Produktion &amp; forbrug'!$E$4:$E$291,'Produktion &amp; forbrug'!$F18)</f>
        <v>0</v>
      </c>
      <c r="N18" s="94">
        <f>SUMIFS('Resultat-Produktion &amp; forbrug'!N$4:N$291,'Resultat-Produktion &amp; forbrug'!$A$4:$A$291,'Produktion &amp; forbrug'!$A18,'Resultat-Produktion &amp; forbrug'!$E$4:$E$291,'Produktion &amp; forbrug'!$F18)</f>
        <v>0</v>
      </c>
      <c r="O18" s="179">
        <f t="shared" si="3"/>
        <v>0</v>
      </c>
      <c r="P18" s="94">
        <f t="shared" si="4"/>
        <v>0</v>
      </c>
      <c r="Q18" s="180">
        <f t="shared" si="5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IF(A18&lt;&gt;"Biogas",IFERROR(VLOOKUP(A18,[1]Biogasudbytte!$A$2:$B$18,2,FALSE)*[1]Energiindhold!$C$10,0)*K18*IFERROR(VLOOKUP(A18,Biogasanlæg!$F$3:$G$8,2,FALSE),1)+IFERROR(VLOOKUP(A18,[1]Energiindhold!$A$2:$C$11,3,FALSE),0)*M18+IF(F18&lt;&gt;År1,R18,0),0)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6"/>
        <v>0</v>
      </c>
      <c r="V18" s="169">
        <f>P18*IFERROR(VLOOKUP(A18,[1]Tørstofindhold!A$2:B$24,2,FALSE),0)</f>
        <v>0</v>
      </c>
      <c r="W18">
        <f>IF(F18=År1,Q18,SUM(P18,Q18))*IFERROR(VLOOKUP(A18,[1]Tørstofindhold!A$2:B$24,2,FALSE),0)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7"/>
        <v>0</v>
      </c>
      <c r="Z18">
        <f t="shared" si="1"/>
        <v>0</v>
      </c>
      <c r="AA18">
        <f t="shared" si="2"/>
        <v>0</v>
      </c>
      <c r="AC18" s="94">
        <f t="shared" si="8"/>
        <v>0</v>
      </c>
      <c r="AD18">
        <f>AC18*E18*10000*VLOOKUP(A18,[1]kcal!$A$2:$C$49,3,FALSE)/1000000000000</f>
        <v>0</v>
      </c>
    </row>
    <row r="19" spans="1:30" x14ac:dyDescent="0.25">
      <c r="A19" s="171" t="s">
        <v>6</v>
      </c>
      <c r="B19" s="171"/>
      <c r="C19" s="171" t="str">
        <f>IFERROR(VLOOKUP(A19,'Kategorisering af kcal'!$J$2:$K$18,2,FALSE),"")</f>
        <v>Grøntsager</v>
      </c>
      <c r="D19" s="171">
        <f>IF(COUNTIFS('Resultater - Danmark'!$D$3:$D$504,'Produktion &amp; forbrug'!A19,'Resultater - Danmark'!$A$3:$A$504,"Til energi")+COUNTIFS('Resultater - Danmark'!$D$3:$D$504,'Produktion &amp; forbrug'!A19,'Resultater - Danmark'!$A$3:$A$504,"Biogasanlæg")&gt;0,1,0)</f>
        <v>0</v>
      </c>
      <c r="E19" s="171">
        <v>1</v>
      </c>
      <c r="F19" s="171">
        <f t="shared" si="0"/>
        <v>2019</v>
      </c>
      <c r="G19" s="94">
        <f>SUMIFS('Resultat-Produktion &amp; forbrug'!G$4:G$291,'Resultat-Produktion &amp; forbrug'!$A$4:$A$291,'Produktion &amp; forbrug'!$A19,'Resultat-Produktion &amp; forbrug'!$E$4:$E$291,'Produktion &amp; forbrug'!$F19)</f>
        <v>280322.43675931642</v>
      </c>
      <c r="H19" s="94">
        <f>SUMIFS('Resultat-Produktion &amp; forbrug'!H$4:H$291,'Resultat-Produktion &amp; forbrug'!$A$4:$A$291,'Produktion &amp; forbrug'!$A19,'Resultat-Produktion &amp; forbrug'!$E$4:$E$291,'Produktion &amp; forbrug'!$F19)</f>
        <v>0</v>
      </c>
      <c r="I19" s="94">
        <f>SUMIFS('Resultat-Produktion &amp; forbrug'!I$4:I$291,'Resultat-Produktion &amp; forbrug'!$A$4:$A$291,'Produktion &amp; forbrug'!$A19,'Resultat-Produktion &amp; forbrug'!$E$4:$E$291,'Produktion &amp; forbrug'!$F19)</f>
        <v>0</v>
      </c>
      <c r="J19" s="94">
        <f>SUMIFS('Resultat-Produktion &amp; forbrug'!J$4:J$291,'Resultat-Produktion &amp; forbrug'!$A$4:$A$291,'Produktion &amp; forbrug'!$A19,'Resultat-Produktion &amp; forbrug'!$E$4:$E$291,'Produktion &amp; forbrug'!$F19)</f>
        <v>484259.042458451</v>
      </c>
      <c r="K19" s="94">
        <f>SUMIFS('Resultat-Produktion &amp; forbrug'!K$4:K$291,'Resultat-Produktion &amp; forbrug'!$A$4:$A$291,'Produktion &amp; forbrug'!$A19,'Resultat-Produktion &amp; forbrug'!$E$4:$E$291,'Produktion &amp; forbrug'!$F19)</f>
        <v>0</v>
      </c>
      <c r="L19" s="94">
        <f>SUMIFS('Resultat-Produktion &amp; forbrug'!L$4:L$291,'Resultat-Produktion &amp; forbrug'!$A$4:$A$291,'Produktion &amp; forbrug'!$A19,'Resultat-Produktion &amp; forbrug'!$E$4:$E$291,'Produktion &amp; forbrug'!$F19)</f>
        <v>0</v>
      </c>
      <c r="M19" s="94">
        <f>SUMIFS('Resultat-Produktion &amp; forbrug'!M$4:M$291,'Resultat-Produktion &amp; forbrug'!$A$4:$A$291,'Produktion &amp; forbrug'!$A19,'Resultat-Produktion &amp; forbrug'!$E$4:$E$291,'Produktion &amp; forbrug'!$F19)</f>
        <v>0</v>
      </c>
      <c r="N19" s="94">
        <f>SUMIFS('Resultat-Produktion &amp; forbrug'!N$4:N$291,'Resultat-Produktion &amp; forbrug'!$A$4:$A$291,'Produktion &amp; forbrug'!$A19,'Resultat-Produktion &amp; forbrug'!$E$4:$E$291,'Produktion &amp; forbrug'!$F19)</f>
        <v>0</v>
      </c>
      <c r="O19" s="179">
        <f t="shared" si="3"/>
        <v>-203936.60569913458</v>
      </c>
      <c r="P19" s="94">
        <f t="shared" si="4"/>
        <v>0</v>
      </c>
      <c r="Q19" s="180">
        <f t="shared" si="5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IF(A19&lt;&gt;"Biogas",IFERROR(VLOOKUP(A19,[1]Biogasudbytte!$A$2:$B$18,2,FALSE)*[1]Energiindhold!$C$10,0)*K19*IFERROR(VLOOKUP(A19,Biogasanlæg!$F$3:$G$8,2,FALSE),1)+IFERROR(VLOOKUP(A19,[1]Energiindhold!$A$2:$C$11,3,FALSE),0)*M19+IF(F19&lt;&gt;År1,R19,0),0)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6"/>
        <v>0</v>
      </c>
      <c r="V19" s="169">
        <f>P19*IFERROR(VLOOKUP(A19,[1]Tørstofindhold!A$2:B$24,2,FALSE),0)</f>
        <v>0</v>
      </c>
      <c r="W19">
        <f>IF(F19=År1,Q19,SUM(P19,Q19))*IFERROR(VLOOKUP(A19,[1]Tørstofindhold!A$2:B$24,2,FALSE),0)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7"/>
        <v>0</v>
      </c>
      <c r="Z19">
        <f t="shared" si="1"/>
        <v>1</v>
      </c>
      <c r="AA19">
        <f t="shared" si="2"/>
        <v>0</v>
      </c>
      <c r="AC19" s="94">
        <f t="shared" si="8"/>
        <v>280322.43675931642</v>
      </c>
      <c r="AD19">
        <f>AC19*E19*10000*VLOOKUP(A19,[1]kcal!$A$2:$C$49,3,FALSE)/1000000000000</f>
        <v>0.10932575033613341</v>
      </c>
    </row>
    <row r="20" spans="1:30" x14ac:dyDescent="0.25">
      <c r="A20" s="171" t="s">
        <v>67</v>
      </c>
      <c r="B20" s="171" t="s">
        <v>227</v>
      </c>
      <c r="C20" s="171" t="str">
        <f>IFERROR(VLOOKUP(A20,'Kategorisering af kcal'!$J$2:$K$18,2,FALSE),"")</f>
        <v/>
      </c>
      <c r="D20" s="171">
        <f>IF(COUNTIFS('Resultater - Danmark'!$D$3:$D$504,'Produktion &amp; forbrug'!A20,'Resultater - Danmark'!$A$3:$A$504,"Til energi")+COUNTIFS('Resultater - Danmark'!$D$3:$D$504,'Produktion &amp; forbrug'!A20,'Resultater - Danmark'!$A$3:$A$504,"Biogasanlæg")&gt;0,1,0)</f>
        <v>1</v>
      </c>
      <c r="E20" s="171">
        <v>0</v>
      </c>
      <c r="F20" s="171">
        <f t="shared" si="0"/>
        <v>2019</v>
      </c>
      <c r="G20" s="94">
        <f>SUMIFS('Resultat-Produktion &amp; forbrug'!G$4:G$291,'Resultat-Produktion &amp; forbrug'!$A$4:$A$291,'Produktion &amp; forbrug'!$A20,'Resultat-Produktion &amp; forbrug'!$E$4:$E$291,'Produktion &amp; forbrug'!$F20)</f>
        <v>3671749.2907991703</v>
      </c>
      <c r="H20" s="94">
        <f>SUMIFS('Resultat-Produktion &amp; forbrug'!H$4:H$291,'Resultat-Produktion &amp; forbrug'!$A$4:$A$291,'Produktion &amp; forbrug'!$A20,'Resultat-Produktion &amp; forbrug'!$E$4:$E$291,'Produktion &amp; forbrug'!$F20)</f>
        <v>867975.34157733875</v>
      </c>
      <c r="I20" s="94">
        <f>SUMIFS('Resultat-Produktion &amp; forbrug'!I$4:I$291,'Resultat-Produktion &amp; forbrug'!$A$4:$A$291,'Produktion &amp; forbrug'!$A20,'Resultat-Produktion &amp; forbrug'!$E$4:$E$291,'Produktion &amp; forbrug'!$F20)</f>
        <v>832345.429947</v>
      </c>
      <c r="J20" s="94">
        <f>SUMIFS('Resultat-Produktion &amp; forbrug'!J$4:J$291,'Resultat-Produktion &amp; forbrug'!$A$4:$A$291,'Produktion &amp; forbrug'!$A20,'Resultat-Produktion &amp; forbrug'!$E$4:$E$291,'Produktion &amp; forbrug'!$F20)</f>
        <v>0</v>
      </c>
      <c r="K20" s="94">
        <f>SUMIFS('Resultat-Produktion &amp; forbrug'!K$4:K$291,'Resultat-Produktion &amp; forbrug'!$A$4:$A$291,'Produktion &amp; forbrug'!$A20,'Resultat-Produktion &amp; forbrug'!$E$4:$E$291,'Produktion &amp; forbrug'!$F20)</f>
        <v>75933.999999999971</v>
      </c>
      <c r="L20" s="94">
        <f>SUMIFS('Resultat-Produktion &amp; forbrug'!L$4:L$291,'Resultat-Produktion &amp; forbrug'!$A$4:$A$291,'Produktion &amp; forbrug'!$A20,'Resultat-Produktion &amp; forbrug'!$E$4:$E$291,'Produktion &amp; forbrug'!$F20)</f>
        <v>0</v>
      </c>
      <c r="M20" s="94">
        <f>SUMIFS('Resultat-Produktion &amp; forbrug'!M$4:M$291,'Resultat-Produktion &amp; forbrug'!$A$4:$A$291,'Produktion &amp; forbrug'!$A20,'Resultat-Produktion &amp; forbrug'!$E$4:$E$291,'Produktion &amp; forbrug'!$F20)</f>
        <v>1895494.5192748301</v>
      </c>
      <c r="N20" s="94">
        <f>SUMIFS('Resultat-Produktion &amp; forbrug'!N$4:N$291,'Resultat-Produktion &amp; forbrug'!$A$4:$A$291,'Produktion &amp; forbrug'!$A20,'Resultat-Produktion &amp; forbrug'!$E$4:$E$291,'Produktion &amp; forbrug'!$F20)</f>
        <v>0</v>
      </c>
      <c r="O20" s="179">
        <f t="shared" si="3"/>
        <v>0</v>
      </c>
      <c r="P20" s="94">
        <f t="shared" si="4"/>
        <v>0</v>
      </c>
      <c r="Q20" s="180">
        <f t="shared" si="5"/>
        <v>1971428.5192748301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IF(A20&lt;&gt;"Biogas",IFERROR(VLOOKUP(A20,[1]Biogasudbytte!$A$2:$B$18,2,FALSE)*[1]Energiindhold!$C$10,0)*K20*IFERROR(VLOOKUP(A20,Biogasanlæg!$F$3:$G$8,2,FALSE),1)+IFERROR(VLOOKUP(A20,[1]Energiindhold!$A$2:$C$11,3,FALSE),0)*M20+IF(F20&lt;&gt;År1,R20,0),0)</f>
        <v>20.029264782475234</v>
      </c>
      <c r="T20">
        <f>IFERROR(VLOOKUP(A20,[1]Biogasudbytte!$A$2:$B$18,2,FALSE)*[1]Energiindhold!$C$10,0)*K20*IFERROR(VLOOKUP(A20,Biogasanlæg!$F$3:$G$8,2,FALSE),1)</f>
        <v>0.43780051435999984</v>
      </c>
      <c r="U20" s="170">
        <f t="shared" si="6"/>
        <v>19.591464268115235</v>
      </c>
      <c r="V20" s="169">
        <f>P20*IFERROR(VLOOKUP(A20,[1]Tørstofindhold!A$2:B$24,2,FALSE),0)</f>
        <v>0</v>
      </c>
      <c r="W20">
        <f>IF(F20=År1,Q20,SUM(P20,Q20))*IFERROR(VLOOKUP(A20,[1]Tørstofindhold!A$2:B$24,2,FALSE),0)</f>
        <v>1675714.2413836056</v>
      </c>
      <c r="X20">
        <f>K20*IFERROR(VLOOKUP(A20,[1]Tørstofindhold!A$2:B$24,2,FALSE),0)</f>
        <v>64543.899999999972</v>
      </c>
      <c r="Y20" s="170">
        <f t="shared" si="7"/>
        <v>1611170.3413836057</v>
      </c>
      <c r="Z20">
        <f t="shared" si="1"/>
        <v>0</v>
      </c>
      <c r="AA20">
        <f t="shared" si="2"/>
        <v>0</v>
      </c>
      <c r="AC20" s="94">
        <f t="shared" si="8"/>
        <v>1895494.5192748315</v>
      </c>
      <c r="AD20">
        <f>AC20*E20*10000*VLOOKUP(A20,[1]kcal!$A$2:$C$49,3,FALSE)/1000000000000</f>
        <v>0</v>
      </c>
    </row>
    <row r="21" spans="1:30" x14ac:dyDescent="0.25">
      <c r="A21" s="171" t="s">
        <v>162</v>
      </c>
      <c r="B21" s="171" t="s">
        <v>230</v>
      </c>
      <c r="C21" s="171" t="str">
        <f>IFERROR(VLOOKUP(A21,'Kategorisering af kcal'!$J$2:$K$18,2,FALSE),"")</f>
        <v/>
      </c>
      <c r="D21" s="171">
        <f>IF(COUNTIFS('Resultater - Danmark'!$D$3:$D$504,'Produktion &amp; forbrug'!A21,'Resultater - Danmark'!$A$3:$A$504,"Til energi")+COUNTIFS('Resultater - Danmark'!$D$3:$D$504,'Produktion &amp; forbrug'!A21,'Resultater - Danmark'!$A$3:$A$504,"Biogasanlæg")&gt;0,1,0)</f>
        <v>1</v>
      </c>
      <c r="E21" s="171">
        <v>0</v>
      </c>
      <c r="F21" s="171">
        <f t="shared" si="0"/>
        <v>2019</v>
      </c>
      <c r="G21" s="94">
        <f>SUMIFS('Resultat-Produktion &amp; forbrug'!G$4:G$291,'Resultat-Produktion &amp; forbrug'!$A$4:$A$291,'Produktion &amp; forbrug'!$A21,'Resultat-Produktion &amp; forbrug'!$E$4:$E$291,'Produktion &amp; forbrug'!$F21)</f>
        <v>982809</v>
      </c>
      <c r="H21" s="94">
        <f>SUMIFS('Resultat-Produktion &amp; forbrug'!H$4:H$291,'Resultat-Produktion &amp; forbrug'!$A$4:$A$291,'Produktion &amp; forbrug'!$A21,'Resultat-Produktion &amp; forbrug'!$E$4:$E$291,'Produktion &amp; forbrug'!$F21)</f>
        <v>0</v>
      </c>
      <c r="I21" s="94">
        <f>SUMIFS('Resultat-Produktion &amp; forbrug'!I$4:I$291,'Resultat-Produktion &amp; forbrug'!$A$4:$A$291,'Produktion &amp; forbrug'!$A21,'Resultat-Produktion &amp; forbrug'!$E$4:$E$291,'Produktion &amp; forbrug'!$F21)</f>
        <v>0</v>
      </c>
      <c r="J21" s="94">
        <f>SUMIFS('Resultat-Produktion &amp; forbrug'!J$4:J$291,'Resultat-Produktion &amp; forbrug'!$A$4:$A$291,'Produktion &amp; forbrug'!$A21,'Resultat-Produktion &amp; forbrug'!$E$4:$E$291,'Produktion &amp; forbrug'!$F21)</f>
        <v>0</v>
      </c>
      <c r="K21" s="94">
        <f>SUMIFS('Resultat-Produktion &amp; forbrug'!K$4:K$291,'Resultat-Produktion &amp; forbrug'!$A$4:$A$291,'Produktion &amp; forbrug'!$A21,'Resultat-Produktion &amp; forbrug'!$E$4:$E$291,'Produktion &amp; forbrug'!$F21)</f>
        <v>78</v>
      </c>
      <c r="L21" s="94">
        <f>SUMIFS('Resultat-Produktion &amp; forbrug'!L$4:L$291,'Resultat-Produktion &amp; forbrug'!$A$4:$A$291,'Produktion &amp; forbrug'!$A21,'Resultat-Produktion &amp; forbrug'!$E$4:$E$291,'Produktion &amp; forbrug'!$F21)</f>
        <v>0</v>
      </c>
      <c r="M21" s="94">
        <f>SUMIFS('Resultat-Produktion &amp; forbrug'!M$4:M$291,'Resultat-Produktion &amp; forbrug'!$A$4:$A$291,'Produktion &amp; forbrug'!$A21,'Resultat-Produktion &amp; forbrug'!$E$4:$E$291,'Produktion &amp; forbrug'!$F21)</f>
        <v>982731</v>
      </c>
      <c r="N21" s="94">
        <f>SUMIFS('Resultat-Produktion &amp; forbrug'!N$4:N$291,'Resultat-Produktion &amp; forbrug'!$A$4:$A$291,'Produktion &amp; forbrug'!$A21,'Resultat-Produktion &amp; forbrug'!$E$4:$E$291,'Produktion &amp; forbrug'!$F21)</f>
        <v>0</v>
      </c>
      <c r="O21" s="179">
        <f t="shared" si="3"/>
        <v>0</v>
      </c>
      <c r="P21" s="94">
        <f t="shared" si="4"/>
        <v>0</v>
      </c>
      <c r="Q21" s="180">
        <f t="shared" si="5"/>
        <v>982809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IF(A21&lt;&gt;"Biogas",IFERROR(VLOOKUP(A21,[1]Biogasudbytte!$A$2:$B$18,2,FALSE)*[1]Energiindhold!$C$10,0)*K21*IFERROR(VLOOKUP(A21,Biogasanlæg!$F$3:$G$8,2,FALSE),1)+IFERROR(VLOOKUP(A21,[1]Energiindhold!$A$2:$C$11,3,FALSE),0)*M21+IF(F21&lt;&gt;År1,R21,0),0)</f>
        <v>17.544062973962301</v>
      </c>
      <c r="T21">
        <f>IFERROR(VLOOKUP(A21,[1]Biogasudbytte!$A$2:$B$18,2,FALSE)*[1]Energiindhold!$C$10,0)*K21*IFERROR(VLOOKUP(A21,Biogasanlæg!$F$3:$G$8,2,FALSE),1)</f>
        <v>1.3244946000000001E-4</v>
      </c>
      <c r="U21" s="170">
        <f t="shared" si="6"/>
        <v>17.543930524502301</v>
      </c>
      <c r="V21" s="169">
        <f>P21*IFERROR(VLOOKUP(A21,[1]Tørstofindhold!A$2:B$24,2,FALSE),0)</f>
        <v>0</v>
      </c>
      <c r="W21">
        <f>IF(F21=År1,Q21,SUM(P21,Q21))*IFERROR(VLOOKUP(A21,[1]Tørstofindhold!A$2:B$24,2,FALSE),0)</f>
        <v>294842.7</v>
      </c>
      <c r="X21">
        <f>K21*IFERROR(VLOOKUP(A21,[1]Tørstofindhold!A$2:B$24,2,FALSE),0)</f>
        <v>23.4</v>
      </c>
      <c r="Y21" s="170">
        <f t="shared" si="7"/>
        <v>294819.3</v>
      </c>
      <c r="Z21">
        <f t="shared" si="1"/>
        <v>0</v>
      </c>
      <c r="AA21">
        <f t="shared" si="2"/>
        <v>0</v>
      </c>
      <c r="AC21" s="94">
        <f t="shared" si="8"/>
        <v>982731</v>
      </c>
      <c r="AD21">
        <f>AC21*E21*10000*VLOOKUP(A21,[1]kcal!$A$2:$C$49,3,FALSE)/1000000000000</f>
        <v>0</v>
      </c>
    </row>
    <row r="22" spans="1:30" x14ac:dyDescent="0.25">
      <c r="A22" t="s">
        <v>159</v>
      </c>
      <c r="B22" s="171"/>
      <c r="C22" s="171" t="str">
        <f>IFERROR(VLOOKUP(A22,'Kategorisering af kcal'!$J$2:$K$18,2,FALSE),"")</f>
        <v>Olieafgrøder</v>
      </c>
      <c r="D22" s="171">
        <f>IF(COUNTIFS('Resultater - Danmark'!$D$3:$D$504,'Produktion &amp; forbrug'!A22,'Resultater - Danmark'!$A$3:$A$504,"Til energi")+COUNTIFS('Resultater - Danmark'!$D$3:$D$504,'Produktion &amp; forbrug'!A22,'Resultater - Danmark'!$A$3:$A$504,"Biogasanlæg")&gt;0,1,0)</f>
        <v>0</v>
      </c>
      <c r="E22" s="171">
        <v>1</v>
      </c>
      <c r="F22" s="171">
        <f t="shared" si="0"/>
        <v>2019</v>
      </c>
      <c r="G22" s="94">
        <f>SUMIFS('Resultat-Produktion &amp; forbrug'!G$4:G$291,'Resultat-Produktion &amp; forbrug'!$A$4:$A$291,'Produktion &amp; forbrug'!$A22,'Resultat-Produktion &amp; forbrug'!$E$4:$E$291,'Produktion &amp; forbrug'!$F22)</f>
        <v>0</v>
      </c>
      <c r="H22" s="94">
        <f>SUMIFS('Resultat-Produktion &amp; forbrug'!H$4:H$291,'Resultat-Produktion &amp; forbrug'!$A$4:$A$291,'Produktion &amp; forbrug'!$A22,'Resultat-Produktion &amp; forbrug'!$E$4:$E$291,'Produktion &amp; forbrug'!$F22)</f>
        <v>5421074.2654714445</v>
      </c>
      <c r="I22" s="94">
        <f>SUMIFS('Resultat-Produktion &amp; forbrug'!I$4:I$291,'Resultat-Produktion &amp; forbrug'!$A$4:$A$291,'Produktion &amp; forbrug'!$A22,'Resultat-Produktion &amp; forbrug'!$E$4:$E$291,'Produktion &amp; forbrug'!$F22)</f>
        <v>0</v>
      </c>
      <c r="J22" s="94">
        <f>SUMIFS('Resultat-Produktion &amp; forbrug'!J$4:J$291,'Resultat-Produktion &amp; forbrug'!$A$4:$A$291,'Produktion &amp; forbrug'!$A22,'Resultat-Produktion &amp; forbrug'!$E$4:$E$291,'Produktion &amp; forbrug'!$F22)</f>
        <v>0</v>
      </c>
      <c r="K22" s="94">
        <f>SUMIFS('Resultat-Produktion &amp; forbrug'!K$4:K$291,'Resultat-Produktion &amp; forbrug'!$A$4:$A$291,'Produktion &amp; forbrug'!$A22,'Resultat-Produktion &amp; forbrug'!$E$4:$E$291,'Produktion &amp; forbrug'!$F22)</f>
        <v>0</v>
      </c>
      <c r="L22" s="94">
        <f>SUMIFS('Resultat-Produktion &amp; forbrug'!L$4:L$291,'Resultat-Produktion &amp; forbrug'!$A$4:$A$291,'Produktion &amp; forbrug'!$A22,'Resultat-Produktion &amp; forbrug'!$E$4:$E$291,'Produktion &amp; forbrug'!$F22)</f>
        <v>0</v>
      </c>
      <c r="M22" s="94">
        <f>SUMIFS('Resultat-Produktion &amp; forbrug'!M$4:M$291,'Resultat-Produktion &amp; forbrug'!$A$4:$A$291,'Produktion &amp; forbrug'!$A22,'Resultat-Produktion &amp; forbrug'!$E$4:$E$291,'Produktion &amp; forbrug'!$F22)</f>
        <v>0</v>
      </c>
      <c r="N22" s="94">
        <f>SUMIFS('Resultat-Produktion &amp; forbrug'!N$4:N$291,'Resultat-Produktion &amp; forbrug'!$A$4:$A$291,'Produktion &amp; forbrug'!$A22,'Resultat-Produktion &amp; forbrug'!$E$4:$E$291,'Produktion &amp; forbrug'!$F22)</f>
        <v>0</v>
      </c>
      <c r="O22" s="179">
        <f t="shared" si="3"/>
        <v>-5421074.2654714445</v>
      </c>
      <c r="P22" s="94">
        <f t="shared" si="4"/>
        <v>0</v>
      </c>
      <c r="Q22" s="180">
        <f t="shared" si="5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IF(A22&lt;&gt;"Biogas",IFERROR(VLOOKUP(A22,[1]Biogasudbytte!$A$2:$B$18,2,FALSE)*[1]Energiindhold!$C$10,0)*K22*IFERROR(VLOOKUP(A22,Biogasanlæg!$F$3:$G$8,2,FALSE),1)+IFERROR(VLOOKUP(A22,[1]Energiindhold!$A$2:$C$11,3,FALSE),0)*M22+IF(F22&lt;&gt;År1,R22,0),0)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6"/>
        <v>0</v>
      </c>
      <c r="V22" s="169">
        <f>P22*IFERROR(VLOOKUP(A22,[1]Tørstofindhold!A$2:B$24,2,FALSE),0)</f>
        <v>0</v>
      </c>
      <c r="W22">
        <f>IF(F22=År1,Q22,SUM(P22,Q22))*IFERROR(VLOOKUP(A22,[1]Tørstofindhold!A$2:B$24,2,FALSE),0)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7"/>
        <v>0</v>
      </c>
      <c r="Z22">
        <f t="shared" si="1"/>
        <v>1</v>
      </c>
      <c r="AA22">
        <f t="shared" si="2"/>
        <v>0</v>
      </c>
      <c r="AC22" s="94">
        <f t="shared" si="8"/>
        <v>-5421074.2654714445</v>
      </c>
      <c r="AD22">
        <f>AC22*E22*10000*VLOOKUP(A22,[1]kcal!$A$2:$C$49,3,FALSE)/1000000000000</f>
        <v>-3.0900123313187238</v>
      </c>
    </row>
    <row r="23" spans="1:30" x14ac:dyDescent="0.25">
      <c r="A23" s="171" t="s">
        <v>103</v>
      </c>
      <c r="B23" s="171" t="s">
        <v>230</v>
      </c>
      <c r="C23" s="171" t="str">
        <f>IFERROR(VLOOKUP(A23,'Kategorisering af kcal'!$J$2:$K$18,2,FALSE),"")</f>
        <v/>
      </c>
      <c r="D23" s="171">
        <f>IF(COUNTIFS('Resultater - Danmark'!$D$3:$D$504,'Produktion &amp; forbrug'!A23,'Resultater - Danmark'!$A$3:$A$504,"Til energi")+COUNTIFS('Resultater - Danmark'!$D$3:$D$504,'Produktion &amp; forbrug'!A23,'Resultater - Danmark'!$A$3:$A$504,"Biogasanlæg")&gt;0,1,0)</f>
        <v>1</v>
      </c>
      <c r="E23" s="171">
        <v>0</v>
      </c>
      <c r="F23" s="171">
        <f t="shared" si="0"/>
        <v>2019</v>
      </c>
      <c r="G23" s="94">
        <f>SUMIFS('Resultat-Produktion &amp; forbrug'!G$4:G$291,'Resultat-Produktion &amp; forbrug'!$A$4:$A$291,'Produktion &amp; forbrug'!$A23,'Resultat-Produktion &amp; forbrug'!$E$4:$E$291,'Produktion &amp; forbrug'!$F23)</f>
        <v>713321.96965889772</v>
      </c>
      <c r="H23" s="94">
        <f>SUMIFS('Resultat-Produktion &amp; forbrug'!H$4:H$291,'Resultat-Produktion &amp; forbrug'!$A$4:$A$291,'Produktion &amp; forbrug'!$A23,'Resultat-Produktion &amp; forbrug'!$E$4:$E$291,'Produktion &amp; forbrug'!$F23)</f>
        <v>0</v>
      </c>
      <c r="I23" s="94">
        <f>SUMIFS('Resultat-Produktion &amp; forbrug'!I$4:I$291,'Resultat-Produktion &amp; forbrug'!$A$4:$A$291,'Produktion &amp; forbrug'!$A23,'Resultat-Produktion &amp; forbrug'!$E$4:$E$291,'Produktion &amp; forbrug'!$F23)</f>
        <v>0</v>
      </c>
      <c r="J23" s="94">
        <f>SUMIFS('Resultat-Produktion &amp; forbrug'!J$4:J$291,'Resultat-Produktion &amp; forbrug'!$A$4:$A$291,'Produktion &amp; forbrug'!$A23,'Resultat-Produktion &amp; forbrug'!$E$4:$E$291,'Produktion &amp; forbrug'!$F23)</f>
        <v>0</v>
      </c>
      <c r="K23" s="94">
        <f>SUMIFS('Resultat-Produktion &amp; forbrug'!K$4:K$291,'Resultat-Produktion &amp; forbrug'!$A$4:$A$291,'Produktion &amp; forbrug'!$A23,'Resultat-Produktion &amp; forbrug'!$E$4:$E$291,'Produktion &amp; forbrug'!$F23)</f>
        <v>995654</v>
      </c>
      <c r="L23" s="94">
        <f>SUMIFS('Resultat-Produktion &amp; forbrug'!L$4:L$291,'Resultat-Produktion &amp; forbrug'!$A$4:$A$291,'Produktion &amp; forbrug'!$A23,'Resultat-Produktion &amp; forbrug'!$E$4:$E$291,'Produktion &amp; forbrug'!$F23)</f>
        <v>0</v>
      </c>
      <c r="M23" s="94">
        <f>SUMIFS('Resultat-Produktion &amp; forbrug'!M$4:M$291,'Resultat-Produktion &amp; forbrug'!$A$4:$A$291,'Produktion &amp; forbrug'!$A23,'Resultat-Produktion &amp; forbrug'!$E$4:$E$291,'Produktion &amp; forbrug'!$F23)</f>
        <v>0</v>
      </c>
      <c r="N23" s="94">
        <f>SUMIFS('Resultat-Produktion &amp; forbrug'!N$4:N$291,'Resultat-Produktion &amp; forbrug'!$A$4:$A$291,'Produktion &amp; forbrug'!$A23,'Resultat-Produktion &amp; forbrug'!$E$4:$E$291,'Produktion &amp; forbrug'!$F23)</f>
        <v>0</v>
      </c>
      <c r="O23" s="179">
        <f t="shared" si="3"/>
        <v>-282332.03034110228</v>
      </c>
      <c r="P23" s="94">
        <f t="shared" si="4"/>
        <v>0</v>
      </c>
      <c r="Q23" s="180">
        <f t="shared" si="5"/>
        <v>995654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IF(A23&lt;&gt;"Biogas",IFERROR(VLOOKUP(A23,[1]Biogasudbytte!$A$2:$B$18,2,FALSE)*[1]Energiindhold!$C$10,0)*K23*IFERROR(VLOOKUP(A23,Biogasanlæg!$F$3:$G$8,2,FALSE),1)+IFERROR(VLOOKUP(A23,[1]Energiindhold!$A$2:$C$11,3,FALSE),0)*M23+IF(F23&lt;&gt;År1,R23,0),0)</f>
        <v>3.6671534844670002</v>
      </c>
      <c r="T23">
        <f>IFERROR(VLOOKUP(A23,[1]Biogasudbytte!$A$2:$B$18,2,FALSE)*[1]Energiindhold!$C$10,0)*K23*IFERROR(VLOOKUP(A23,Biogasanlæg!$F$3:$G$8,2,FALSE),1)</f>
        <v>3.6671534844670002</v>
      </c>
      <c r="U23" s="170">
        <f t="shared" si="6"/>
        <v>0</v>
      </c>
      <c r="V23" s="169">
        <f>P23*IFERROR(VLOOKUP(A23,[1]Tørstofindhold!A$2:B$24,2,FALSE),0)</f>
        <v>0</v>
      </c>
      <c r="W23">
        <f>IF(F23=År1,Q23,SUM(P23,Q23))*IFERROR(VLOOKUP(A23,[1]Tørstofindhold!A$2:B$24,2,FALSE),0)</f>
        <v>418174.68</v>
      </c>
      <c r="X23">
        <f>K23*IFERROR(VLOOKUP(A23,[1]Tørstofindhold!A$2:B$24,2,FALSE),0)</f>
        <v>418174.68</v>
      </c>
      <c r="Y23" s="170">
        <f t="shared" si="7"/>
        <v>0</v>
      </c>
      <c r="Z23">
        <f t="shared" si="1"/>
        <v>1</v>
      </c>
      <c r="AA23">
        <f t="shared" si="2"/>
        <v>0</v>
      </c>
      <c r="AC23" s="94">
        <f t="shared" si="8"/>
        <v>-282332.03034110228</v>
      </c>
      <c r="AD23">
        <f>AC23*E23*10000*VLOOKUP(A23,[1]kcal!$A$2:$C$49,3,FALSE)/1000000000000</f>
        <v>0</v>
      </c>
    </row>
    <row r="24" spans="1:30" x14ac:dyDescent="0.25">
      <c r="A24" s="171" t="s">
        <v>56</v>
      </c>
      <c r="B24" s="171"/>
      <c r="C24" s="171" t="str">
        <f>IFERROR(VLOOKUP(A24,'Kategorisering af kcal'!$J$2:$K$18,2,FALSE),"")</f>
        <v/>
      </c>
      <c r="D24" s="171">
        <f>IF(COUNTIFS('Resultater - Danmark'!$D$3:$D$504,'Produktion &amp; forbrug'!A24,'Resultater - Danmark'!$A$3:$A$504,"Til energi")+COUNTIFS('Resultater - Danmark'!$D$3:$D$504,'Produktion &amp; forbrug'!A24,'Resultater - Danmark'!$A$3:$A$504,"Biogasanlæg")&gt;0,1,0)</f>
        <v>0</v>
      </c>
      <c r="E24" s="171">
        <v>0</v>
      </c>
      <c r="F24" s="171">
        <f t="shared" si="0"/>
        <v>2019</v>
      </c>
      <c r="G24" s="94">
        <f>SUMIFS('Resultat-Produktion &amp; forbrug'!G$4:G$291,'Resultat-Produktion &amp; forbrug'!$A$4:$A$291,'Produktion &amp; forbrug'!$A24,'Resultat-Produktion &amp; forbrug'!$E$4:$E$291,'Produktion &amp; forbrug'!$F24)</f>
        <v>912099.45136908058</v>
      </c>
      <c r="H24" s="94">
        <f>SUMIFS('Resultat-Produktion &amp; forbrug'!H$4:H$291,'Resultat-Produktion &amp; forbrug'!$A$4:$A$291,'Produktion &amp; forbrug'!$A24,'Resultat-Produktion &amp; forbrug'!$E$4:$E$291,'Produktion &amp; forbrug'!$F24)</f>
        <v>0</v>
      </c>
      <c r="I24" s="94">
        <f>SUMIFS('Resultat-Produktion &amp; forbrug'!I$4:I$291,'Resultat-Produktion &amp; forbrug'!$A$4:$A$291,'Produktion &amp; forbrug'!$A24,'Resultat-Produktion &amp; forbrug'!$E$4:$E$291,'Produktion &amp; forbrug'!$F24)</f>
        <v>0</v>
      </c>
      <c r="J24" s="94">
        <f>SUMIFS('Resultat-Produktion &amp; forbrug'!J$4:J$291,'Resultat-Produktion &amp; forbrug'!$A$4:$A$291,'Produktion &amp; forbrug'!$A24,'Resultat-Produktion &amp; forbrug'!$E$4:$E$291,'Produktion &amp; forbrug'!$F24)</f>
        <v>0</v>
      </c>
      <c r="K24" s="94">
        <f>SUMIFS('Resultat-Produktion &amp; forbrug'!K$4:K$291,'Resultat-Produktion &amp; forbrug'!$A$4:$A$291,'Produktion &amp; forbrug'!$A24,'Resultat-Produktion &amp; forbrug'!$E$4:$E$291,'Produktion &amp; forbrug'!$F24)</f>
        <v>0</v>
      </c>
      <c r="L24" s="94">
        <f>SUMIFS('Resultat-Produktion &amp; forbrug'!L$4:L$291,'Resultat-Produktion &amp; forbrug'!$A$4:$A$291,'Produktion &amp; forbrug'!$A24,'Resultat-Produktion &amp; forbrug'!$E$4:$E$291,'Produktion &amp; forbrug'!$F24)</f>
        <v>0</v>
      </c>
      <c r="M24" s="94">
        <f>SUMIFS('Resultat-Produktion &amp; forbrug'!M$4:M$291,'Resultat-Produktion &amp; forbrug'!$A$4:$A$291,'Produktion &amp; forbrug'!$A24,'Resultat-Produktion &amp; forbrug'!$E$4:$E$291,'Produktion &amp; forbrug'!$F24)</f>
        <v>0</v>
      </c>
      <c r="N24" s="94">
        <f>SUMIFS('Resultat-Produktion &amp; forbrug'!N$4:N$291,'Resultat-Produktion &amp; forbrug'!$A$4:$A$291,'Produktion &amp; forbrug'!$A24,'Resultat-Produktion &amp; forbrug'!$E$4:$E$291,'Produktion &amp; forbrug'!$F24)</f>
        <v>0</v>
      </c>
      <c r="O24" s="179">
        <f t="shared" si="3"/>
        <v>912099.45136908058</v>
      </c>
      <c r="P24" s="94">
        <f t="shared" si="4"/>
        <v>0</v>
      </c>
      <c r="Q24" s="180">
        <f t="shared" si="5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IF(A24&lt;&gt;"Biogas",IFERROR(VLOOKUP(A24,[1]Biogasudbytte!$A$2:$B$18,2,FALSE)*[1]Energiindhold!$C$10,0)*K24*IFERROR(VLOOKUP(A24,Biogasanlæg!$F$3:$G$8,2,FALSE),1)+IFERROR(VLOOKUP(A24,[1]Energiindhold!$A$2:$C$11,3,FALSE),0)*M24+IF(F24&lt;&gt;År1,R24,0),0)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6"/>
        <v>0</v>
      </c>
      <c r="V24" s="169">
        <f>P24*IFERROR(VLOOKUP(A24,[1]Tørstofindhold!A$2:B$24,2,FALSE),0)</f>
        <v>0</v>
      </c>
      <c r="W24">
        <f>IF(F24=År1,Q24,SUM(P24,Q24))*IFERROR(VLOOKUP(A24,[1]Tørstofindhold!A$2:B$24,2,FALSE),0)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7"/>
        <v>0</v>
      </c>
      <c r="Z24">
        <f t="shared" si="1"/>
        <v>0</v>
      </c>
      <c r="AA24">
        <f t="shared" si="2"/>
        <v>1</v>
      </c>
      <c r="AC24" s="94">
        <f t="shared" si="8"/>
        <v>912099.45136908058</v>
      </c>
      <c r="AD24">
        <f>AC24*E24*10000*VLOOKUP(A24,[1]kcal!$A$2:$C$49,3,FALSE)/1000000000000</f>
        <v>0</v>
      </c>
    </row>
    <row r="25" spans="1:30" x14ac:dyDescent="0.25">
      <c r="A25" s="171" t="s">
        <v>12</v>
      </c>
      <c r="B25" s="171"/>
      <c r="C25" s="171" t="str">
        <f>IFERROR(VLOOKUP(A25,'Kategorisering af kcal'!$J$2:$K$18,2,FALSE),"")</f>
        <v>Kartofler</v>
      </c>
      <c r="D25" s="171">
        <f>IF(COUNTIFS('Resultater - Danmark'!$D$3:$D$504,'Produktion &amp; forbrug'!A25,'Resultater - Danmark'!$A$3:$A$504,"Til energi")+COUNTIFS('Resultater - Danmark'!$D$3:$D$504,'Produktion &amp; forbrug'!A25,'Resultater - Danmark'!$A$3:$A$504,"Biogasanlæg")&gt;0,1,0)</f>
        <v>0</v>
      </c>
      <c r="E25" s="171">
        <v>1</v>
      </c>
      <c r="F25" s="171">
        <f t="shared" si="0"/>
        <v>2019</v>
      </c>
      <c r="G25" s="94">
        <f>SUMIFS('Resultat-Produktion &amp; forbrug'!G$4:G$291,'Resultat-Produktion &amp; forbrug'!$A$4:$A$291,'Produktion &amp; forbrug'!$A25,'Resultat-Produktion &amp; forbrug'!$E$4:$E$291,'Produktion &amp; forbrug'!$F25)</f>
        <v>2263176.157376945</v>
      </c>
      <c r="H25" s="94">
        <f>SUMIFS('Resultat-Produktion &amp; forbrug'!H$4:H$291,'Resultat-Produktion &amp; forbrug'!$A$4:$A$291,'Produktion &amp; forbrug'!$A25,'Resultat-Produktion &amp; forbrug'!$E$4:$E$291,'Produktion &amp; forbrug'!$F25)</f>
        <v>0</v>
      </c>
      <c r="I25" s="94">
        <f>SUMIFS('Resultat-Produktion &amp; forbrug'!I$4:I$291,'Resultat-Produktion &amp; forbrug'!$A$4:$A$291,'Produktion &amp; forbrug'!$A25,'Resultat-Produktion &amp; forbrug'!$E$4:$E$291,'Produktion &amp; forbrug'!$F25)</f>
        <v>0</v>
      </c>
      <c r="J25" s="94">
        <f>SUMIFS('Resultat-Produktion &amp; forbrug'!J$4:J$291,'Resultat-Produktion &amp; forbrug'!$A$4:$A$291,'Produktion &amp; forbrug'!$A25,'Resultat-Produktion &amp; forbrug'!$E$4:$E$291,'Produktion &amp; forbrug'!$F25)</f>
        <v>221445.08976743236</v>
      </c>
      <c r="K25" s="94">
        <f>SUMIFS('Resultat-Produktion &amp; forbrug'!K$4:K$291,'Resultat-Produktion &amp; forbrug'!$A$4:$A$291,'Produktion &amp; forbrug'!$A25,'Resultat-Produktion &amp; forbrug'!$E$4:$E$291,'Produktion &amp; forbrug'!$F25)</f>
        <v>0</v>
      </c>
      <c r="L25" s="94">
        <f>SUMIFS('Resultat-Produktion &amp; forbrug'!L$4:L$291,'Resultat-Produktion &amp; forbrug'!$A$4:$A$291,'Produktion &amp; forbrug'!$A25,'Resultat-Produktion &amp; forbrug'!$E$4:$E$291,'Produktion &amp; forbrug'!$F25)</f>
        <v>0</v>
      </c>
      <c r="M25" s="94">
        <f>SUMIFS('Resultat-Produktion &amp; forbrug'!M$4:M$291,'Resultat-Produktion &amp; forbrug'!$A$4:$A$291,'Produktion &amp; forbrug'!$A25,'Resultat-Produktion &amp; forbrug'!$E$4:$E$291,'Produktion &amp; forbrug'!$F25)</f>
        <v>0</v>
      </c>
      <c r="N25" s="94">
        <f>SUMIFS('Resultat-Produktion &amp; forbrug'!N$4:N$291,'Resultat-Produktion &amp; forbrug'!$A$4:$A$291,'Produktion &amp; forbrug'!$A25,'Resultat-Produktion &amp; forbrug'!$E$4:$E$291,'Produktion &amp; forbrug'!$F25)</f>
        <v>0</v>
      </c>
      <c r="O25" s="179">
        <f t="shared" si="3"/>
        <v>2041731.0676095127</v>
      </c>
      <c r="P25" s="94">
        <f t="shared" si="4"/>
        <v>0</v>
      </c>
      <c r="Q25" s="180">
        <f t="shared" si="5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IF(A25&lt;&gt;"Biogas",IFERROR(VLOOKUP(A25,[1]Biogasudbytte!$A$2:$B$18,2,FALSE)*[1]Energiindhold!$C$10,0)*K25*IFERROR(VLOOKUP(A25,Biogasanlæg!$F$3:$G$8,2,FALSE),1)+IFERROR(VLOOKUP(A25,[1]Energiindhold!$A$2:$C$11,3,FALSE),0)*M25+IF(F25&lt;&gt;År1,R25,0),0)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6"/>
        <v>0</v>
      </c>
      <c r="V25" s="169">
        <f>P25*IFERROR(VLOOKUP(A25,[1]Tørstofindhold!A$2:B$24,2,FALSE),0)</f>
        <v>0</v>
      </c>
      <c r="W25">
        <f>IF(F25=År1,Q25,SUM(P25,Q25))*IFERROR(VLOOKUP(A25,[1]Tørstofindhold!A$2:B$24,2,FALSE),0)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7"/>
        <v>0</v>
      </c>
      <c r="Z25">
        <f t="shared" si="1"/>
        <v>0</v>
      </c>
      <c r="AA25">
        <f t="shared" si="2"/>
        <v>1</v>
      </c>
      <c r="AC25" s="94">
        <f t="shared" si="8"/>
        <v>2263176.157376945</v>
      </c>
      <c r="AD25">
        <f>AC25*E25*10000*VLOOKUP(A25,[1]kcal!$A$2:$C$49,3,FALSE)/1000000000000</f>
        <v>1.765277402754017</v>
      </c>
    </row>
    <row r="26" spans="1:30" x14ac:dyDescent="0.25">
      <c r="A26" s="171" t="s">
        <v>48</v>
      </c>
      <c r="B26" s="171" t="s">
        <v>227</v>
      </c>
      <c r="C26" s="171" t="str">
        <f>IFERROR(VLOOKUP(A26,'Kategorisering af kcal'!$J$2:$K$18,2,FALSE),"")</f>
        <v>Korn</v>
      </c>
      <c r="D26" s="171">
        <f>IF(COUNTIFS('Resultater - Danmark'!$D$3:$D$504,'Produktion &amp; forbrug'!A26,'Resultater - Danmark'!$A$3:$A$504,"Til energi")+COUNTIFS('Resultater - Danmark'!$D$3:$D$504,'Produktion &amp; forbrug'!A26,'Resultater - Danmark'!$A$3:$A$504,"Biogasanlæg")&gt;0,1,0)</f>
        <v>1</v>
      </c>
      <c r="E26" s="171">
        <v>1</v>
      </c>
      <c r="F26" s="171">
        <f t="shared" si="0"/>
        <v>2019</v>
      </c>
      <c r="G26" s="94">
        <f>SUMIFS('Resultat-Produktion &amp; forbrug'!G$4:G$291,'Resultat-Produktion &amp; forbrug'!$A$4:$A$291,'Produktion &amp; forbrug'!$A26,'Resultat-Produktion &amp; forbrug'!$E$4:$E$291,'Produktion &amp; forbrug'!$F26)</f>
        <v>9112085.8491583709</v>
      </c>
      <c r="H26" s="94">
        <f>SUMIFS('Resultat-Produktion &amp; forbrug'!H$4:H$291,'Resultat-Produktion &amp; forbrug'!$A$4:$A$291,'Produktion &amp; forbrug'!$A26,'Resultat-Produktion &amp; forbrug'!$E$4:$E$291,'Produktion &amp; forbrug'!$F26)</f>
        <v>6600836.8097011279</v>
      </c>
      <c r="I26" s="94">
        <f>SUMIFS('Resultat-Produktion &amp; forbrug'!I$4:I$291,'Resultat-Produktion &amp; forbrug'!$A$4:$A$291,'Produktion &amp; forbrug'!$A26,'Resultat-Produktion &amp; forbrug'!$E$4:$E$291,'Produktion &amp; forbrug'!$F26)</f>
        <v>0</v>
      </c>
      <c r="J26" s="94">
        <f>SUMIFS('Resultat-Produktion &amp; forbrug'!J$4:J$291,'Resultat-Produktion &amp; forbrug'!$A$4:$A$291,'Produktion &amp; forbrug'!$A26,'Resultat-Produktion &amp; forbrug'!$E$4:$E$291,'Produktion &amp; forbrug'!$F26)</f>
        <v>530494.83043187088</v>
      </c>
      <c r="K26" s="94">
        <f>SUMIFS('Resultat-Produktion &amp; forbrug'!K$4:K$291,'Resultat-Produktion &amp; forbrug'!$A$4:$A$291,'Produktion &amp; forbrug'!$A26,'Resultat-Produktion &amp; forbrug'!$E$4:$E$291,'Produktion &amp; forbrug'!$F26)</f>
        <v>3786</v>
      </c>
      <c r="L26" s="94">
        <f>SUMIFS('Resultat-Produktion &amp; forbrug'!L$4:L$291,'Resultat-Produktion &amp; forbrug'!$A$4:$A$291,'Produktion &amp; forbrug'!$A26,'Resultat-Produktion &amp; forbrug'!$E$4:$E$291,'Produktion &amp; forbrug'!$F26)</f>
        <v>0</v>
      </c>
      <c r="M26" s="94">
        <f>SUMIFS('Resultat-Produktion &amp; forbrug'!M$4:M$291,'Resultat-Produktion &amp; forbrug'!$A$4:$A$291,'Produktion &amp; forbrug'!$A26,'Resultat-Produktion &amp; forbrug'!$E$4:$E$291,'Produktion &amp; forbrug'!$F26)</f>
        <v>0</v>
      </c>
      <c r="N26" s="94">
        <f>SUMIFS('Resultat-Produktion &amp; forbrug'!N$4:N$291,'Resultat-Produktion &amp; forbrug'!$A$4:$A$291,'Produktion &amp; forbrug'!$A26,'Resultat-Produktion &amp; forbrug'!$E$4:$E$291,'Produktion &amp; forbrug'!$F26)</f>
        <v>0</v>
      </c>
      <c r="O26" s="179">
        <f t="shared" si="3"/>
        <v>1976968.2090253718</v>
      </c>
      <c r="P26" s="94">
        <f t="shared" si="4"/>
        <v>1976968.2090253718</v>
      </c>
      <c r="Q26" s="180">
        <f t="shared" si="5"/>
        <v>3786</v>
      </c>
      <c r="R26">
        <f>IFERROR(VLOOKUP(A26,[1]Energiindhold!$A$2:$C$11,3,FALSE),IFERROR(VLOOKUP(A26,[1]Biogasudbytte!$A$2:$B$18,2,FALSE)*[1]Energiindhold!$C$10,0))*P26</f>
        <v>6.7708393403626363</v>
      </c>
      <c r="S26">
        <f>IF(A26&lt;&gt;"Biogas",IFERROR(VLOOKUP(A26,[1]Biogasudbytte!$A$2:$B$18,2,FALSE)*[1]Energiindhold!$C$10,0)*K26*IFERROR(VLOOKUP(A26,Biogasanlæg!$F$3:$G$8,2,FALSE),1)+IFERROR(VLOOKUP(A26,[1]Energiindhold!$A$2:$C$11,3,FALSE),0)*M26+IF(F26&lt;&gt;År1,R26,0),0)</f>
        <v>1.2966519960000002E-2</v>
      </c>
      <c r="T26">
        <f>IFERROR(VLOOKUP(A26,[1]Biogasudbytte!$A$2:$B$18,2,FALSE)*[1]Energiindhold!$C$10,0)*K26*IFERROR(VLOOKUP(A26,Biogasanlæg!$F$3:$G$8,2,FALSE),1)</f>
        <v>1.2966519960000002E-2</v>
      </c>
      <c r="U26" s="170">
        <f t="shared" si="6"/>
        <v>0</v>
      </c>
      <c r="V26" s="169">
        <f>P26*IFERROR(VLOOKUP(A26,[1]Tørstofindhold!A$2:B$24,2,FALSE),0)</f>
        <v>612860.1447978653</v>
      </c>
      <c r="W26">
        <f>IF(F26=År1,Q26,SUM(P26,Q26))*IFERROR(VLOOKUP(A26,[1]Tørstofindhold!A$2:B$24,2,FALSE),0)</f>
        <v>1173.6600000000001</v>
      </c>
      <c r="X26">
        <f>K26*IFERROR(VLOOKUP(A26,[1]Tørstofindhold!A$2:B$24,2,FALSE),0)</f>
        <v>1173.6600000000001</v>
      </c>
      <c r="Y26" s="170">
        <f t="shared" si="7"/>
        <v>0</v>
      </c>
      <c r="Z26">
        <f t="shared" si="1"/>
        <v>0</v>
      </c>
      <c r="AA26">
        <f t="shared" si="2"/>
        <v>1</v>
      </c>
      <c r="AC26" s="94">
        <f t="shared" si="8"/>
        <v>2507463.0394572429</v>
      </c>
      <c r="AD26">
        <f>AC26*E26*10000*VLOOKUP(A26,[1]kcal!$A$2:$C$49,3,FALSE)/1000000000000</f>
        <v>9.1773147244135096</v>
      </c>
    </row>
    <row r="27" spans="1:30" x14ac:dyDescent="0.25">
      <c r="A27" s="171" t="s">
        <v>115</v>
      </c>
      <c r="B27" s="171"/>
      <c r="C27" s="171" t="str">
        <f>IFERROR(VLOOKUP(A27,'Kategorisering af kcal'!$J$2:$K$18,2,FALSE),"")</f>
        <v/>
      </c>
      <c r="D27" s="171">
        <f>IF(COUNTIFS('Resultater - Danmark'!$D$3:$D$504,'Produktion &amp; forbrug'!A27,'Resultater - Danmark'!$A$3:$A$504,"Til energi")+COUNTIFS('Resultater - Danmark'!$D$3:$D$504,'Produktion &amp; forbrug'!A27,'Resultater - Danmark'!$A$3:$A$504,"Biogasanlæg")&gt;0,1,0)</f>
        <v>0</v>
      </c>
      <c r="E27" s="171">
        <v>0</v>
      </c>
      <c r="F27" s="171">
        <f t="shared" si="0"/>
        <v>2019</v>
      </c>
      <c r="G27" s="94">
        <f>SUMIFS('Resultat-Produktion &amp; forbrug'!G$4:G$291,'Resultat-Produktion &amp; forbrug'!$A$4:$A$291,'Produktion &amp; forbrug'!$A27,'Resultat-Produktion &amp; forbrug'!$E$4:$E$291,'Produktion &amp; forbrug'!$F27)</f>
        <v>0</v>
      </c>
      <c r="H27" s="94">
        <f>SUMIFS('Resultat-Produktion &amp; forbrug'!H$4:H$291,'Resultat-Produktion &amp; forbrug'!$A$4:$A$291,'Produktion &amp; forbrug'!$A27,'Resultat-Produktion &amp; forbrug'!$E$4:$E$291,'Produktion &amp; forbrug'!$F27)</f>
        <v>0</v>
      </c>
      <c r="I27" s="94">
        <f>SUMIFS('Resultat-Produktion &amp; forbrug'!I$4:I$291,'Resultat-Produktion &amp; forbrug'!$A$4:$A$291,'Produktion &amp; forbrug'!$A27,'Resultat-Produktion &amp; forbrug'!$E$4:$E$291,'Produktion &amp; forbrug'!$F27)</f>
        <v>0</v>
      </c>
      <c r="J27" s="94">
        <f>SUMIFS('Resultat-Produktion &amp; forbrug'!J$4:J$291,'Resultat-Produktion &amp; forbrug'!$A$4:$A$291,'Produktion &amp; forbrug'!$A27,'Resultat-Produktion &amp; forbrug'!$E$4:$E$291,'Produktion &amp; forbrug'!$F27)</f>
        <v>0</v>
      </c>
      <c r="K27" s="94">
        <f>SUMIFS('Resultat-Produktion &amp; forbrug'!K$4:K$291,'Resultat-Produktion &amp; forbrug'!$A$4:$A$291,'Produktion &amp; forbrug'!$A27,'Resultat-Produktion &amp; forbrug'!$E$4:$E$291,'Produktion &amp; forbrug'!$F27)</f>
        <v>0</v>
      </c>
      <c r="L27" s="94">
        <f ca="1">SUMIFS('Resultat-Produktion &amp; forbrug'!L$4:L$291,'Resultat-Produktion &amp; forbrug'!$A$4:$A$291,'Produktion &amp; forbrug'!$A27,'Resultat-Produktion &amp; forbrug'!$E$4:$E$291,'Produktion &amp; forbrug'!$F27)</f>
        <v>944817.29105430027</v>
      </c>
      <c r="M27" s="94">
        <f>SUMIFS('Resultat-Produktion &amp; forbrug'!M$4:M$291,'Resultat-Produktion &amp; forbrug'!$A$4:$A$291,'Produktion &amp; forbrug'!$A27,'Resultat-Produktion &amp; forbrug'!$E$4:$E$291,'Produktion &amp; forbrug'!$F27)</f>
        <v>0</v>
      </c>
      <c r="N27" s="94">
        <f>SUMIFS('Resultat-Produktion &amp; forbrug'!N$4:N$291,'Resultat-Produktion &amp; forbrug'!$A$4:$A$291,'Produktion &amp; forbrug'!$A27,'Resultat-Produktion &amp; forbrug'!$E$4:$E$291,'Produktion &amp; forbrug'!$F27)</f>
        <v>0</v>
      </c>
      <c r="O27" s="179">
        <f t="shared" ca="1" si="3"/>
        <v>-944817.29105430027</v>
      </c>
      <c r="P27" s="94">
        <f t="shared" si="4"/>
        <v>0</v>
      </c>
      <c r="Q27" s="180">
        <f t="shared" si="5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IF(A27&lt;&gt;"Biogas",IFERROR(VLOOKUP(A27,[1]Biogasudbytte!$A$2:$B$18,2,FALSE)*[1]Energiindhold!$C$10,0)*K27*IFERROR(VLOOKUP(A27,Biogasanlæg!$F$3:$G$8,2,FALSE),1)+IFERROR(VLOOKUP(A27,[1]Energiindhold!$A$2:$C$11,3,FALSE),0)*M27+IF(F27&lt;&gt;År1,R27,0),0)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6"/>
        <v>0</v>
      </c>
      <c r="V27" s="169">
        <f>P27*IFERROR(VLOOKUP(A27,[1]Tørstofindhold!A$2:B$24,2,FALSE),0)</f>
        <v>0</v>
      </c>
      <c r="W27">
        <f>IF(F27=År1,Q27,SUM(P27,Q27))*IFERROR(VLOOKUP(A27,[1]Tørstofindhold!A$2:B$24,2,FALSE),0)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7"/>
        <v>0</v>
      </c>
      <c r="Z27">
        <f t="shared" ca="1" si="1"/>
        <v>1</v>
      </c>
      <c r="AA27">
        <f t="shared" ca="1" si="2"/>
        <v>0</v>
      </c>
      <c r="AC27" s="94">
        <f t="shared" ca="1" si="8"/>
        <v>-944817.29105430027</v>
      </c>
      <c r="AD27">
        <f ca="1">AC27*E27*10000*VLOOKUP(A27,[1]kcal!$A$2:$C$49,3,FALSE)/1000000000000</f>
        <v>0</v>
      </c>
    </row>
    <row r="28" spans="1:30" x14ac:dyDescent="0.25">
      <c r="A28" s="171" t="s">
        <v>136</v>
      </c>
      <c r="B28" s="171" t="s">
        <v>222</v>
      </c>
      <c r="C28" s="171" t="str">
        <f>IFERROR(VLOOKUP(A28,'Kategorisering af kcal'!$J$2:$K$18,2,FALSE),"")</f>
        <v/>
      </c>
      <c r="D28" s="171">
        <f>IF(COUNTIFS('Resultater - Danmark'!$D$3:$D$504,'Produktion &amp; forbrug'!A28,'Resultater - Danmark'!$A$3:$A$504,"Til energi")+COUNTIFS('Resultater - Danmark'!$D$3:$D$504,'Produktion &amp; forbrug'!A28,'Resultater - Danmark'!$A$3:$A$504,"Biogasanlæg")&gt;0,1,0)</f>
        <v>1</v>
      </c>
      <c r="E28" s="171">
        <v>0</v>
      </c>
      <c r="F28" s="171">
        <f t="shared" si="0"/>
        <v>2019</v>
      </c>
      <c r="G28" s="94">
        <f>SUMIFS('Resultat-Produktion &amp; forbrug'!G$4:G$291,'Resultat-Produktion &amp; forbrug'!$A$4:$A$291,'Produktion &amp; forbrug'!$A28,'Resultat-Produktion &amp; forbrug'!$E$4:$E$291,'Produktion &amp; forbrug'!$F28)</f>
        <v>14050000</v>
      </c>
      <c r="H28" s="94">
        <f>SUMIFS('Resultat-Produktion &amp; forbrug'!H$4:H$291,'Resultat-Produktion &amp; forbrug'!$A$4:$A$291,'Produktion &amp; forbrug'!$A28,'Resultat-Produktion &amp; forbrug'!$E$4:$E$291,'Produktion &amp; forbrug'!$F28)</f>
        <v>0</v>
      </c>
      <c r="I28" s="94">
        <f>SUMIFS('Resultat-Produktion &amp; forbrug'!I$4:I$291,'Resultat-Produktion &amp; forbrug'!$A$4:$A$291,'Produktion &amp; forbrug'!$A28,'Resultat-Produktion &amp; forbrug'!$E$4:$E$291,'Produktion &amp; forbrug'!$F28)</f>
        <v>0</v>
      </c>
      <c r="J28" s="94">
        <f>SUMIFS('Resultat-Produktion &amp; forbrug'!J$4:J$291,'Resultat-Produktion &amp; forbrug'!$A$4:$A$291,'Produktion &amp; forbrug'!$A28,'Resultat-Produktion &amp; forbrug'!$E$4:$E$291,'Produktion &amp; forbrug'!$F28)</f>
        <v>0</v>
      </c>
      <c r="K28" s="94">
        <f>SUMIFS('Resultat-Produktion &amp; forbrug'!K$4:K$291,'Resultat-Produktion &amp; forbrug'!$A$4:$A$291,'Produktion &amp; forbrug'!$A28,'Resultat-Produktion &amp; forbrug'!$E$4:$E$291,'Produktion &amp; forbrug'!$F28)</f>
        <v>4353509.666666667</v>
      </c>
      <c r="L28" s="94">
        <f>SUMIFS('Resultat-Produktion &amp; forbrug'!L$4:L$291,'Resultat-Produktion &amp; forbrug'!$A$4:$A$291,'Produktion &amp; forbrug'!$A28,'Resultat-Produktion &amp; forbrug'!$E$4:$E$291,'Produktion &amp; forbrug'!$F28)</f>
        <v>9696490.333333334</v>
      </c>
      <c r="M28" s="94">
        <f>SUMIFS('Resultat-Produktion &amp; forbrug'!M$4:M$291,'Resultat-Produktion &amp; forbrug'!$A$4:$A$291,'Produktion &amp; forbrug'!$A28,'Resultat-Produktion &amp; forbrug'!$E$4:$E$291,'Produktion &amp; forbrug'!$F28)</f>
        <v>0</v>
      </c>
      <c r="N28" s="94">
        <f>SUMIFS('Resultat-Produktion &amp; forbrug'!N$4:N$291,'Resultat-Produktion &amp; forbrug'!$A$4:$A$291,'Produktion &amp; forbrug'!$A28,'Resultat-Produktion &amp; forbrug'!$E$4:$E$291,'Produktion &amp; forbrug'!$F28)</f>
        <v>0</v>
      </c>
      <c r="O28" s="179">
        <f t="shared" si="3"/>
        <v>0</v>
      </c>
      <c r="P28" s="94">
        <f t="shared" si="4"/>
        <v>0</v>
      </c>
      <c r="Q28" s="180">
        <f t="shared" si="5"/>
        <v>4353509.666666667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IF(A28&lt;&gt;"Biogas",IFERROR(VLOOKUP(A28,[1]Biogasudbytte!$A$2:$B$18,2,FALSE)*[1]Energiindhold!$C$10,0)*K28*IFERROR(VLOOKUP(A28,Biogasanlæg!$F$3:$G$8,2,FALSE),1)+IFERROR(VLOOKUP(A28,[1]Energiindhold!$A$2:$C$11,3,FALSE),0)*M28+IF(F28&lt;&gt;År1,R28,0),0)</f>
        <v>2.2037030581700003</v>
      </c>
      <c r="T28">
        <f>IFERROR(VLOOKUP(A28,[1]Biogasudbytte!$A$2:$B$18,2,FALSE)*[1]Energiindhold!$C$10,0)*K28*IFERROR(VLOOKUP(A28,Biogasanlæg!$F$3:$G$8,2,FALSE),1)</f>
        <v>2.2037030581700003</v>
      </c>
      <c r="U28" s="170">
        <f t="shared" si="6"/>
        <v>0</v>
      </c>
      <c r="V28" s="169">
        <f>P28*IFERROR(VLOOKUP(A28,[1]Tørstofindhold!A$2:B$24,2,FALSE),0)</f>
        <v>0</v>
      </c>
      <c r="W28">
        <f>IF(F28=År1,Q28,SUM(P28,Q28))*IFERROR(VLOOKUP(A28,[1]Tørstofindhold!A$2:B$24,2,FALSE),0)</f>
        <v>330866.73466666666</v>
      </c>
      <c r="X28">
        <f>K28*IFERROR(VLOOKUP(A28,[1]Tørstofindhold!A$2:B$24,2,FALSE),0)</f>
        <v>330866.73466666666</v>
      </c>
      <c r="Y28" s="170">
        <f t="shared" si="7"/>
        <v>0</v>
      </c>
      <c r="Z28">
        <f t="shared" si="1"/>
        <v>0</v>
      </c>
      <c r="AA28">
        <f t="shared" si="2"/>
        <v>0</v>
      </c>
      <c r="AC28" s="94">
        <f t="shared" si="8"/>
        <v>0</v>
      </c>
      <c r="AD28">
        <f>AC28*E28*10000*VLOOKUP(A28,[1]kcal!$A$2:$C$49,3,FALSE)/1000000000000</f>
        <v>0</v>
      </c>
    </row>
    <row r="29" spans="1:30" x14ac:dyDescent="0.25">
      <c r="A29" s="171" t="s">
        <v>108</v>
      </c>
      <c r="B29" s="171"/>
      <c r="C29" s="171" t="str">
        <f>IFERROR(VLOOKUP(A29,'Kategorisering af kcal'!$J$2:$K$18,2,FALSE),"")</f>
        <v/>
      </c>
      <c r="D29" s="171">
        <f>IF(COUNTIFS('Resultater - Danmark'!$D$3:$D$504,'Produktion &amp; forbrug'!A29,'Resultater - Danmark'!$A$3:$A$504,"Til energi")+COUNTIFS('Resultater - Danmark'!$D$3:$D$504,'Produktion &amp; forbrug'!A29,'Resultater - Danmark'!$A$3:$A$504,"Biogasanlæg")&gt;0,1,0)</f>
        <v>0</v>
      </c>
      <c r="E29" s="171">
        <v>0</v>
      </c>
      <c r="F29" s="171">
        <f t="shared" si="0"/>
        <v>2019</v>
      </c>
      <c r="G29" s="94">
        <f>SUMIFS('Resultat-Produktion &amp; forbrug'!G$4:G$291,'Resultat-Produktion &amp; forbrug'!$A$4:$A$291,'Produktion &amp; forbrug'!$A29,'Resultat-Produktion &amp; forbrug'!$E$4:$E$291,'Produktion &amp; forbrug'!$F29)</f>
        <v>1753646.8000000003</v>
      </c>
      <c r="H29" s="94">
        <f>SUMIFS('Resultat-Produktion &amp; forbrug'!H$4:H$291,'Resultat-Produktion &amp; forbrug'!$A$4:$A$291,'Produktion &amp; forbrug'!$A29,'Resultat-Produktion &amp; forbrug'!$E$4:$E$291,'Produktion &amp; forbrug'!$F29)</f>
        <v>1701754.6673799041</v>
      </c>
      <c r="I29" s="94">
        <f>SUMIFS('Resultat-Produktion &amp; forbrug'!I$4:I$291,'Resultat-Produktion &amp; forbrug'!$A$4:$A$291,'Produktion &amp; forbrug'!$A29,'Resultat-Produktion &amp; forbrug'!$E$4:$E$291,'Produktion &amp; forbrug'!$F29)</f>
        <v>0</v>
      </c>
      <c r="J29" s="94">
        <f>SUMIFS('Resultat-Produktion &amp; forbrug'!J$4:J$291,'Resultat-Produktion &amp; forbrug'!$A$4:$A$291,'Produktion &amp; forbrug'!$A29,'Resultat-Produktion &amp; forbrug'!$E$4:$E$291,'Produktion &amp; forbrug'!$F29)</f>
        <v>0</v>
      </c>
      <c r="K29" s="94">
        <f>SUMIFS('Resultat-Produktion &amp; forbrug'!K$4:K$291,'Resultat-Produktion &amp; forbrug'!$A$4:$A$291,'Produktion &amp; forbrug'!$A29,'Resultat-Produktion &amp; forbrug'!$E$4:$E$291,'Produktion &amp; forbrug'!$F29)</f>
        <v>0</v>
      </c>
      <c r="L29" s="94">
        <f>SUMIFS('Resultat-Produktion &amp; forbrug'!L$4:L$291,'Resultat-Produktion &amp; forbrug'!$A$4:$A$291,'Produktion &amp; forbrug'!$A29,'Resultat-Produktion &amp; forbrug'!$E$4:$E$291,'Produktion &amp; forbrug'!$F29)</f>
        <v>0</v>
      </c>
      <c r="M29" s="94">
        <f>SUMIFS('Resultat-Produktion &amp; forbrug'!M$4:M$291,'Resultat-Produktion &amp; forbrug'!$A$4:$A$291,'Produktion &amp; forbrug'!$A29,'Resultat-Produktion &amp; forbrug'!$E$4:$E$291,'Produktion &amp; forbrug'!$F29)</f>
        <v>0</v>
      </c>
      <c r="N29" s="94">
        <f>SUMIFS('Resultat-Produktion &amp; forbrug'!N$4:N$291,'Resultat-Produktion &amp; forbrug'!$A$4:$A$291,'Produktion &amp; forbrug'!$A29,'Resultat-Produktion &amp; forbrug'!$E$4:$E$291,'Produktion &amp; forbrug'!$F29)</f>
        <v>0</v>
      </c>
      <c r="O29" s="179">
        <f t="shared" si="3"/>
        <v>51892.132620096207</v>
      </c>
      <c r="P29" s="94">
        <f t="shared" si="4"/>
        <v>0</v>
      </c>
      <c r="Q29" s="180">
        <f t="shared" si="5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IF(A29&lt;&gt;"Biogas",IFERROR(VLOOKUP(A29,[1]Biogasudbytte!$A$2:$B$18,2,FALSE)*[1]Energiindhold!$C$10,0)*K29*IFERROR(VLOOKUP(A29,Biogasanlæg!$F$3:$G$8,2,FALSE),1)+IFERROR(VLOOKUP(A29,[1]Energiindhold!$A$2:$C$11,3,FALSE),0)*M29+IF(F29&lt;&gt;År1,R29,0),0)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6"/>
        <v>0</v>
      </c>
      <c r="V29" s="169">
        <f>P29*IFERROR(VLOOKUP(A29,[1]Tørstofindhold!A$2:B$24,2,FALSE),0)</f>
        <v>0</v>
      </c>
      <c r="W29">
        <f>IF(F29=År1,Q29,SUM(P29,Q29))*IFERROR(VLOOKUP(A29,[1]Tørstofindhold!A$2:B$24,2,FALSE),0)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7"/>
        <v>0</v>
      </c>
      <c r="Z29">
        <f t="shared" si="1"/>
        <v>0</v>
      </c>
      <c r="AA29">
        <f t="shared" si="2"/>
        <v>1</v>
      </c>
      <c r="AC29" s="94">
        <f t="shared" si="8"/>
        <v>51892.132620096207</v>
      </c>
      <c r="AD29">
        <f>AC29*E29*10000*VLOOKUP(A29,[1]kcal!$A$2:$C$49,3,FALSE)/1000000000000</f>
        <v>0</v>
      </c>
    </row>
    <row r="30" spans="1:30" x14ac:dyDescent="0.25">
      <c r="A30" t="s">
        <v>53</v>
      </c>
      <c r="B30" s="171" t="s">
        <v>224</v>
      </c>
      <c r="C30" s="171" t="str">
        <f>IFERROR(VLOOKUP(A30,'Kategorisering af kcal'!$J$2:$K$18,2,FALSE),"")</f>
        <v>Korn</v>
      </c>
      <c r="D30" s="171">
        <f>IF(COUNTIFS('Resultater - Danmark'!$D$3:$D$504,'Produktion &amp; forbrug'!A30,'Resultater - Danmark'!$A$3:$A$504,"Til energi")+COUNTIFS('Resultater - Danmark'!$D$3:$D$504,'Produktion &amp; forbrug'!A30,'Resultater - Danmark'!$A$3:$A$504,"Biogasanlæg")&gt;0,1,0)</f>
        <v>1</v>
      </c>
      <c r="E30" s="171">
        <v>1</v>
      </c>
      <c r="F30" s="171">
        <f t="shared" si="0"/>
        <v>2019</v>
      </c>
      <c r="G30" s="94">
        <f>SUMIFS('Resultat-Produktion &amp; forbrug'!G$4:G$291,'Resultat-Produktion &amp; forbrug'!$A$4:$A$291,'Produktion &amp; forbrug'!$A30,'Resultat-Produktion &amp; forbrug'!$E$4:$E$291,'Produktion &amp; forbrug'!$F30)</f>
        <v>7955921.1296188012</v>
      </c>
      <c r="H30" s="94">
        <f>SUMIFS('Resultat-Produktion &amp; forbrug'!H$4:H$291,'Resultat-Produktion &amp; forbrug'!$A$4:$A$291,'Produktion &amp; forbrug'!$A30,'Resultat-Produktion &amp; forbrug'!$E$4:$E$291,'Produktion &amp; forbrug'!$F30)</f>
        <v>6351407.0475792512</v>
      </c>
      <c r="I30" s="94">
        <f>SUMIFS('Resultat-Produktion &amp; forbrug'!I$4:I$291,'Resultat-Produktion &amp; forbrug'!$A$4:$A$291,'Produktion &amp; forbrug'!$A30,'Resultat-Produktion &amp; forbrug'!$E$4:$E$291,'Produktion &amp; forbrug'!$F30)</f>
        <v>0</v>
      </c>
      <c r="J30" s="94">
        <f>SUMIFS('Resultat-Produktion &amp; forbrug'!J$4:J$291,'Resultat-Produktion &amp; forbrug'!$A$4:$A$291,'Produktion &amp; forbrug'!$A30,'Resultat-Produktion &amp; forbrug'!$E$4:$E$291,'Produktion &amp; forbrug'!$F30)</f>
        <v>0</v>
      </c>
      <c r="K30" s="94">
        <f>SUMIFS('Resultat-Produktion &amp; forbrug'!K$4:K$291,'Resultat-Produktion &amp; forbrug'!$A$4:$A$291,'Produktion &amp; forbrug'!$A30,'Resultat-Produktion &amp; forbrug'!$E$4:$E$291,'Produktion &amp; forbrug'!$F30)</f>
        <v>330026.00000000006</v>
      </c>
      <c r="L30" s="94">
        <f>SUMIFS('Resultat-Produktion &amp; forbrug'!L$4:L$291,'Resultat-Produktion &amp; forbrug'!$A$4:$A$291,'Produktion &amp; forbrug'!$A30,'Resultat-Produktion &amp; forbrug'!$E$4:$E$291,'Produktion &amp; forbrug'!$F30)</f>
        <v>0</v>
      </c>
      <c r="M30" s="94">
        <f>SUMIFS('Resultat-Produktion &amp; forbrug'!M$4:M$291,'Resultat-Produktion &amp; forbrug'!$A$4:$A$291,'Produktion &amp; forbrug'!$A30,'Resultat-Produktion &amp; forbrug'!$E$4:$E$291,'Produktion &amp; forbrug'!$F30)</f>
        <v>0</v>
      </c>
      <c r="N30" s="94">
        <f>SUMIFS('Resultat-Produktion &amp; forbrug'!N$4:N$291,'Resultat-Produktion &amp; forbrug'!$A$4:$A$291,'Produktion &amp; forbrug'!$A30,'Resultat-Produktion &amp; forbrug'!$E$4:$E$291,'Produktion &amp; forbrug'!$F30)</f>
        <v>0</v>
      </c>
      <c r="O30" s="179">
        <f t="shared" si="3"/>
        <v>1274488.0820395499</v>
      </c>
      <c r="P30" s="94">
        <f t="shared" si="4"/>
        <v>1274488.0820395499</v>
      </c>
      <c r="Q30" s="180">
        <f t="shared" si="5"/>
        <v>330026.00000000006</v>
      </c>
      <c r="R30">
        <f>IFERROR(VLOOKUP(A30,[1]Energiindhold!$A$2:$C$11,3,FALSE),IFERROR(VLOOKUP(A30,[1]Biogasudbytte!$A$2:$B$18,2,FALSE)*[1]Energiindhold!$C$10,0))*P30</f>
        <v>4.5754122145219851</v>
      </c>
      <c r="S30">
        <f>IF(A30&lt;&gt;"Biogas",IFERROR(VLOOKUP(A30,[1]Biogasudbytte!$A$2:$B$18,2,FALSE)*[1]Energiindhold!$C$10,0)*K30*IFERROR(VLOOKUP(A30,Biogasanlæg!$F$3:$G$8,2,FALSE),1)+IFERROR(VLOOKUP(A30,[1]Energiindhold!$A$2:$C$11,3,FALSE),0)*M30+IF(F30&lt;&gt;År1,R30,0),0)</f>
        <v>1.1847933400000004</v>
      </c>
      <c r="T30">
        <f>IFERROR(VLOOKUP(A30,[1]Biogasudbytte!$A$2:$B$18,2,FALSE)*[1]Energiindhold!$C$10,0)*K30*IFERROR(VLOOKUP(A30,Biogasanlæg!$F$3:$G$8,2,FALSE),1)</f>
        <v>1.1847933400000004</v>
      </c>
      <c r="U30" s="170">
        <f t="shared" si="6"/>
        <v>0</v>
      </c>
      <c r="V30" s="169">
        <f>P30*IFERROR(VLOOKUP(A30,[1]Tørstofindhold!A$2:B$24,2,FALSE),0)</f>
        <v>382346.42461186496</v>
      </c>
      <c r="W30">
        <f>IF(F30=År1,Q30,SUM(P30,Q30))*IFERROR(VLOOKUP(A30,[1]Tørstofindhold!A$2:B$24,2,FALSE),0)</f>
        <v>99007.800000000017</v>
      </c>
      <c r="X30">
        <f>K30*IFERROR(VLOOKUP(A30,[1]Tørstofindhold!A$2:B$24,2,FALSE),0)</f>
        <v>99007.800000000017</v>
      </c>
      <c r="Y30" s="170">
        <f t="shared" si="7"/>
        <v>0</v>
      </c>
      <c r="Z30">
        <f t="shared" si="1"/>
        <v>0</v>
      </c>
      <c r="AA30">
        <f t="shared" si="2"/>
        <v>1</v>
      </c>
      <c r="AC30" s="94">
        <f t="shared" si="8"/>
        <v>1274488.0820395499</v>
      </c>
      <c r="AD30">
        <f>AC30*E30*10000*VLOOKUP(A30,[1]kcal!$A$2:$C$49,3,FALSE)/1000000000000</f>
        <v>1.1597841546559904</v>
      </c>
    </row>
    <row r="31" spans="1:30" x14ac:dyDescent="0.25">
      <c r="A31" s="171" t="s">
        <v>116</v>
      </c>
      <c r="B31" s="171"/>
      <c r="C31" s="171" t="str">
        <f>IFERROR(VLOOKUP(A31,'Kategorisering af kcal'!$J$2:$K$18,2,FALSE),"")</f>
        <v>Mejeriprodukter</v>
      </c>
      <c r="D31" s="171">
        <f>IF(COUNTIFS('Resultater - Danmark'!$D$3:$D$504,'Produktion &amp; forbrug'!A31,'Resultater - Danmark'!$A$3:$A$504,"Til energi")+COUNTIFS('Resultater - Danmark'!$D$3:$D$504,'Produktion &amp; forbrug'!A31,'Resultater - Danmark'!$A$3:$A$504,"Biogasanlæg")&gt;0,1,0)</f>
        <v>0</v>
      </c>
      <c r="E31" s="171">
        <v>1</v>
      </c>
      <c r="F31" s="171">
        <f t="shared" si="0"/>
        <v>2019</v>
      </c>
      <c r="G31" s="94">
        <f>SUMIFS('Resultat-Produktion &amp; forbrug'!G$4:G$291,'Resultat-Produktion &amp; forbrug'!$A$4:$A$291,'Produktion &amp; forbrug'!$A31,'Resultat-Produktion &amp; forbrug'!$E$4:$E$291,'Produktion &amp; forbrug'!$F31)</f>
        <v>3383628.2</v>
      </c>
      <c r="H31" s="94">
        <f>SUMIFS('Resultat-Produktion &amp; forbrug'!H$4:H$291,'Resultat-Produktion &amp; forbrug'!$A$4:$A$291,'Produktion &amp; forbrug'!$A31,'Resultat-Produktion &amp; forbrug'!$E$4:$E$291,'Produktion &amp; forbrug'!$F31)</f>
        <v>0</v>
      </c>
      <c r="I31" s="94">
        <f>SUMIFS('Resultat-Produktion &amp; forbrug'!I$4:I$291,'Resultat-Produktion &amp; forbrug'!$A$4:$A$291,'Produktion &amp; forbrug'!$A31,'Resultat-Produktion &amp; forbrug'!$E$4:$E$291,'Produktion &amp; forbrug'!$F31)</f>
        <v>0</v>
      </c>
      <c r="J31" s="94">
        <f>SUMIFS('Resultat-Produktion &amp; forbrug'!J$4:J$291,'Resultat-Produktion &amp; forbrug'!$A$4:$A$291,'Produktion &amp; forbrug'!$A31,'Resultat-Produktion &amp; forbrug'!$E$4:$E$291,'Produktion &amp; forbrug'!$F31)</f>
        <v>846844.95867106004</v>
      </c>
      <c r="K31" s="94">
        <f>SUMIFS('Resultat-Produktion &amp; forbrug'!K$4:K$291,'Resultat-Produktion &amp; forbrug'!$A$4:$A$291,'Produktion &amp; forbrug'!$A31,'Resultat-Produktion &amp; forbrug'!$E$4:$E$291,'Produktion &amp; forbrug'!$F31)</f>
        <v>0</v>
      </c>
      <c r="L31" s="94">
        <f>SUMIFS('Resultat-Produktion &amp; forbrug'!L$4:L$291,'Resultat-Produktion &amp; forbrug'!$A$4:$A$291,'Produktion &amp; forbrug'!$A31,'Resultat-Produktion &amp; forbrug'!$E$4:$E$291,'Produktion &amp; forbrug'!$F31)</f>
        <v>0</v>
      </c>
      <c r="M31" s="94">
        <f>SUMIFS('Resultat-Produktion &amp; forbrug'!M$4:M$291,'Resultat-Produktion &amp; forbrug'!$A$4:$A$291,'Produktion &amp; forbrug'!$A31,'Resultat-Produktion &amp; forbrug'!$E$4:$E$291,'Produktion &amp; forbrug'!$F31)</f>
        <v>0</v>
      </c>
      <c r="N31" s="94">
        <f>SUMIFS('Resultat-Produktion &amp; forbrug'!N$4:N$291,'Resultat-Produktion &amp; forbrug'!$A$4:$A$291,'Produktion &amp; forbrug'!$A31,'Resultat-Produktion &amp; forbrug'!$E$4:$E$291,'Produktion &amp; forbrug'!$F31)</f>
        <v>0</v>
      </c>
      <c r="O31" s="179">
        <f t="shared" si="3"/>
        <v>2536783.2413289403</v>
      </c>
      <c r="P31" s="94">
        <f t="shared" si="4"/>
        <v>0</v>
      </c>
      <c r="Q31" s="180">
        <f t="shared" si="5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IF(A31&lt;&gt;"Biogas",IFERROR(VLOOKUP(A31,[1]Biogasudbytte!$A$2:$B$18,2,FALSE)*[1]Energiindhold!$C$10,0)*K31*IFERROR(VLOOKUP(A31,Biogasanlæg!$F$3:$G$8,2,FALSE),1)+IFERROR(VLOOKUP(A31,[1]Energiindhold!$A$2:$C$11,3,FALSE),0)*M31+IF(F31&lt;&gt;År1,R31,0),0)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6"/>
        <v>0</v>
      </c>
      <c r="V31" s="169">
        <f>P31*IFERROR(VLOOKUP(A31,[1]Tørstofindhold!A$2:B$24,2,FALSE),0)</f>
        <v>0</v>
      </c>
      <c r="W31">
        <f>IF(F31=År1,Q31,SUM(P31,Q31))*IFERROR(VLOOKUP(A31,[1]Tørstofindhold!A$2:B$24,2,FALSE),0)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7"/>
        <v>0</v>
      </c>
      <c r="Z31">
        <f t="shared" si="1"/>
        <v>0</v>
      </c>
      <c r="AA31">
        <f t="shared" si="2"/>
        <v>1</v>
      </c>
      <c r="AC31" s="94">
        <f t="shared" si="8"/>
        <v>3383628.2</v>
      </c>
      <c r="AD31">
        <f>AC31*E31*10000*VLOOKUP(A31,[1]kcal!$A$2:$C$49,3,FALSE)/1000000000000</f>
        <v>2.1316857659999999</v>
      </c>
    </row>
    <row r="32" spans="1:30" x14ac:dyDescent="0.25">
      <c r="A32" s="171" t="s">
        <v>106</v>
      </c>
      <c r="B32" s="171" t="s">
        <v>226</v>
      </c>
      <c r="C32" s="171" t="str">
        <f>IFERROR(VLOOKUP(A32,'Kategorisering af kcal'!$J$2:$K$18,2,FALSE),"")</f>
        <v>Fisk mm</v>
      </c>
      <c r="D32" s="171">
        <f>IF(COUNTIFS('Resultater - Danmark'!$D$3:$D$504,'Produktion &amp; forbrug'!A32,'Resultater - Danmark'!$A$3:$A$504,"Til energi")+COUNTIFS('Resultater - Danmark'!$D$3:$D$504,'Produktion &amp; forbrug'!A32,'Resultater - Danmark'!$A$3:$A$504,"Biogasanlæg")&gt;0,1,0)</f>
        <v>1</v>
      </c>
      <c r="E32" s="171">
        <v>1</v>
      </c>
      <c r="F32" s="171">
        <f t="shared" si="0"/>
        <v>2019</v>
      </c>
      <c r="G32" s="94">
        <f>SUMIFS('Resultat-Produktion &amp; forbrug'!G$4:G$291,'Resultat-Produktion &amp; forbrug'!$A$4:$A$291,'Produktion &amp; forbrug'!$A32,'Resultat-Produktion &amp; forbrug'!$E$4:$E$291,'Produktion &amp; forbrug'!$F32)</f>
        <v>880.09999999999991</v>
      </c>
      <c r="H32" s="94">
        <f>SUMIFS('Resultat-Produktion &amp; forbrug'!H$4:H$291,'Resultat-Produktion &amp; forbrug'!$A$4:$A$291,'Produktion &amp; forbrug'!$A32,'Resultat-Produktion &amp; forbrug'!$E$4:$E$291,'Produktion &amp; forbrug'!$F32)</f>
        <v>0</v>
      </c>
      <c r="I32" s="94">
        <f>SUMIFS('Resultat-Produktion &amp; forbrug'!I$4:I$291,'Resultat-Produktion &amp; forbrug'!$A$4:$A$291,'Produktion &amp; forbrug'!$A32,'Resultat-Produktion &amp; forbrug'!$E$4:$E$291,'Produktion &amp; forbrug'!$F32)</f>
        <v>0</v>
      </c>
      <c r="J32" s="94">
        <f>SUMIFS('Resultat-Produktion &amp; forbrug'!J$4:J$291,'Resultat-Produktion &amp; forbrug'!$A$4:$A$291,'Produktion &amp; forbrug'!$A32,'Resultat-Produktion &amp; forbrug'!$E$4:$E$291,'Produktion &amp; forbrug'!$F32)</f>
        <v>0</v>
      </c>
      <c r="K32" s="94">
        <f>SUMIFS('Resultat-Produktion &amp; forbrug'!K$4:K$291,'Resultat-Produktion &amp; forbrug'!$A$4:$A$291,'Produktion &amp; forbrug'!$A32,'Resultat-Produktion &amp; forbrug'!$E$4:$E$291,'Produktion &amp; forbrug'!$F32)</f>
        <v>0</v>
      </c>
      <c r="L32" s="94">
        <f>SUMIFS('Resultat-Produktion &amp; forbrug'!L$4:L$291,'Resultat-Produktion &amp; forbrug'!$A$4:$A$291,'Produktion &amp; forbrug'!$A32,'Resultat-Produktion &amp; forbrug'!$E$4:$E$291,'Produktion &amp; forbrug'!$F32)</f>
        <v>0</v>
      </c>
      <c r="M32" s="94">
        <f>SUMIFS('Resultat-Produktion &amp; forbrug'!M$4:M$291,'Resultat-Produktion &amp; forbrug'!$A$4:$A$291,'Produktion &amp; forbrug'!$A32,'Resultat-Produktion &amp; forbrug'!$E$4:$E$291,'Produktion &amp; forbrug'!$F32)</f>
        <v>0</v>
      </c>
      <c r="N32" s="94">
        <f>SUMIFS('Resultat-Produktion &amp; forbrug'!N$4:N$291,'Resultat-Produktion &amp; forbrug'!$A$4:$A$291,'Produktion &amp; forbrug'!$A32,'Resultat-Produktion &amp; forbrug'!$E$4:$E$291,'Produktion &amp; forbrug'!$F32)</f>
        <v>0</v>
      </c>
      <c r="O32" s="179">
        <f t="shared" si="3"/>
        <v>880.09999999999991</v>
      </c>
      <c r="P32" s="94">
        <f t="shared" si="4"/>
        <v>880.09999999999991</v>
      </c>
      <c r="Q32" s="180">
        <f t="shared" si="5"/>
        <v>0</v>
      </c>
      <c r="R32">
        <f>IFERROR(VLOOKUP(A32,[1]Energiindhold!$A$2:$C$11,3,FALSE),IFERROR(VLOOKUP(A32,[1]Biogasudbytte!$A$2:$B$18,2,FALSE)*[1]Energiindhold!$C$10,0))*P32</f>
        <v>7.8988975000000004E-4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IF(A32&lt;&gt;"Biogas",IFERROR(VLOOKUP(A32,[1]Biogasudbytte!$A$2:$B$18,2,FALSE)*[1]Energiindhold!$C$10,0)*K32*IFERROR(VLOOKUP(A32,Biogasanlæg!$F$3:$G$8,2,FALSE),1)+IFERROR(VLOOKUP(A32,[1]Energiindhold!$A$2:$C$11,3,FALSE),0)*M32+IF(F32&lt;&gt;År1,R32,0),0)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6"/>
        <v>0</v>
      </c>
      <c r="V32" s="169">
        <f>P32*IFERROR(VLOOKUP(A32,[1]Tørstofindhold!A$2:B$24,2,FALSE),0)</f>
        <v>132.01499999999999</v>
      </c>
      <c r="W32">
        <f>IF(F32=År1,Q32,SUM(P32,Q32))*IFERROR(VLOOKUP(A32,[1]Tørstofindhold!A$2:B$24,2,FALSE),0)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7"/>
        <v>0</v>
      </c>
      <c r="Z32">
        <f t="shared" si="1"/>
        <v>0</v>
      </c>
      <c r="AA32">
        <f t="shared" si="2"/>
        <v>1</v>
      </c>
      <c r="AC32" s="94">
        <f t="shared" si="8"/>
        <v>880.09999999999991</v>
      </c>
      <c r="AD32">
        <f>AC32*E32*10000*VLOOKUP(A32,[1]kcal!$A$2:$C$49,3,FALSE)/1000000000000</f>
        <v>7.3048299999999998E-4</v>
      </c>
    </row>
    <row r="33" spans="1:34" x14ac:dyDescent="0.25">
      <c r="A33" s="171" t="s">
        <v>14</v>
      </c>
      <c r="B33" s="171"/>
      <c r="C33" s="171" t="str">
        <f>IFERROR(VLOOKUP(A33,'Kategorisering af kcal'!$J$2:$K$18,2,FALSE),"")</f>
        <v>Kød</v>
      </c>
      <c r="D33" s="171">
        <f>IF(COUNTIFS('Resultater - Danmark'!$D$3:$D$504,'Produktion &amp; forbrug'!A33,'Resultater - Danmark'!$A$3:$A$504,"Til energi")+COUNTIFS('Resultater - Danmark'!$D$3:$D$504,'Produktion &amp; forbrug'!A33,'Resultater - Danmark'!$A$3:$A$504,"Biogasanlæg")&gt;0,1,0)</f>
        <v>0</v>
      </c>
      <c r="E33" s="171">
        <v>1</v>
      </c>
      <c r="F33" s="171">
        <f t="shared" si="0"/>
        <v>2019</v>
      </c>
      <c r="G33" s="94">
        <f>SUMIFS('Resultat-Produktion &amp; forbrug'!G$4:G$291,'Resultat-Produktion &amp; forbrug'!$A$4:$A$291,'Produktion &amp; forbrug'!$A33,'Resultat-Produktion &amp; forbrug'!$E$4:$E$291,'Produktion &amp; forbrug'!$F33)</f>
        <v>115671.91919191919</v>
      </c>
      <c r="H33" s="94">
        <f>SUMIFS('Resultat-Produktion &amp; forbrug'!H$4:H$291,'Resultat-Produktion &amp; forbrug'!$A$4:$A$291,'Produktion &amp; forbrug'!$A33,'Resultat-Produktion &amp; forbrug'!$E$4:$E$291,'Produktion &amp; forbrug'!$F33)</f>
        <v>0</v>
      </c>
      <c r="I33" s="94">
        <f>SUMIFS('Resultat-Produktion &amp; forbrug'!I$4:I$291,'Resultat-Produktion &amp; forbrug'!$A$4:$A$291,'Produktion &amp; forbrug'!$A33,'Resultat-Produktion &amp; forbrug'!$E$4:$E$291,'Produktion &amp; forbrug'!$F33)</f>
        <v>0</v>
      </c>
      <c r="J33" s="94">
        <f>SUMIFS('Resultat-Produktion &amp; forbrug'!J$4:J$291,'Resultat-Produktion &amp; forbrug'!$A$4:$A$291,'Produktion &amp; forbrug'!$A33,'Resultat-Produktion &amp; forbrug'!$E$4:$E$291,'Produktion &amp; forbrug'!$F33)</f>
        <v>107607.71285182264</v>
      </c>
      <c r="K33" s="94">
        <f>SUMIFS('Resultat-Produktion &amp; forbrug'!K$4:K$291,'Resultat-Produktion &amp; forbrug'!$A$4:$A$291,'Produktion &amp; forbrug'!$A33,'Resultat-Produktion &amp; forbrug'!$E$4:$E$291,'Produktion &amp; forbrug'!$F33)</f>
        <v>0</v>
      </c>
      <c r="L33" s="94">
        <f>SUMIFS('Resultat-Produktion &amp; forbrug'!L$4:L$291,'Resultat-Produktion &amp; forbrug'!$A$4:$A$291,'Produktion &amp; forbrug'!$A33,'Resultat-Produktion &amp; forbrug'!$E$4:$E$291,'Produktion &amp; forbrug'!$F33)</f>
        <v>0</v>
      </c>
      <c r="M33" s="94">
        <f>SUMIFS('Resultat-Produktion &amp; forbrug'!M$4:M$291,'Resultat-Produktion &amp; forbrug'!$A$4:$A$291,'Produktion &amp; forbrug'!$A33,'Resultat-Produktion &amp; forbrug'!$E$4:$E$291,'Produktion &amp; forbrug'!$F33)</f>
        <v>0</v>
      </c>
      <c r="N33" s="94">
        <f>SUMIFS('Resultat-Produktion &amp; forbrug'!N$4:N$291,'Resultat-Produktion &amp; forbrug'!$A$4:$A$291,'Produktion &amp; forbrug'!$A33,'Resultat-Produktion &amp; forbrug'!$E$4:$E$291,'Produktion &amp; forbrug'!$F33)</f>
        <v>0</v>
      </c>
      <c r="O33" s="179">
        <f t="shared" si="3"/>
        <v>8064.2063400965562</v>
      </c>
      <c r="P33" s="94">
        <f t="shared" si="4"/>
        <v>0</v>
      </c>
      <c r="Q33" s="180">
        <f t="shared" si="5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IF(A33&lt;&gt;"Biogas",IFERROR(VLOOKUP(A33,[1]Biogasudbytte!$A$2:$B$18,2,FALSE)*[1]Energiindhold!$C$10,0)*K33*IFERROR(VLOOKUP(A33,Biogasanlæg!$F$3:$G$8,2,FALSE),1)+IFERROR(VLOOKUP(A33,[1]Energiindhold!$A$2:$C$11,3,FALSE),0)*M33+IF(F33&lt;&gt;År1,R33,0),0)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6"/>
        <v>0</v>
      </c>
      <c r="V33" s="169">
        <f>P33*IFERROR(VLOOKUP(A33,[1]Tørstofindhold!A$2:B$24,2,FALSE),0)</f>
        <v>0</v>
      </c>
      <c r="W33">
        <f>IF(F33=År1,Q33,SUM(P33,Q33))*IFERROR(VLOOKUP(A33,[1]Tørstofindhold!A$2:B$24,2,FALSE),0)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7"/>
        <v>0</v>
      </c>
      <c r="Z33">
        <f t="shared" si="1"/>
        <v>0</v>
      </c>
      <c r="AA33">
        <f t="shared" si="2"/>
        <v>1</v>
      </c>
      <c r="AC33" s="94">
        <f t="shared" si="8"/>
        <v>115671.91919191919</v>
      </c>
      <c r="AD33">
        <f>AC33*E33*10000*VLOOKUP(A33,[1]kcal!$A$2:$C$49,3,FALSE)/1000000000000</f>
        <v>0.22556024242424241</v>
      </c>
    </row>
    <row r="34" spans="1:34" x14ac:dyDescent="0.25">
      <c r="A34" s="171" t="s">
        <v>55</v>
      </c>
      <c r="B34" s="171"/>
      <c r="C34" s="171" t="str">
        <f>IFERROR(VLOOKUP(A34,'Kategorisering af kcal'!$J$2:$K$18,2,FALSE),"")</f>
        <v>Øvrige</v>
      </c>
      <c r="D34" s="171">
        <f>IF(COUNTIFS('Resultater - Danmark'!$D$3:$D$504,'Produktion &amp; forbrug'!A34,'Resultater - Danmark'!$A$3:$A$504,"Til energi")+COUNTIFS('Resultater - Danmark'!$D$3:$D$504,'Produktion &amp; forbrug'!A34,'Resultater - Danmark'!$A$3:$A$504,"Biogasanlæg")&gt;0,1,0)</f>
        <v>0</v>
      </c>
      <c r="E34" s="171">
        <v>1</v>
      </c>
      <c r="F34" s="171">
        <f t="shared" si="0"/>
        <v>2019</v>
      </c>
      <c r="G34" s="94">
        <f>SUMIFS('Resultat-Produktion &amp; forbrug'!G$4:G$291,'Resultat-Produktion &amp; forbrug'!$A$4:$A$291,'Produktion &amp; forbrug'!$A34,'Resultat-Produktion &amp; forbrug'!$E$4:$E$291,'Produktion &amp; forbrug'!$F34)</f>
        <v>2006067.2488276002</v>
      </c>
      <c r="H34" s="94">
        <f>SUMIFS('Resultat-Produktion &amp; forbrug'!H$4:H$291,'Resultat-Produktion &amp; forbrug'!$A$4:$A$291,'Produktion &amp; forbrug'!$A34,'Resultat-Produktion &amp; forbrug'!$E$4:$E$291,'Produktion &amp; forbrug'!$F34)</f>
        <v>0</v>
      </c>
      <c r="I34" s="94">
        <f>SUMIFS('Resultat-Produktion &amp; forbrug'!I$4:I$291,'Resultat-Produktion &amp; forbrug'!$A$4:$A$291,'Produktion &amp; forbrug'!$A34,'Resultat-Produktion &amp; forbrug'!$E$4:$E$291,'Produktion &amp; forbrug'!$F34)</f>
        <v>0</v>
      </c>
      <c r="J34" s="94">
        <f>SUMIFS('Resultat-Produktion &amp; forbrug'!J$4:J$291,'Resultat-Produktion &amp; forbrug'!$A$4:$A$291,'Produktion &amp; forbrug'!$A34,'Resultat-Produktion &amp; forbrug'!$E$4:$E$291,'Produktion &amp; forbrug'!$F34)</f>
        <v>0</v>
      </c>
      <c r="K34" s="94">
        <f>SUMIFS('Resultat-Produktion &amp; forbrug'!K$4:K$291,'Resultat-Produktion &amp; forbrug'!$A$4:$A$291,'Produktion &amp; forbrug'!$A34,'Resultat-Produktion &amp; forbrug'!$E$4:$E$291,'Produktion &amp; forbrug'!$F34)</f>
        <v>0</v>
      </c>
      <c r="L34" s="94">
        <f>SUMIFS('Resultat-Produktion &amp; forbrug'!L$4:L$291,'Resultat-Produktion &amp; forbrug'!$A$4:$A$291,'Produktion &amp; forbrug'!$A34,'Resultat-Produktion &amp; forbrug'!$E$4:$E$291,'Produktion &amp; forbrug'!$F34)</f>
        <v>0</v>
      </c>
      <c r="M34" s="94">
        <f>SUMIFS('Resultat-Produktion &amp; forbrug'!M$4:M$291,'Resultat-Produktion &amp; forbrug'!$A$4:$A$291,'Produktion &amp; forbrug'!$A34,'Resultat-Produktion &amp; forbrug'!$E$4:$E$291,'Produktion &amp; forbrug'!$F34)</f>
        <v>0</v>
      </c>
      <c r="N34" s="94">
        <f>SUMIFS('Resultat-Produktion &amp; forbrug'!N$4:N$291,'Resultat-Produktion &amp; forbrug'!$A$4:$A$291,'Produktion &amp; forbrug'!$A34,'Resultat-Produktion &amp; forbrug'!$E$4:$E$291,'Produktion &amp; forbrug'!$F34)</f>
        <v>0</v>
      </c>
      <c r="O34" s="179">
        <f t="shared" si="3"/>
        <v>2006067.2488276002</v>
      </c>
      <c r="P34" s="94">
        <f t="shared" si="4"/>
        <v>0</v>
      </c>
      <c r="Q34" s="180">
        <f t="shared" si="5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IF(A34&lt;&gt;"Biogas",IFERROR(VLOOKUP(A34,[1]Biogasudbytte!$A$2:$B$18,2,FALSE)*[1]Energiindhold!$C$10,0)*K34*IFERROR(VLOOKUP(A34,Biogasanlæg!$F$3:$G$8,2,FALSE),1)+IFERROR(VLOOKUP(A34,[1]Energiindhold!$A$2:$C$11,3,FALSE),0)*M34+IF(F34&lt;&gt;År1,R34,0),0)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6"/>
        <v>0</v>
      </c>
      <c r="V34" s="169">
        <f>P34*IFERROR(VLOOKUP(A34,[1]Tørstofindhold!A$2:B$24,2,FALSE),0)</f>
        <v>0</v>
      </c>
      <c r="W34">
        <f>IF(F34=År1,Q34,SUM(P34,Q34))*IFERROR(VLOOKUP(A34,[1]Tørstofindhold!A$2:B$24,2,FALSE),0)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7"/>
        <v>0</v>
      </c>
      <c r="Z34">
        <f t="shared" si="1"/>
        <v>0</v>
      </c>
      <c r="AA34">
        <f t="shared" si="2"/>
        <v>1</v>
      </c>
      <c r="AC34" s="94">
        <f t="shared" si="8"/>
        <v>2006067.2488276002</v>
      </c>
      <c r="AD34">
        <f>AC34*E34*10000*VLOOKUP(A34,[1]kcal!$A$2:$C$49,3,FALSE)/1000000000000</f>
        <v>0.78236622704276404</v>
      </c>
    </row>
    <row r="35" spans="1:34" x14ac:dyDescent="0.25">
      <c r="A35" s="171" t="s">
        <v>95</v>
      </c>
      <c r="B35" s="171" t="s">
        <v>225</v>
      </c>
      <c r="C35" s="171" t="str">
        <f>IFERROR(VLOOKUP(A35,'Kategorisering af kcal'!$J$2:$K$18,2,FALSE),"")</f>
        <v/>
      </c>
      <c r="D35" s="171">
        <f>IF(COUNTIFS('Resultater - Danmark'!$D$3:$D$504,'Produktion &amp; forbrug'!A35,'Resultater - Danmark'!$A$3:$A$504,"Til energi")+COUNTIFS('Resultater - Danmark'!$D$3:$D$504,'Produktion &amp; forbrug'!A35,'Resultater - Danmark'!$A$3:$A$504,"Biogasanlæg")&gt;0,1,0)</f>
        <v>1</v>
      </c>
      <c r="E35" s="171">
        <v>0</v>
      </c>
      <c r="F35" s="171">
        <f t="shared" si="0"/>
        <v>2019</v>
      </c>
      <c r="G35" s="94">
        <f>SUMIFS('Resultat-Produktion &amp; forbrug'!G$4:G$291,'Resultat-Produktion &amp; forbrug'!$A$4:$A$291,'Produktion &amp; forbrug'!$A35,'Resultat-Produktion &amp; forbrug'!$E$4:$E$291,'Produktion &amp; forbrug'!$F35)</f>
        <v>209867.13867694439</v>
      </c>
      <c r="H35" s="94">
        <f>SUMIFS('Resultat-Produktion &amp; forbrug'!H$4:H$291,'Resultat-Produktion &amp; forbrug'!$A$4:$A$291,'Produktion &amp; forbrug'!$A35,'Resultat-Produktion &amp; forbrug'!$E$4:$E$291,'Produktion &amp; forbrug'!$F35)</f>
        <v>0</v>
      </c>
      <c r="I35" s="94">
        <f>SUMIFS('Resultat-Produktion &amp; forbrug'!I$4:I$291,'Resultat-Produktion &amp; forbrug'!$A$4:$A$291,'Produktion &amp; forbrug'!$A35,'Resultat-Produktion &amp; forbrug'!$E$4:$E$291,'Produktion &amp; forbrug'!$F35)</f>
        <v>0</v>
      </c>
      <c r="J35" s="94">
        <f>SUMIFS('Resultat-Produktion &amp; forbrug'!J$4:J$291,'Resultat-Produktion &amp; forbrug'!$A$4:$A$291,'Produktion &amp; forbrug'!$A35,'Resultat-Produktion &amp; forbrug'!$E$4:$E$291,'Produktion &amp; forbrug'!$F35)</f>
        <v>0</v>
      </c>
      <c r="K35" s="94">
        <f>SUMIFS('Resultat-Produktion &amp; forbrug'!K$4:K$291,'Resultat-Produktion &amp; forbrug'!$A$4:$A$291,'Produktion &amp; forbrug'!$A35,'Resultat-Produktion &amp; forbrug'!$E$4:$E$291,'Produktion &amp; forbrug'!$F35)</f>
        <v>0</v>
      </c>
      <c r="L35" s="94">
        <f>SUMIFS('Resultat-Produktion &amp; forbrug'!L$4:L$291,'Resultat-Produktion &amp; forbrug'!$A$4:$A$291,'Produktion &amp; forbrug'!$A35,'Resultat-Produktion &amp; forbrug'!$E$4:$E$291,'Produktion &amp; forbrug'!$F35)</f>
        <v>0</v>
      </c>
      <c r="M35" s="94">
        <f>SUMIFS('Resultat-Produktion &amp; forbrug'!M$4:M$291,'Resultat-Produktion &amp; forbrug'!$A$4:$A$291,'Produktion &amp; forbrug'!$A35,'Resultat-Produktion &amp; forbrug'!$E$4:$E$291,'Produktion &amp; forbrug'!$F35)</f>
        <v>209867.13867694439</v>
      </c>
      <c r="N35" s="94">
        <f>SUMIFS('Resultat-Produktion &amp; forbrug'!N$4:N$291,'Resultat-Produktion &amp; forbrug'!$A$4:$A$291,'Produktion &amp; forbrug'!$A35,'Resultat-Produktion &amp; forbrug'!$E$4:$E$291,'Produktion &amp; forbrug'!$F35)</f>
        <v>0</v>
      </c>
      <c r="O35" s="179">
        <f t="shared" si="3"/>
        <v>0</v>
      </c>
      <c r="P35" s="94">
        <f t="shared" si="4"/>
        <v>0</v>
      </c>
      <c r="Q35" s="180">
        <f t="shared" si="5"/>
        <v>209867.13867694439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IF(A35&lt;&gt;"Biogas",IFERROR(VLOOKUP(A35,[1]Biogasudbytte!$A$2:$B$18,2,FALSE)*[1]Energiindhold!$C$10,0)*K35*IFERROR(VLOOKUP(A35,Biogasanlæg!$F$3:$G$8,2,FALSE),1)+IFERROR(VLOOKUP(A35,[1]Energiindhold!$A$2:$C$11,3,FALSE),0)*M35+IF(F35&lt;&gt;År1,R35,0),0)</f>
        <v>3.8615553516557761</v>
      </c>
      <c r="T35">
        <f>IFERROR(VLOOKUP(A35,[1]Biogasudbytte!$A$2:$B$18,2,FALSE)*[1]Energiindhold!$C$10,0)*K35*IFERROR(VLOOKUP(A35,Biogasanlæg!$F$3:$G$8,2,FALSE),1)</f>
        <v>0</v>
      </c>
      <c r="U35" s="170">
        <f t="shared" si="6"/>
        <v>3.8615553516557761</v>
      </c>
      <c r="V35" s="169">
        <f>P35*IFERROR(VLOOKUP(A35,[1]Tørstofindhold!A$2:B$24,2,FALSE),0)</f>
        <v>0</v>
      </c>
      <c r="W35">
        <f>IF(F35=År1,Q35,SUM(P35,Q35))*IFERROR(VLOOKUP(A35,[1]Tørstofindhold!A$2:B$24,2,FALSE),0)</f>
        <v>87094.862550931924</v>
      </c>
      <c r="X35">
        <f>K35*IFERROR(VLOOKUP(A35,[1]Tørstofindhold!A$2:B$24,2,FALSE),0)</f>
        <v>0</v>
      </c>
      <c r="Y35" s="170">
        <f t="shared" si="7"/>
        <v>87094.862550931924</v>
      </c>
      <c r="Z35">
        <f t="shared" si="1"/>
        <v>0</v>
      </c>
      <c r="AA35">
        <f t="shared" si="2"/>
        <v>0</v>
      </c>
      <c r="AC35" s="94">
        <f t="shared" si="8"/>
        <v>209867.13867694439</v>
      </c>
      <c r="AD35">
        <f>AC35*E35*10000*VLOOKUP(A35,[1]kcal!$A$2:$C$49,3,FALSE)/1000000000000</f>
        <v>0</v>
      </c>
    </row>
    <row r="36" spans="1:34" x14ac:dyDescent="0.25">
      <c r="A36" s="171" t="s">
        <v>306</v>
      </c>
      <c r="B36" s="171" t="s">
        <v>312</v>
      </c>
      <c r="C36" s="171" t="str">
        <f>IFERROR(VLOOKUP(A36,'Kategorisering af kcal'!$J$2:$K$18,2,FALSE),"")</f>
        <v/>
      </c>
      <c r="D36" s="171">
        <f>IF(COUNTIFS('Resultater - Danmark'!$D$3:$D$504,'Produktion &amp; forbrug'!A36,'Resultater - Danmark'!$A$3:$A$504,"Til energi")+COUNTIFS('Resultater - Danmark'!$D$3:$D$504,'Produktion &amp; forbrug'!A36,'Resultater - Danmark'!$A$3:$A$504,"Biogasanlæg")&gt;0,1,0)</f>
        <v>1</v>
      </c>
      <c r="E36" s="171">
        <v>0</v>
      </c>
      <c r="F36" s="171">
        <f t="shared" si="0"/>
        <v>2019</v>
      </c>
      <c r="G36" s="94">
        <f>SUMIFS('Resultat-Produktion &amp; forbrug'!G$4:G$291,'Resultat-Produktion &amp; forbrug'!$A$4:$A$291,'Produktion &amp; forbrug'!$A36,'Resultat-Produktion &amp; forbrug'!$E$4:$E$291,'Produktion &amp; forbrug'!$F36)</f>
        <v>0</v>
      </c>
      <c r="H36" s="94">
        <f>SUMIFS('Resultat-Produktion &amp; forbrug'!H$4:H$291,'Resultat-Produktion &amp; forbrug'!$A$4:$A$291,'Produktion &amp; forbrug'!$A36,'Resultat-Produktion &amp; forbrug'!$E$4:$E$291,'Produktion &amp; forbrug'!$F36)</f>
        <v>0</v>
      </c>
      <c r="I36" s="94">
        <f>SUMIFS('Resultat-Produktion &amp; forbrug'!I$4:I$291,'Resultat-Produktion &amp; forbrug'!$A$4:$A$291,'Produktion &amp; forbrug'!$A36,'Resultat-Produktion &amp; forbrug'!$E$4:$E$291,'Produktion &amp; forbrug'!$F36)</f>
        <v>0</v>
      </c>
      <c r="J36" s="94">
        <f>SUMIFS('Resultat-Produktion &amp; forbrug'!J$4:J$291,'Resultat-Produktion &amp; forbrug'!$A$4:$A$291,'Produktion &amp; forbrug'!$A36,'Resultat-Produktion &amp; forbrug'!$E$4:$E$291,'Produktion &amp; forbrug'!$F36)</f>
        <v>0</v>
      </c>
      <c r="K36" s="94">
        <f>SUMIFS('Resultat-Produktion &amp; forbrug'!K$4:K$291,'Resultat-Produktion &amp; forbrug'!$A$4:$A$291,'Produktion &amp; forbrug'!$A36,'Resultat-Produktion &amp; forbrug'!$E$4:$E$291,'Produktion &amp; forbrug'!$F36)</f>
        <v>0</v>
      </c>
      <c r="L36" s="94">
        <f>SUMIFS('Resultat-Produktion &amp; forbrug'!L$4:L$291,'Resultat-Produktion &amp; forbrug'!$A$4:$A$291,'Produktion &amp; forbrug'!$A36,'Resultat-Produktion &amp; forbrug'!$E$4:$E$291,'Produktion &amp; forbrug'!$F36)</f>
        <v>0</v>
      </c>
      <c r="M36" s="94">
        <f>SUMIFS('Resultat-Produktion &amp; forbrug'!M$4:M$291,'Resultat-Produktion &amp; forbrug'!$A$4:$A$291,'Produktion &amp; forbrug'!$A36,'Resultat-Produktion &amp; forbrug'!$E$4:$E$291,'Produktion &amp; forbrug'!$F36)</f>
        <v>0</v>
      </c>
      <c r="N36" s="94">
        <f>SUMIFS('Resultat-Produktion &amp; forbrug'!N$4:N$291,'Resultat-Produktion &amp; forbrug'!$A$4:$A$291,'Produktion &amp; forbrug'!$A36,'Resultat-Produktion &amp; forbrug'!$E$4:$E$291,'Produktion &amp; forbrug'!$F36)</f>
        <v>0</v>
      </c>
      <c r="O36" s="179">
        <f t="shared" si="3"/>
        <v>0</v>
      </c>
      <c r="P36" s="94">
        <f t="shared" si="4"/>
        <v>0</v>
      </c>
      <c r="Q36" s="180">
        <f t="shared" si="5"/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IF(A36&lt;&gt;"Biogas",IFERROR(VLOOKUP(A36,[1]Biogasudbytte!$A$2:$B$18,2,FALSE)*[1]Energiindhold!$C$10,0)*K36*IFERROR(VLOOKUP(A36,Biogasanlæg!$F$3:$G$8,2,FALSE),1)+IFERROR(VLOOKUP(A36,[1]Energiindhold!$A$2:$C$11,3,FALSE),0)*M36+IF(F36&lt;&gt;År1,R36,0),0)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si="6"/>
        <v>0</v>
      </c>
      <c r="V36" s="169">
        <f>P36*IFERROR(VLOOKUP(A36,[1]Tørstofindhold!A$2:B$24,2,FALSE),0)</f>
        <v>0</v>
      </c>
      <c r="W36">
        <f>IF(F36=År1,Q36,SUM(P36,Q36))*IFERROR(VLOOKUP(A36,[1]Tørstofindhold!A$2:B$24,2,FALSE),0)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si="7"/>
        <v>0</v>
      </c>
      <c r="Z36">
        <f t="shared" ref="Z36:Z67" si="9">IF(SUMIFS($O$4:$O$147,$A$4:$A$147,A36,$F$4:$F$147,F36)&lt;0,1,0)</f>
        <v>0</v>
      </c>
      <c r="AA36">
        <f t="shared" ref="AA36:AA67" si="10">IF(SUMIFS($O$4:$O$147,$A$4:$A$147,A36,$F$4:$F$147,F36)&gt;0,1,0)</f>
        <v>0</v>
      </c>
      <c r="AC36" s="94">
        <f t="shared" si="8"/>
        <v>0</v>
      </c>
      <c r="AD36">
        <f>AC36*E36*10000*VLOOKUP(A36,[1]kcal!$A$2:$C$49,3,FALSE)/1000000000000</f>
        <v>0</v>
      </c>
    </row>
    <row r="37" spans="1:34" x14ac:dyDescent="0.25">
      <c r="A37" s="171" t="s">
        <v>307</v>
      </c>
      <c r="B37" s="171" t="s">
        <v>312</v>
      </c>
      <c r="C37" s="171" t="str">
        <f>IFERROR(VLOOKUP(A37,'Kategorisering af kcal'!$J$2:$K$18,2,FALSE),"")</f>
        <v/>
      </c>
      <c r="D37" s="171">
        <f>IF(COUNTIFS('Resultater - Danmark'!$D$3:$D$504,'Produktion &amp; forbrug'!A37,'Resultater - Danmark'!$A$3:$A$504,"Til energi")+COUNTIFS('Resultater - Danmark'!$D$3:$D$504,'Produktion &amp; forbrug'!A37,'Resultater - Danmark'!$A$3:$A$504,"Biogasanlæg")&gt;0,1,0)</f>
        <v>1</v>
      </c>
      <c r="E37" s="171">
        <v>0</v>
      </c>
      <c r="F37" s="171">
        <f t="shared" si="0"/>
        <v>2019</v>
      </c>
      <c r="G37" s="94">
        <f>SUMIFS('Resultat-Produktion &amp; forbrug'!G$4:G$291,'Resultat-Produktion &amp; forbrug'!$A$4:$A$291,'Produktion &amp; forbrug'!$A37,'Resultat-Produktion &amp; forbrug'!$E$4:$E$291,'Produktion &amp; forbrug'!$F37)</f>
        <v>0</v>
      </c>
      <c r="H37" s="94">
        <f>SUMIFS('Resultat-Produktion &amp; forbrug'!H$4:H$291,'Resultat-Produktion &amp; forbrug'!$A$4:$A$291,'Produktion &amp; forbrug'!$A37,'Resultat-Produktion &amp; forbrug'!$E$4:$E$291,'Produktion &amp; forbrug'!$F37)</f>
        <v>0</v>
      </c>
      <c r="I37" s="94">
        <f>SUMIFS('Resultat-Produktion &amp; forbrug'!I$4:I$291,'Resultat-Produktion &amp; forbrug'!$A$4:$A$291,'Produktion &amp; forbrug'!$A37,'Resultat-Produktion &amp; forbrug'!$E$4:$E$291,'Produktion &amp; forbrug'!$F37)</f>
        <v>0</v>
      </c>
      <c r="J37" s="94">
        <f>SUMIFS('Resultat-Produktion &amp; forbrug'!J$4:J$291,'Resultat-Produktion &amp; forbrug'!$A$4:$A$291,'Produktion &amp; forbrug'!$A37,'Resultat-Produktion &amp; forbrug'!$E$4:$E$291,'Produktion &amp; forbrug'!$F37)</f>
        <v>0</v>
      </c>
      <c r="K37" s="94">
        <f>SUMIFS('Resultat-Produktion &amp; forbrug'!K$4:K$291,'Resultat-Produktion &amp; forbrug'!$A$4:$A$291,'Produktion &amp; forbrug'!$A37,'Resultat-Produktion &amp; forbrug'!$E$4:$E$291,'Produktion &amp; forbrug'!$F37)</f>
        <v>0</v>
      </c>
      <c r="L37" s="94">
        <f>SUMIFS('Resultat-Produktion &amp; forbrug'!L$4:L$291,'Resultat-Produktion &amp; forbrug'!$A$4:$A$291,'Produktion &amp; forbrug'!$A37,'Resultat-Produktion &amp; forbrug'!$E$4:$E$291,'Produktion &amp; forbrug'!$F37)</f>
        <v>0</v>
      </c>
      <c r="M37" s="94">
        <f>SUMIFS('Resultat-Produktion &amp; forbrug'!M$4:M$291,'Resultat-Produktion &amp; forbrug'!$A$4:$A$291,'Produktion &amp; forbrug'!$A37,'Resultat-Produktion &amp; forbrug'!$E$4:$E$291,'Produktion &amp; forbrug'!$F37)</f>
        <v>0</v>
      </c>
      <c r="N37" s="94">
        <f>SUMIFS('Resultat-Produktion &amp; forbrug'!N$4:N$291,'Resultat-Produktion &amp; forbrug'!$A$4:$A$291,'Produktion &amp; forbrug'!$A37,'Resultat-Produktion &amp; forbrug'!$E$4:$E$291,'Produktion &amp; forbrug'!$F37)</f>
        <v>0</v>
      </c>
      <c r="O37" s="179">
        <f t="shared" si="3"/>
        <v>0</v>
      </c>
      <c r="P37" s="94">
        <f t="shared" si="4"/>
        <v>0</v>
      </c>
      <c r="Q37" s="180">
        <f t="shared" si="5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IF(A37&lt;&gt;"Biogas",IFERROR(VLOOKUP(A37,[1]Biogasudbytte!$A$2:$B$18,2,FALSE)*[1]Energiindhold!$C$10,0)*K37*IFERROR(VLOOKUP(A37,Biogasanlæg!$F$3:$G$8,2,FALSE),1)+IFERROR(VLOOKUP(A37,[1]Energiindhold!$A$2:$C$11,3,FALSE),0)*M37+IF(F37&lt;&gt;År1,R37,0),0)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6"/>
        <v>0</v>
      </c>
      <c r="V37" s="169">
        <f>P37*IFERROR(VLOOKUP(A37,[1]Tørstofindhold!A$2:B$24,2,FALSE),0)</f>
        <v>0</v>
      </c>
      <c r="W37">
        <f>IF(F37=År1,Q37,SUM(P37,Q37))*IFERROR(VLOOKUP(A37,[1]Tørstofindhold!A$2:B$24,2,FALSE),0)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si="7"/>
        <v>0</v>
      </c>
      <c r="Z37">
        <f t="shared" si="9"/>
        <v>0</v>
      </c>
      <c r="AA37">
        <f t="shared" si="10"/>
        <v>0</v>
      </c>
      <c r="AC37" s="94">
        <f t="shared" si="8"/>
        <v>0</v>
      </c>
      <c r="AD37">
        <f>AC37*E37*10000*VLOOKUP(A37,[1]kcal!$A$2:$C$49,3,FALSE)/1000000000000</f>
        <v>0</v>
      </c>
    </row>
    <row r="38" spans="1:34" x14ac:dyDescent="0.25">
      <c r="A38" s="171" t="s">
        <v>117</v>
      </c>
      <c r="B38" s="171"/>
      <c r="C38" s="171" t="str">
        <f>IFERROR(VLOOKUP(A38,'Kategorisering af kcal'!$J$2:$K$18,2,FALSE),"")</f>
        <v/>
      </c>
      <c r="D38" s="171">
        <f>IF(COUNTIFS('Resultater - Danmark'!$D$3:$D$504,'Produktion &amp; forbrug'!A38,'Resultater - Danmark'!$A$3:$A$504,"Til energi")+COUNTIFS('Resultater - Danmark'!$D$3:$D$504,'Produktion &amp; forbrug'!A38,'Resultater - Danmark'!$A$3:$A$504,"Biogasanlæg")&gt;0,1,0)</f>
        <v>0</v>
      </c>
      <c r="E38" s="171">
        <v>0</v>
      </c>
      <c r="F38" s="171">
        <f t="shared" si="0"/>
        <v>2019</v>
      </c>
      <c r="G38" s="94">
        <f>SUMIFS('Resultat-Produktion &amp; forbrug'!G$4:G$291,'Resultat-Produktion &amp; forbrug'!$A$4:$A$291,'Produktion &amp; forbrug'!$A38,'Resultat-Produktion &amp; forbrug'!$E$4:$E$291,'Produktion &amp; forbrug'!$F38)</f>
        <v>5269000</v>
      </c>
      <c r="H38" s="94">
        <f>SUMIFS('Resultat-Produktion &amp; forbrug'!H$4:H$291,'Resultat-Produktion &amp; forbrug'!$A$4:$A$291,'Produktion &amp; forbrug'!$A38,'Resultat-Produktion &amp; forbrug'!$E$4:$E$291,'Produktion &amp; forbrug'!$F38)</f>
        <v>0</v>
      </c>
      <c r="I38" s="94">
        <f>SUMIFS('Resultat-Produktion &amp; forbrug'!I$4:I$291,'Resultat-Produktion &amp; forbrug'!$A$4:$A$291,'Produktion &amp; forbrug'!$A38,'Resultat-Produktion &amp; forbrug'!$E$4:$E$291,'Produktion &amp; forbrug'!$F38)</f>
        <v>0</v>
      </c>
      <c r="J38" s="94">
        <f>SUMIFS('Resultat-Produktion &amp; forbrug'!J$4:J$291,'Resultat-Produktion &amp; forbrug'!$A$4:$A$291,'Produktion &amp; forbrug'!$A38,'Resultat-Produktion &amp; forbrug'!$E$4:$E$291,'Produktion &amp; forbrug'!$F38)</f>
        <v>0</v>
      </c>
      <c r="K38" s="94">
        <f>SUMIFS('Resultat-Produktion &amp; forbrug'!K$4:K$291,'Resultat-Produktion &amp; forbrug'!$A$4:$A$291,'Produktion &amp; forbrug'!$A38,'Resultat-Produktion &amp; forbrug'!$E$4:$E$291,'Produktion &amp; forbrug'!$F38)</f>
        <v>0</v>
      </c>
      <c r="L38" s="94">
        <f>SUMIFS('Resultat-Produktion &amp; forbrug'!L$4:L$291,'Resultat-Produktion &amp; forbrug'!$A$4:$A$291,'Produktion &amp; forbrug'!$A38,'Resultat-Produktion &amp; forbrug'!$E$4:$E$291,'Produktion &amp; forbrug'!$F38)</f>
        <v>0</v>
      </c>
      <c r="M38" s="94">
        <f>SUMIFS('Resultat-Produktion &amp; forbrug'!M$4:M$291,'Resultat-Produktion &amp; forbrug'!$A$4:$A$291,'Produktion &amp; forbrug'!$A38,'Resultat-Produktion &amp; forbrug'!$E$4:$E$291,'Produktion &amp; forbrug'!$F38)</f>
        <v>0</v>
      </c>
      <c r="N38" s="94">
        <f>SUMIFS('Resultat-Produktion &amp; forbrug'!N$4:N$291,'Resultat-Produktion &amp; forbrug'!$A$4:$A$291,'Produktion &amp; forbrug'!$A38,'Resultat-Produktion &amp; forbrug'!$E$4:$E$291,'Produktion &amp; forbrug'!$F38)</f>
        <v>0</v>
      </c>
      <c r="O38" s="179">
        <f t="shared" si="3"/>
        <v>5269000</v>
      </c>
      <c r="P38" s="94">
        <f t="shared" si="4"/>
        <v>0</v>
      </c>
      <c r="Q38" s="180">
        <f t="shared" si="5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IF(A38&lt;&gt;"Biogas",IFERROR(VLOOKUP(A38,[1]Biogasudbytte!$A$2:$B$18,2,FALSE)*[1]Energiindhold!$C$10,0)*K38*IFERROR(VLOOKUP(A38,Biogasanlæg!$F$3:$G$8,2,FALSE),1)+IFERROR(VLOOKUP(A38,[1]Energiindhold!$A$2:$C$11,3,FALSE),0)*M38+IF(F38&lt;&gt;År1,R38,0),0)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6"/>
        <v>0</v>
      </c>
      <c r="V38" s="169">
        <f>P38*IFERROR(VLOOKUP(A38,[1]Tørstofindhold!A$2:B$24,2,FALSE),0)</f>
        <v>0</v>
      </c>
      <c r="W38">
        <f>IF(F38=År1,Q38,SUM(P38,Q38))*IFERROR(VLOOKUP(A38,[1]Tørstofindhold!A$2:B$24,2,FALSE),0)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7"/>
        <v>0</v>
      </c>
      <c r="Z38">
        <f t="shared" si="9"/>
        <v>0</v>
      </c>
      <c r="AA38">
        <f t="shared" si="10"/>
        <v>1</v>
      </c>
      <c r="AC38" s="94">
        <f t="shared" si="8"/>
        <v>5269000</v>
      </c>
      <c r="AD38">
        <f>AC38*E38*10000*VLOOKUP(A38,[1]kcal!$A$2:$C$49,3,FALSE)/1000000000000</f>
        <v>0</v>
      </c>
    </row>
    <row r="39" spans="1:34" x14ac:dyDescent="0.25">
      <c r="A39" t="s">
        <v>50</v>
      </c>
      <c r="B39" s="171"/>
      <c r="C39" s="171" t="str">
        <f>IFERROR(VLOOKUP(A39,'Kategorisering af kcal'!$J$2:$K$18,2,FALSE),"")</f>
        <v/>
      </c>
      <c r="D39" s="171">
        <f>IF(COUNTIFS('Resultater - Danmark'!$D$3:$D$504,'Produktion &amp; forbrug'!A39,'Resultater - Danmark'!$A$3:$A$504,"Til energi")+COUNTIFS('Resultater - Danmark'!$D$3:$D$504,'Produktion &amp; forbrug'!A39,'Resultater - Danmark'!$A$3:$A$504,"Biogasanlæg")&gt;0,1,0)</f>
        <v>0</v>
      </c>
      <c r="E39" s="171">
        <v>0</v>
      </c>
      <c r="F39" s="171">
        <f t="shared" si="0"/>
        <v>2019</v>
      </c>
      <c r="G39" s="94">
        <f>SUMIFS('Resultat-Produktion &amp; forbrug'!G$4:G$291,'Resultat-Produktion &amp; forbrug'!$A$4:$A$291,'Produktion &amp; forbrug'!$A39,'Resultat-Produktion &amp; forbrug'!$E$4:$E$291,'Produktion &amp; forbrug'!$F39)</f>
        <v>678325.22851124685</v>
      </c>
      <c r="H39" s="94">
        <f>SUMIFS('Resultat-Produktion &amp; forbrug'!H$4:H$291,'Resultat-Produktion &amp; forbrug'!$A$4:$A$291,'Produktion &amp; forbrug'!$A39,'Resultat-Produktion &amp; forbrug'!$E$4:$E$291,'Produktion &amp; forbrug'!$F39)</f>
        <v>0</v>
      </c>
      <c r="I39" s="94">
        <f>SUMIFS('Resultat-Produktion &amp; forbrug'!I$4:I$291,'Resultat-Produktion &amp; forbrug'!$A$4:$A$291,'Produktion &amp; forbrug'!$A39,'Resultat-Produktion &amp; forbrug'!$E$4:$E$291,'Produktion &amp; forbrug'!$F39)</f>
        <v>0</v>
      </c>
      <c r="J39" s="94">
        <f>SUMIFS('Resultat-Produktion &amp; forbrug'!J$4:J$291,'Resultat-Produktion &amp; forbrug'!$A$4:$A$291,'Produktion &amp; forbrug'!$A39,'Resultat-Produktion &amp; forbrug'!$E$4:$E$291,'Produktion &amp; forbrug'!$F39)</f>
        <v>0</v>
      </c>
      <c r="K39" s="94">
        <f>SUMIFS('Resultat-Produktion &amp; forbrug'!K$4:K$291,'Resultat-Produktion &amp; forbrug'!$A$4:$A$291,'Produktion &amp; forbrug'!$A39,'Resultat-Produktion &amp; forbrug'!$E$4:$E$291,'Produktion &amp; forbrug'!$F39)</f>
        <v>0</v>
      </c>
      <c r="L39" s="94">
        <f>SUMIFS('Resultat-Produktion &amp; forbrug'!L$4:L$291,'Resultat-Produktion &amp; forbrug'!$A$4:$A$291,'Produktion &amp; forbrug'!$A39,'Resultat-Produktion &amp; forbrug'!$E$4:$E$291,'Produktion &amp; forbrug'!$F39)</f>
        <v>0</v>
      </c>
      <c r="M39" s="94">
        <f>SUMIFS('Resultat-Produktion &amp; forbrug'!M$4:M$291,'Resultat-Produktion &amp; forbrug'!$A$4:$A$291,'Produktion &amp; forbrug'!$A39,'Resultat-Produktion &amp; forbrug'!$E$4:$E$291,'Produktion &amp; forbrug'!$F39)</f>
        <v>0</v>
      </c>
      <c r="N39" s="94">
        <f>SUMIFS('Resultat-Produktion &amp; forbrug'!N$4:N$291,'Resultat-Produktion &amp; forbrug'!$A$4:$A$291,'Produktion &amp; forbrug'!$A39,'Resultat-Produktion &amp; forbrug'!$E$4:$E$291,'Produktion &amp; forbrug'!$F39)</f>
        <v>678325.22851124685</v>
      </c>
      <c r="O39" s="179">
        <f t="shared" si="3"/>
        <v>0</v>
      </c>
      <c r="P39" s="94">
        <f t="shared" si="4"/>
        <v>0</v>
      </c>
      <c r="Q39" s="180">
        <f t="shared" si="5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IF(A39&lt;&gt;"Biogas",IFERROR(VLOOKUP(A39,[1]Biogasudbytte!$A$2:$B$18,2,FALSE)*[1]Energiindhold!$C$10,0)*K39*IFERROR(VLOOKUP(A39,Biogasanlæg!$F$3:$G$8,2,FALSE),1)+IFERROR(VLOOKUP(A39,[1]Energiindhold!$A$2:$C$11,3,FALSE),0)*M39+IF(F39&lt;&gt;År1,R39,0),0)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6"/>
        <v>0</v>
      </c>
      <c r="V39" s="169">
        <f>P39*IFERROR(VLOOKUP(A39,[1]Tørstofindhold!A$2:B$24,2,FALSE),0)</f>
        <v>0</v>
      </c>
      <c r="W39">
        <f>IF(F39=År1,Q39,SUM(P39,Q39))*IFERROR(VLOOKUP(A39,[1]Tørstofindhold!A$2:B$24,2,FALSE),0)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7"/>
        <v>0</v>
      </c>
      <c r="Z39">
        <f t="shared" si="9"/>
        <v>0</v>
      </c>
      <c r="AA39">
        <f t="shared" si="10"/>
        <v>0</v>
      </c>
      <c r="AC39" s="94">
        <f t="shared" si="8"/>
        <v>678325.22851124685</v>
      </c>
      <c r="AD39">
        <f>AC39*E39*10000*VLOOKUP(A39,[1]kcal!$A$2:$C$49,3,FALSE)/1000000000000</f>
        <v>0</v>
      </c>
    </row>
    <row r="40" spans="1:34" x14ac:dyDescent="0.25">
      <c r="A40" t="s">
        <v>238</v>
      </c>
      <c r="B40" s="171"/>
      <c r="C40" s="171" t="str">
        <f>IFERROR(VLOOKUP(A40,'Kategorisering af kcal'!$J$2:$K$18,2,FALSE),"")</f>
        <v/>
      </c>
      <c r="D40" s="171">
        <f>IF(COUNTIFS('Resultater - Danmark'!$D$3:$D$504,'Produktion &amp; forbrug'!A40,'Resultater - Danmark'!$A$3:$A$504,"Til energi")+COUNTIFS('Resultater - Danmark'!$D$3:$D$504,'Produktion &amp; forbrug'!A40,'Resultater - Danmark'!$A$3:$A$504,"Biogasanlæg")&gt;0,1,0)</f>
        <v>0</v>
      </c>
      <c r="E40" s="171">
        <v>0</v>
      </c>
      <c r="F40" s="171">
        <f t="shared" si="0"/>
        <v>2019</v>
      </c>
      <c r="G40" s="94">
        <f>SUMIFS('Resultat-Produktion &amp; forbrug'!G$4:G$291,'Resultat-Produktion &amp; forbrug'!$A$4:$A$291,'Produktion &amp; forbrug'!$A40,'Resultat-Produktion &amp; forbrug'!$E$4:$E$291,'Produktion &amp; forbrug'!$F40)</f>
        <v>339162.61425562343</v>
      </c>
      <c r="H40" s="94">
        <f>SUMIFS('Resultat-Produktion &amp; forbrug'!H$4:H$291,'Resultat-Produktion &amp; forbrug'!$A$4:$A$291,'Produktion &amp; forbrug'!$A40,'Resultat-Produktion &amp; forbrug'!$E$4:$E$291,'Produktion &amp; forbrug'!$F40)</f>
        <v>240377.87559326066</v>
      </c>
      <c r="I40" s="94">
        <f>SUMIFS('Resultat-Produktion &amp; forbrug'!I$4:I$291,'Resultat-Produktion &amp; forbrug'!$A$4:$A$291,'Produktion &amp; forbrug'!$A40,'Resultat-Produktion &amp; forbrug'!$E$4:$E$291,'Produktion &amp; forbrug'!$F40)</f>
        <v>0</v>
      </c>
      <c r="J40" s="94">
        <f>SUMIFS('Resultat-Produktion &amp; forbrug'!J$4:J$291,'Resultat-Produktion &amp; forbrug'!$A$4:$A$291,'Produktion &amp; forbrug'!$A40,'Resultat-Produktion &amp; forbrug'!$E$4:$E$291,'Produktion &amp; forbrug'!$F40)</f>
        <v>0</v>
      </c>
      <c r="K40" s="94">
        <f>SUMIFS('Resultat-Produktion &amp; forbrug'!K$4:K$291,'Resultat-Produktion &amp; forbrug'!$A$4:$A$291,'Produktion &amp; forbrug'!$A40,'Resultat-Produktion &amp; forbrug'!$E$4:$E$291,'Produktion &amp; forbrug'!$F40)</f>
        <v>0</v>
      </c>
      <c r="L40" s="94">
        <f>SUMIFS('Resultat-Produktion &amp; forbrug'!L$4:L$291,'Resultat-Produktion &amp; forbrug'!$A$4:$A$291,'Produktion &amp; forbrug'!$A40,'Resultat-Produktion &amp; forbrug'!$E$4:$E$291,'Produktion &amp; forbrug'!$F40)</f>
        <v>0</v>
      </c>
      <c r="M40" s="94">
        <f>SUMIFS('Resultat-Produktion &amp; forbrug'!M$4:M$291,'Resultat-Produktion &amp; forbrug'!$A$4:$A$291,'Produktion &amp; forbrug'!$A40,'Resultat-Produktion &amp; forbrug'!$E$4:$E$291,'Produktion &amp; forbrug'!$F40)</f>
        <v>0</v>
      </c>
      <c r="N40" s="94">
        <f>SUMIFS('Resultat-Produktion &amp; forbrug'!N$4:N$291,'Resultat-Produktion &amp; forbrug'!$A$4:$A$291,'Produktion &amp; forbrug'!$A40,'Resultat-Produktion &amp; forbrug'!$E$4:$E$291,'Produktion &amp; forbrug'!$F40)</f>
        <v>0</v>
      </c>
      <c r="O40" s="179">
        <f t="shared" si="3"/>
        <v>98784.738662362768</v>
      </c>
      <c r="P40" s="94">
        <f t="shared" si="4"/>
        <v>0</v>
      </c>
      <c r="Q40" s="180">
        <f t="shared" si="5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IF(A40&lt;&gt;"Biogas",IFERROR(VLOOKUP(A40,[1]Biogasudbytte!$A$2:$B$18,2,FALSE)*[1]Energiindhold!$C$10,0)*K40*IFERROR(VLOOKUP(A40,Biogasanlæg!$F$3:$G$8,2,FALSE),1)+IFERROR(VLOOKUP(A40,[1]Energiindhold!$A$2:$C$11,3,FALSE),0)*M40+IF(F40&lt;&gt;År1,R40,0),0)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6"/>
        <v>0</v>
      </c>
      <c r="V40" s="169">
        <f>P40*IFERROR(VLOOKUP(A40,[1]Tørstofindhold!A$2:B$24,2,FALSE),0)</f>
        <v>0</v>
      </c>
      <c r="W40">
        <f>IF(F40=År1,Q40,SUM(P40,Q40))*IFERROR(VLOOKUP(A40,[1]Tørstofindhold!A$2:B$24,2,FALSE),0)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7"/>
        <v>0</v>
      </c>
      <c r="Z40">
        <f t="shared" si="9"/>
        <v>0</v>
      </c>
      <c r="AA40">
        <f t="shared" si="10"/>
        <v>1</v>
      </c>
      <c r="AC40" s="94">
        <f t="shared" si="8"/>
        <v>98784.738662362768</v>
      </c>
      <c r="AD40">
        <f>AC40*E40*10000*VLOOKUP(A40,[1]kcal!$A$2:$C$49,3,FALSE)/1000000000000</f>
        <v>0</v>
      </c>
    </row>
    <row r="41" spans="1:34" x14ac:dyDescent="0.25">
      <c r="A41" t="s">
        <v>231</v>
      </c>
      <c r="B41" s="171" t="s">
        <v>231</v>
      </c>
      <c r="C41" s="171" t="str">
        <f>IFERROR(VLOOKUP(A41,'Kategorisering af kcal'!$J$2:$K$18,2,FALSE),"")</f>
        <v>Olieafgrøder</v>
      </c>
      <c r="D41" s="171">
        <f>IF(COUNTIFS('Resultater - Danmark'!$D$3:$D$504,'Produktion &amp; forbrug'!A41,'Resultater - Danmark'!$A$3:$A$504,"Til energi")+COUNTIFS('Resultater - Danmark'!$D$3:$D$504,'Produktion &amp; forbrug'!A41,'Resultater - Danmark'!$A$3:$A$504,"Biogasanlæg")&gt;0,1,0)</f>
        <v>1</v>
      </c>
      <c r="E41" s="171">
        <v>1</v>
      </c>
      <c r="F41" s="171">
        <f t="shared" si="0"/>
        <v>2019</v>
      </c>
      <c r="G41" s="94">
        <f>SUMIFS('Resultat-Produktion &amp; forbrug'!G$4:G$291,'Resultat-Produktion &amp; forbrug'!$A$4:$A$291,'Produktion &amp; forbrug'!$A41,'Resultat-Produktion &amp; forbrug'!$E$4:$E$291,'Produktion &amp; forbrug'!$F41)</f>
        <v>217064.073123599</v>
      </c>
      <c r="H41" s="94">
        <f>SUMIFS('Resultat-Produktion &amp; forbrug'!H$4:H$291,'Resultat-Produktion &amp; forbrug'!$A$4:$A$291,'Produktion &amp; forbrug'!$A41,'Resultat-Produktion &amp; forbrug'!$E$4:$E$291,'Produktion &amp; forbrug'!$F41)</f>
        <v>0</v>
      </c>
      <c r="I41" s="94">
        <f>SUMIFS('Resultat-Produktion &amp; forbrug'!I$4:I$291,'Resultat-Produktion &amp; forbrug'!$A$4:$A$291,'Produktion &amp; forbrug'!$A41,'Resultat-Produktion &amp; forbrug'!$E$4:$E$291,'Produktion &amp; forbrug'!$F41)</f>
        <v>0</v>
      </c>
      <c r="J41" s="94">
        <f>SUMIFS('Resultat-Produktion &amp; forbrug'!J$4:J$291,'Resultat-Produktion &amp; forbrug'!$A$4:$A$291,'Produktion &amp; forbrug'!$A41,'Resultat-Produktion &amp; forbrug'!$E$4:$E$291,'Produktion &amp; forbrug'!$F41)</f>
        <v>0</v>
      </c>
      <c r="K41" s="94">
        <f>SUMIFS('Resultat-Produktion &amp; forbrug'!K$4:K$291,'Resultat-Produktion &amp; forbrug'!$A$4:$A$291,'Produktion &amp; forbrug'!$A41,'Resultat-Produktion &amp; forbrug'!$E$4:$E$291,'Produktion &amp; forbrug'!$F41)</f>
        <v>0</v>
      </c>
      <c r="L41" s="94">
        <f>SUMIFS('Resultat-Produktion &amp; forbrug'!L$4:L$291,'Resultat-Produktion &amp; forbrug'!$A$4:$A$291,'Produktion &amp; forbrug'!$A41,'Resultat-Produktion &amp; forbrug'!$E$4:$E$291,'Produktion &amp; forbrug'!$F41)</f>
        <v>0</v>
      </c>
      <c r="M41" s="94">
        <f>SUMIFS('Resultat-Produktion &amp; forbrug'!M$4:M$291,'Resultat-Produktion &amp; forbrug'!$A$4:$A$291,'Produktion &amp; forbrug'!$A41,'Resultat-Produktion &amp; forbrug'!$E$4:$E$291,'Produktion &amp; forbrug'!$F41)</f>
        <v>112873.31802427149</v>
      </c>
      <c r="N41" s="94">
        <f>SUMIFS('Resultat-Produktion &amp; forbrug'!N$4:N$291,'Resultat-Produktion &amp; forbrug'!$A$4:$A$291,'Produktion &amp; forbrug'!$A41,'Resultat-Produktion &amp; forbrug'!$E$4:$E$291,'Produktion &amp; forbrug'!$F41)</f>
        <v>104190.75509932752</v>
      </c>
      <c r="O41" s="179">
        <f t="shared" si="3"/>
        <v>0</v>
      </c>
      <c r="P41" s="94">
        <f t="shared" si="4"/>
        <v>0</v>
      </c>
      <c r="Q41" s="180">
        <f t="shared" si="5"/>
        <v>112873.31802427149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IF(A41&lt;&gt;"Biogas",IFERROR(VLOOKUP(A41,[1]Biogasudbytte!$A$2:$B$18,2,FALSE)*[1]Energiindhold!$C$10,0)*K41*IFERROR(VLOOKUP(A41,Biogasanlæg!$F$3:$G$8,2,FALSE),1)+IFERROR(VLOOKUP(A41,[1]Energiindhold!$A$2:$C$11,3,FALSE),0)*M41+IF(F41&lt;&gt;År1,R41,0),0)</f>
        <v>3.9505661308495017</v>
      </c>
      <c r="T41">
        <f>IFERROR(VLOOKUP(A41,[1]Biogasudbytte!$A$2:$B$18,2,FALSE)*[1]Energiindhold!$C$10,0)*K41*IFERROR(VLOOKUP(A41,Biogasanlæg!$F$3:$G$8,2,FALSE),1)</f>
        <v>0</v>
      </c>
      <c r="U41" s="170">
        <f t="shared" si="6"/>
        <v>3.9505661308495017</v>
      </c>
      <c r="V41" s="169">
        <f>P41*IFERROR(VLOOKUP(A41,[1]Tørstofindhold!A$2:B$24,2,FALSE),0)</f>
        <v>0</v>
      </c>
      <c r="W41">
        <f>IF(F41=År1,Q41,SUM(P41,Q41))*IFERROR(VLOOKUP(A41,[1]Tørstofindhold!A$2:B$24,2,FALSE),0)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7"/>
        <v>0</v>
      </c>
      <c r="Z41">
        <f t="shared" si="9"/>
        <v>0</v>
      </c>
      <c r="AA41">
        <f t="shared" si="10"/>
        <v>0</v>
      </c>
      <c r="AC41" s="94">
        <f t="shared" si="8"/>
        <v>217064.073123599</v>
      </c>
      <c r="AD41">
        <f>AC41*E41*10000*VLOOKUP(A41,[1]kcal!$A$2:$C$49,3,FALSE)/1000000000000</f>
        <v>1.953576658112391</v>
      </c>
    </row>
    <row r="42" spans="1:34" x14ac:dyDescent="0.25">
      <c r="A42" t="s">
        <v>52</v>
      </c>
      <c r="B42" s="171" t="s">
        <v>224</v>
      </c>
      <c r="C42" s="171" t="str">
        <f>IFERROR(VLOOKUP(A42,'Kategorisering af kcal'!$J$2:$K$18,2,FALSE),"")</f>
        <v>Roer</v>
      </c>
      <c r="D42" s="171">
        <f>IF(COUNTIFS('Resultater - Danmark'!$D$3:$D$504,'Produktion &amp; forbrug'!A42,'Resultater - Danmark'!$A$3:$A$504,"Til energi")+COUNTIFS('Resultater - Danmark'!$D$3:$D$504,'Produktion &amp; forbrug'!A42,'Resultater - Danmark'!$A$3:$A$504,"Biogasanlæg")&gt;0,1,0)</f>
        <v>1</v>
      </c>
      <c r="E42" s="171">
        <v>1</v>
      </c>
      <c r="F42" s="171">
        <f t="shared" si="0"/>
        <v>2019</v>
      </c>
      <c r="G42" s="94">
        <f>SUMIFS('Resultat-Produktion &amp; forbrug'!G$4:G$291,'Resultat-Produktion &amp; forbrug'!$A$4:$A$291,'Produktion &amp; forbrug'!$A42,'Resultat-Produktion &amp; forbrug'!$E$4:$E$291,'Produktion &amp; forbrug'!$F42)</f>
        <v>2610834.0419031042</v>
      </c>
      <c r="H42" s="94">
        <f>SUMIFS('Resultat-Produktion &amp; forbrug'!H$4:H$291,'Resultat-Produktion &amp; forbrug'!$A$4:$A$291,'Produktion &amp; forbrug'!$A42,'Resultat-Produktion &amp; forbrug'!$E$4:$E$291,'Produktion &amp; forbrug'!$F42)</f>
        <v>944413.49448565592</v>
      </c>
      <c r="I42" s="94">
        <f>SUMIFS('Resultat-Produktion &amp; forbrug'!I$4:I$291,'Resultat-Produktion &amp; forbrug'!$A$4:$A$291,'Produktion &amp; forbrug'!$A42,'Resultat-Produktion &amp; forbrug'!$E$4:$E$291,'Produktion &amp; forbrug'!$F42)</f>
        <v>0</v>
      </c>
      <c r="J42" s="94">
        <f>SUMIFS('Resultat-Produktion &amp; forbrug'!J$4:J$291,'Resultat-Produktion &amp; forbrug'!$A$4:$A$291,'Produktion &amp; forbrug'!$A42,'Resultat-Produktion &amp; forbrug'!$E$4:$E$291,'Produktion &amp; forbrug'!$F42)</f>
        <v>0</v>
      </c>
      <c r="K42" s="94">
        <f>SUMIFS('Resultat-Produktion &amp; forbrug'!K$4:K$291,'Resultat-Produktion &amp; forbrug'!$A$4:$A$291,'Produktion &amp; forbrug'!$A42,'Resultat-Produktion &amp; forbrug'!$E$4:$E$291,'Produktion &amp; forbrug'!$F42)</f>
        <v>28644.999999999993</v>
      </c>
      <c r="L42" s="94">
        <f>SUMIFS('Resultat-Produktion &amp; forbrug'!L$4:L$291,'Resultat-Produktion &amp; forbrug'!$A$4:$A$291,'Produktion &amp; forbrug'!$A42,'Resultat-Produktion &amp; forbrug'!$E$4:$E$291,'Produktion &amp; forbrug'!$F42)</f>
        <v>0</v>
      </c>
      <c r="M42" s="94">
        <f>SUMIFS('Resultat-Produktion &amp; forbrug'!M$4:M$291,'Resultat-Produktion &amp; forbrug'!$A$4:$A$291,'Produktion &amp; forbrug'!$A42,'Resultat-Produktion &amp; forbrug'!$E$4:$E$291,'Produktion &amp; forbrug'!$F42)</f>
        <v>0</v>
      </c>
      <c r="N42" s="94">
        <f>SUMIFS('Resultat-Produktion &amp; forbrug'!N$4:N$291,'Resultat-Produktion &amp; forbrug'!$A$4:$A$291,'Produktion &amp; forbrug'!$A42,'Resultat-Produktion &amp; forbrug'!$E$4:$E$291,'Produktion &amp; forbrug'!$F42)</f>
        <v>0</v>
      </c>
      <c r="O42" s="179">
        <f t="shared" si="3"/>
        <v>1637775.5474174484</v>
      </c>
      <c r="P42" s="94">
        <f t="shared" si="4"/>
        <v>1637775.5474174484</v>
      </c>
      <c r="Q42" s="180">
        <f t="shared" si="5"/>
        <v>28644.999999999993</v>
      </c>
      <c r="R42">
        <f>IFERROR(VLOOKUP(A42,[1]Energiindhold!$A$2:$C$11,3,FALSE),IFERROR(VLOOKUP(A42,[1]Biogasudbytte!$A$2:$B$18,2,FALSE)*[1]Energiindhold!$C$10,0))*P42</f>
        <v>4.4449883467128517</v>
      </c>
      <c r="S42">
        <f>IF(A42&lt;&gt;"Biogas",IFERROR(VLOOKUP(A42,[1]Biogasudbytte!$A$2:$B$18,2,FALSE)*[1]Energiindhold!$C$10,0)*K42*IFERROR(VLOOKUP(A42,Biogasanlæg!$F$3:$G$8,2,FALSE),1)+IFERROR(VLOOKUP(A42,[1]Energiindhold!$A$2:$C$11,3,FALSE),0)*M42+IF(F42&lt;&gt;År1,R42,0),0)</f>
        <v>7.7743675799999981E-2</v>
      </c>
      <c r="T42">
        <f>IFERROR(VLOOKUP(A42,[1]Biogasudbytte!$A$2:$B$18,2,FALSE)*[1]Energiindhold!$C$10,0)*K42*IFERROR(VLOOKUP(A42,Biogasanlæg!$F$3:$G$8,2,FALSE),1)</f>
        <v>7.7743675799999981E-2</v>
      </c>
      <c r="U42" s="170">
        <f t="shared" si="6"/>
        <v>0</v>
      </c>
      <c r="V42" s="169">
        <f>P42*IFERROR(VLOOKUP(A42,[1]Tørstofindhold!A$2:B$24,2,FALSE),0)</f>
        <v>327555.10948348971</v>
      </c>
      <c r="W42">
        <f>IF(F42=År1,Q42,SUM(P42,Q42))*IFERROR(VLOOKUP(A42,[1]Tørstofindhold!A$2:B$24,2,FALSE),0)</f>
        <v>5728.9999999999991</v>
      </c>
      <c r="X42">
        <f>K42*IFERROR(VLOOKUP(A42,[1]Tørstofindhold!A$2:B$24,2,FALSE),0)</f>
        <v>5728.9999999999991</v>
      </c>
      <c r="Y42" s="170">
        <f t="shared" si="7"/>
        <v>0</v>
      </c>
      <c r="Z42">
        <f t="shared" si="9"/>
        <v>0</v>
      </c>
      <c r="AA42">
        <f t="shared" si="10"/>
        <v>1</v>
      </c>
      <c r="AC42" s="94">
        <f t="shared" si="8"/>
        <v>1637775.5474174484</v>
      </c>
      <c r="AD42">
        <f>AC42*E42*10000*VLOOKUP(A42,[1]kcal!$A$2:$C$49,3,FALSE)/1000000000000</f>
        <v>0.49133266422523447</v>
      </c>
    </row>
    <row r="43" spans="1:34" x14ac:dyDescent="0.25">
      <c r="A43" t="s">
        <v>121</v>
      </c>
      <c r="B43" s="171"/>
      <c r="C43" s="171" t="str">
        <f>IFERROR(VLOOKUP(A43,'Kategorisering af kcal'!$J$2:$K$18,2,FALSE),"")</f>
        <v/>
      </c>
      <c r="D43" s="171">
        <f>IF(COUNTIFS('Resultater - Danmark'!$D$3:$D$504,'Produktion &amp; forbrug'!A43,'Resultater - Danmark'!$A$3:$A$504,"Til energi")+COUNTIFS('Resultater - Danmark'!$D$3:$D$504,'Produktion &amp; forbrug'!A43,'Resultater - Danmark'!$A$3:$A$504,"Biogasanlæg")&gt;0,1,0)</f>
        <v>0</v>
      </c>
      <c r="E43" s="171">
        <v>0</v>
      </c>
      <c r="F43" s="171">
        <f t="shared" si="0"/>
        <v>2019</v>
      </c>
      <c r="G43" s="94">
        <f>SUMIFS('Resultat-Produktion &amp; forbrug'!G$4:G$291,'Resultat-Produktion &amp; forbrug'!$A$4:$A$291,'Produktion &amp; forbrug'!$A43,'Resultat-Produktion &amp; forbrug'!$E$4:$E$291,'Produktion &amp; forbrug'!$F43)</f>
        <v>217010.36743552322</v>
      </c>
      <c r="H43" s="94">
        <f>SUMIFS('Resultat-Produktion &amp; forbrug'!H$4:H$291,'Resultat-Produktion &amp; forbrug'!$A$4:$A$291,'Produktion &amp; forbrug'!$A43,'Resultat-Produktion &amp; forbrug'!$E$4:$E$291,'Produktion &amp; forbrug'!$F43)</f>
        <v>0</v>
      </c>
      <c r="I43" s="94">
        <f>SUMIFS('Resultat-Produktion &amp; forbrug'!I$4:I$291,'Resultat-Produktion &amp; forbrug'!$A$4:$A$291,'Produktion &amp; forbrug'!$A43,'Resultat-Produktion &amp; forbrug'!$E$4:$E$291,'Produktion &amp; forbrug'!$F43)</f>
        <v>0</v>
      </c>
      <c r="J43" s="94">
        <f>SUMIFS('Resultat-Produktion &amp; forbrug'!J$4:J$291,'Resultat-Produktion &amp; forbrug'!$A$4:$A$291,'Produktion &amp; forbrug'!$A43,'Resultat-Produktion &amp; forbrug'!$E$4:$E$291,'Produktion &amp; forbrug'!$F43)</f>
        <v>0</v>
      </c>
      <c r="K43" s="94">
        <f>SUMIFS('Resultat-Produktion &amp; forbrug'!K$4:K$291,'Resultat-Produktion &amp; forbrug'!$A$4:$A$291,'Produktion &amp; forbrug'!$A43,'Resultat-Produktion &amp; forbrug'!$E$4:$E$291,'Produktion &amp; forbrug'!$F43)</f>
        <v>0</v>
      </c>
      <c r="L43" s="94">
        <f>SUMIFS('Resultat-Produktion &amp; forbrug'!L$4:L$291,'Resultat-Produktion &amp; forbrug'!$A$4:$A$291,'Produktion &amp; forbrug'!$A43,'Resultat-Produktion &amp; forbrug'!$E$4:$E$291,'Produktion &amp; forbrug'!$F43)</f>
        <v>0</v>
      </c>
      <c r="M43" s="94">
        <f>SUMIFS('Resultat-Produktion &amp; forbrug'!M$4:M$291,'Resultat-Produktion &amp; forbrug'!$A$4:$A$291,'Produktion &amp; forbrug'!$A43,'Resultat-Produktion &amp; forbrug'!$E$4:$E$291,'Produktion &amp; forbrug'!$F43)</f>
        <v>0</v>
      </c>
      <c r="N43" s="94">
        <f>SUMIFS('Resultat-Produktion &amp; forbrug'!N$4:N$291,'Resultat-Produktion &amp; forbrug'!$A$4:$A$291,'Produktion &amp; forbrug'!$A43,'Resultat-Produktion &amp; forbrug'!$E$4:$E$291,'Produktion &amp; forbrug'!$F43)</f>
        <v>0</v>
      </c>
      <c r="O43" s="179">
        <f t="shared" si="3"/>
        <v>217010.36743552322</v>
      </c>
      <c r="P43" s="94">
        <f t="shared" si="4"/>
        <v>0</v>
      </c>
      <c r="Q43" s="180">
        <f t="shared" si="5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IF(A43&lt;&gt;"Biogas",IFERROR(VLOOKUP(A43,[1]Biogasudbytte!$A$2:$B$18,2,FALSE)*[1]Energiindhold!$C$10,0)*K43*IFERROR(VLOOKUP(A43,Biogasanlæg!$F$3:$G$8,2,FALSE),1)+IFERROR(VLOOKUP(A43,[1]Energiindhold!$A$2:$C$11,3,FALSE),0)*M43+IF(F43&lt;&gt;År1,R43,0),0)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6"/>
        <v>0</v>
      </c>
      <c r="V43" s="169">
        <f>P43*IFERROR(VLOOKUP(A43,[1]Tørstofindhold!A$2:B$24,2,FALSE),0)</f>
        <v>0</v>
      </c>
      <c r="W43">
        <f>IF(F43=År1,Q43,SUM(P43,Q43))*IFERROR(VLOOKUP(A43,[1]Tørstofindhold!A$2:B$24,2,FALSE),0)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7"/>
        <v>0</v>
      </c>
      <c r="Z43">
        <f t="shared" si="9"/>
        <v>0</v>
      </c>
      <c r="AA43">
        <f t="shared" si="10"/>
        <v>1</v>
      </c>
      <c r="AC43" s="94">
        <f t="shared" si="8"/>
        <v>217010.36743552322</v>
      </c>
      <c r="AD43">
        <f>AC43*E43*10000*VLOOKUP(A43,[1]kcal!$A$2:$C$49,3,FALSE)/1000000000000</f>
        <v>0</v>
      </c>
    </row>
    <row r="44" spans="1:34" x14ac:dyDescent="0.25">
      <c r="A44" t="s">
        <v>107</v>
      </c>
      <c r="B44" s="171"/>
      <c r="C44" s="171" t="str">
        <f>IFERROR(VLOOKUP(A44,'Kategorisering af kcal'!$J$2:$K$18,2,FALSE),"")</f>
        <v/>
      </c>
      <c r="D44" s="171">
        <f>IF(COUNTIFS('Resultater - Danmark'!$D$3:$D$504,'Produktion &amp; forbrug'!A44,'Resultater - Danmark'!$A$3:$A$504,"Til energi")+COUNTIFS('Resultater - Danmark'!$D$3:$D$504,'Produktion &amp; forbrug'!A44,'Resultater - Danmark'!$A$3:$A$504,"Biogasanlæg")&gt;0,1,0)</f>
        <v>0</v>
      </c>
      <c r="E44" s="171">
        <v>0</v>
      </c>
      <c r="F44" s="171">
        <f t="shared" si="0"/>
        <v>2019</v>
      </c>
      <c r="G44" s="94">
        <f>SUMIFS('Resultat-Produktion &amp; forbrug'!G$4:G$291,'Resultat-Produktion &amp; forbrug'!$A$4:$A$291,'Produktion &amp; forbrug'!$A44,'Resultat-Produktion &amp; forbrug'!$E$4:$E$291,'Produktion &amp; forbrug'!$F44)</f>
        <v>150199.97904519152</v>
      </c>
      <c r="H44" s="94">
        <f>SUMIFS('Resultat-Produktion &amp; forbrug'!H$4:H$291,'Resultat-Produktion &amp; forbrug'!$A$4:$A$291,'Produktion &amp; forbrug'!$A44,'Resultat-Produktion &amp; forbrug'!$E$4:$E$291,'Produktion &amp; forbrug'!$F44)</f>
        <v>44253.667473236274</v>
      </c>
      <c r="I44" s="94">
        <f>SUMIFS('Resultat-Produktion &amp; forbrug'!I$4:I$291,'Resultat-Produktion &amp; forbrug'!$A$4:$A$291,'Produktion &amp; forbrug'!$A44,'Resultat-Produktion &amp; forbrug'!$E$4:$E$291,'Produktion &amp; forbrug'!$F44)</f>
        <v>0</v>
      </c>
      <c r="J44" s="94">
        <f>SUMIFS('Resultat-Produktion &amp; forbrug'!J$4:J$291,'Resultat-Produktion &amp; forbrug'!$A$4:$A$291,'Produktion &amp; forbrug'!$A44,'Resultat-Produktion &amp; forbrug'!$E$4:$E$291,'Produktion &amp; forbrug'!$F44)</f>
        <v>0</v>
      </c>
      <c r="K44" s="94">
        <f>SUMIFS('Resultat-Produktion &amp; forbrug'!K$4:K$291,'Resultat-Produktion &amp; forbrug'!$A$4:$A$291,'Produktion &amp; forbrug'!$A44,'Resultat-Produktion &amp; forbrug'!$E$4:$E$291,'Produktion &amp; forbrug'!$F44)</f>
        <v>0</v>
      </c>
      <c r="L44" s="94">
        <f>SUMIFS('Resultat-Produktion &amp; forbrug'!L$4:L$291,'Resultat-Produktion &amp; forbrug'!$A$4:$A$291,'Produktion &amp; forbrug'!$A44,'Resultat-Produktion &amp; forbrug'!$E$4:$E$291,'Produktion &amp; forbrug'!$F44)</f>
        <v>0</v>
      </c>
      <c r="M44" s="94">
        <f>SUMIFS('Resultat-Produktion &amp; forbrug'!M$4:M$291,'Resultat-Produktion &amp; forbrug'!$A$4:$A$291,'Produktion &amp; forbrug'!$A44,'Resultat-Produktion &amp; forbrug'!$E$4:$E$291,'Produktion &amp; forbrug'!$F44)</f>
        <v>0</v>
      </c>
      <c r="N44" s="94">
        <f>SUMIFS('Resultat-Produktion &amp; forbrug'!N$4:N$291,'Resultat-Produktion &amp; forbrug'!$A$4:$A$291,'Produktion &amp; forbrug'!$A44,'Resultat-Produktion &amp; forbrug'!$E$4:$E$291,'Produktion &amp; forbrug'!$F44)</f>
        <v>0</v>
      </c>
      <c r="O44" s="179">
        <f t="shared" si="3"/>
        <v>105946.31157195524</v>
      </c>
      <c r="P44" s="94">
        <f t="shared" si="4"/>
        <v>0</v>
      </c>
      <c r="Q44" s="180">
        <f t="shared" si="5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IF(A44&lt;&gt;"Biogas",IFERROR(VLOOKUP(A44,[1]Biogasudbytte!$A$2:$B$18,2,FALSE)*[1]Energiindhold!$C$10,0)*K44*IFERROR(VLOOKUP(A44,Biogasanlæg!$F$3:$G$8,2,FALSE),1)+IFERROR(VLOOKUP(A44,[1]Energiindhold!$A$2:$C$11,3,FALSE),0)*M44+IF(F44&lt;&gt;År1,R44,0),0)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6"/>
        <v>0</v>
      </c>
      <c r="V44" s="169">
        <f>P44*IFERROR(VLOOKUP(A44,[1]Tørstofindhold!A$2:B$24,2,FALSE),0)</f>
        <v>0</v>
      </c>
      <c r="W44">
        <f>IF(F44=År1,Q44,SUM(P44,Q44))*IFERROR(VLOOKUP(A44,[1]Tørstofindhold!A$2:B$24,2,FALSE),0)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7"/>
        <v>0</v>
      </c>
      <c r="Z44">
        <f t="shared" si="9"/>
        <v>0</v>
      </c>
      <c r="AA44">
        <f t="shared" si="10"/>
        <v>1</v>
      </c>
      <c r="AC44" s="94">
        <f t="shared" si="8"/>
        <v>105946.31157195524</v>
      </c>
      <c r="AD44">
        <f>AC44*E44*10000*VLOOKUP(A44,[1]kcal!$A$2:$C$49,3,FALSE)/1000000000000</f>
        <v>0</v>
      </c>
    </row>
    <row r="45" spans="1:34" x14ac:dyDescent="0.25">
      <c r="A45" s="171" t="s">
        <v>140</v>
      </c>
      <c r="B45" s="171" t="s">
        <v>230</v>
      </c>
      <c r="C45" s="171" t="str">
        <f>IFERROR(VLOOKUP(A45,'Kategorisering af kcal'!$J$2:$K$18,2,FALSE),"")</f>
        <v/>
      </c>
      <c r="D45" s="171">
        <f>IF(COUNTIFS('Resultater - Danmark'!$D$3:$D$504,'Produktion &amp; forbrug'!A45,'Resultater - Danmark'!$A$3:$A$504,"Til energi")+COUNTIFS('Resultater - Danmark'!$D$3:$D$504,'Produktion &amp; forbrug'!A45,'Resultater - Danmark'!$A$3:$A$504,"Biogasanlæg")&gt;0,1,0)</f>
        <v>1</v>
      </c>
      <c r="E45" s="171">
        <v>0</v>
      </c>
      <c r="F45" s="171">
        <f t="shared" si="0"/>
        <v>2019</v>
      </c>
      <c r="G45" s="94">
        <f>SUMIFS('Resultat-Produktion &amp; forbrug'!G$4:G$291,'Resultat-Produktion &amp; forbrug'!$A$4:$A$291,'Produktion &amp; forbrug'!$A45,'Resultat-Produktion &amp; forbrug'!$E$4:$E$291,'Produktion &amp; forbrug'!$F45)</f>
        <v>7037157.901678659</v>
      </c>
      <c r="H45" s="94">
        <f>SUMIFS('Resultat-Produktion &amp; forbrug'!H$4:H$291,'Resultat-Produktion &amp; forbrug'!$A$4:$A$291,'Produktion &amp; forbrug'!$A45,'Resultat-Produktion &amp; forbrug'!$E$4:$E$291,'Produktion &amp; forbrug'!$F45)</f>
        <v>0</v>
      </c>
      <c r="I45" s="94">
        <f>SUMIFS('Resultat-Produktion &amp; forbrug'!I$4:I$291,'Resultat-Produktion &amp; forbrug'!$A$4:$A$291,'Produktion &amp; forbrug'!$A45,'Resultat-Produktion &amp; forbrug'!$E$4:$E$291,'Produktion &amp; forbrug'!$F45)</f>
        <v>0</v>
      </c>
      <c r="J45" s="94">
        <f>SUMIFS('Resultat-Produktion &amp; forbrug'!J$4:J$291,'Resultat-Produktion &amp; forbrug'!$A$4:$A$291,'Produktion &amp; forbrug'!$A45,'Resultat-Produktion &amp; forbrug'!$E$4:$E$291,'Produktion &amp; forbrug'!$F45)</f>
        <v>0</v>
      </c>
      <c r="K45" s="94">
        <f>SUMIFS('Resultat-Produktion &amp; forbrug'!K$4:K$291,'Resultat-Produktion &amp; forbrug'!$A$4:$A$291,'Produktion &amp; forbrug'!$A45,'Resultat-Produktion &amp; forbrug'!$E$4:$E$291,'Produktion &amp; forbrug'!$F45)</f>
        <v>2668834</v>
      </c>
      <c r="L45" s="94">
        <f>SUMIFS('Resultat-Produktion &amp; forbrug'!L$4:L$291,'Resultat-Produktion &amp; forbrug'!$A$4:$A$291,'Produktion &amp; forbrug'!$A45,'Resultat-Produktion &amp; forbrug'!$E$4:$E$291,'Produktion &amp; forbrug'!$F45)</f>
        <v>0</v>
      </c>
      <c r="M45" s="94">
        <f>SUMIFS('Resultat-Produktion &amp; forbrug'!M$4:M$291,'Resultat-Produktion &amp; forbrug'!$A$4:$A$291,'Produktion &amp; forbrug'!$A45,'Resultat-Produktion &amp; forbrug'!$E$4:$E$291,'Produktion &amp; forbrug'!$F45)</f>
        <v>0</v>
      </c>
      <c r="N45" s="94">
        <f>SUMIFS('Resultat-Produktion &amp; forbrug'!N$4:N$291,'Resultat-Produktion &amp; forbrug'!$A$4:$A$291,'Produktion &amp; forbrug'!$A45,'Resultat-Produktion &amp; forbrug'!$E$4:$E$291,'Produktion &amp; forbrug'!$F45)</f>
        <v>0</v>
      </c>
      <c r="O45" s="179">
        <f t="shared" si="3"/>
        <v>4368323.901678659</v>
      </c>
      <c r="P45" s="94">
        <f t="shared" si="4"/>
        <v>4368323.901678659</v>
      </c>
      <c r="Q45" s="180">
        <f t="shared" si="5"/>
        <v>2668834</v>
      </c>
      <c r="R45">
        <f>IFERROR(VLOOKUP(A45,[1]Energiindhold!$A$2:$C$11,3,FALSE),IFERROR(VLOOKUP(A45,[1]Biogasudbytte!$A$2:$B$18,2,FALSE)*[1]Energiindhold!$C$10,0))*P45</f>
        <v>2.1798373101766679</v>
      </c>
      <c r="S45">
        <f>IF(A45&lt;&gt;"Biogas",IFERROR(VLOOKUP(A45,[1]Biogasudbytte!$A$2:$B$18,2,FALSE)*[1]Energiindhold!$C$10,0)*K45*IFERROR(VLOOKUP(A45,Biogasanlæg!$F$3:$G$8,2,FALSE),1)+IFERROR(VLOOKUP(A45,[1]Energiindhold!$A$2:$C$11,3,FALSE),0)*M45+IF(F45&lt;&gt;År1,R45,0),0)</f>
        <v>1.3317748543400001</v>
      </c>
      <c r="T45">
        <f>IFERROR(VLOOKUP(A45,[1]Biogasudbytte!$A$2:$B$18,2,FALSE)*[1]Energiindhold!$C$10,0)*K45*IFERROR(VLOOKUP(A45,Biogasanlæg!$F$3:$G$8,2,FALSE),1)</f>
        <v>1.3317748543400001</v>
      </c>
      <c r="U45" s="170">
        <f t="shared" si="6"/>
        <v>0</v>
      </c>
      <c r="V45" s="169">
        <f>P45*IFERROR(VLOOKUP(A45,[1]Tørstofindhold!A$2:B$24,2,FALSE),0)</f>
        <v>262099.43410071952</v>
      </c>
      <c r="W45">
        <f>IF(F45=År1,Q45,SUM(P45,Q45))*IFERROR(VLOOKUP(A45,[1]Tørstofindhold!A$2:B$24,2,FALSE),0)</f>
        <v>160130.04</v>
      </c>
      <c r="X45">
        <f>K45*IFERROR(VLOOKUP(A45,[1]Tørstofindhold!A$2:B$24,2,FALSE),0)</f>
        <v>160130.04</v>
      </c>
      <c r="Y45" s="170">
        <f t="shared" si="7"/>
        <v>0</v>
      </c>
      <c r="Z45">
        <f t="shared" si="9"/>
        <v>0</v>
      </c>
      <c r="AA45">
        <f t="shared" si="10"/>
        <v>1</v>
      </c>
      <c r="AC45" s="94">
        <f t="shared" si="8"/>
        <v>4368323.901678659</v>
      </c>
      <c r="AD45">
        <f>AC45*E45*10000*VLOOKUP(A45,[1]kcal!$A$2:$C$49,3,FALSE)/1000000000000</f>
        <v>0</v>
      </c>
    </row>
    <row r="46" spans="1:34" x14ac:dyDescent="0.25">
      <c r="A46" s="171" t="s">
        <v>135</v>
      </c>
      <c r="B46" s="171" t="s">
        <v>222</v>
      </c>
      <c r="C46" s="171" t="str">
        <f>IFERROR(VLOOKUP(A46,'Kategorisering af kcal'!$J$2:$K$18,2,FALSE),"")</f>
        <v/>
      </c>
      <c r="D46" s="171">
        <f>IF(COUNTIFS('Resultater - Danmark'!$D$3:$D$504,'Produktion &amp; forbrug'!A46,'Resultater - Danmark'!$A$3:$A$504,"Til energi")+COUNTIFS('Resultater - Danmark'!$D$3:$D$504,'Produktion &amp; forbrug'!A46,'Resultater - Danmark'!$A$3:$A$504,"Biogasanlæg")&gt;0,1,0)</f>
        <v>1</v>
      </c>
      <c r="E46" s="171">
        <v>0</v>
      </c>
      <c r="F46" s="171">
        <f t="shared" si="0"/>
        <v>2019</v>
      </c>
      <c r="G46" s="94">
        <f>SUMIFS('Resultat-Produktion &amp; forbrug'!G$4:G$291,'Resultat-Produktion &amp; forbrug'!$A$4:$A$291,'Produktion &amp; forbrug'!$A46,'Resultat-Produktion &amp; forbrug'!$E$4:$E$291,'Produktion &amp; forbrug'!$F46)</f>
        <v>17657000</v>
      </c>
      <c r="H46" s="94">
        <f>SUMIFS('Resultat-Produktion &amp; forbrug'!H$4:H$291,'Resultat-Produktion &amp; forbrug'!$A$4:$A$291,'Produktion &amp; forbrug'!$A46,'Resultat-Produktion &amp; forbrug'!$E$4:$E$291,'Produktion &amp; forbrug'!$F46)</f>
        <v>0</v>
      </c>
      <c r="I46" s="94">
        <f>SUMIFS('Resultat-Produktion &amp; forbrug'!I$4:I$291,'Resultat-Produktion &amp; forbrug'!$A$4:$A$291,'Produktion &amp; forbrug'!$A46,'Resultat-Produktion &amp; forbrug'!$E$4:$E$291,'Produktion &amp; forbrug'!$F46)</f>
        <v>0</v>
      </c>
      <c r="J46" s="94">
        <f>SUMIFS('Resultat-Produktion &amp; forbrug'!J$4:J$291,'Resultat-Produktion &amp; forbrug'!$A$4:$A$291,'Produktion &amp; forbrug'!$A46,'Resultat-Produktion &amp; forbrug'!$E$4:$E$291,'Produktion &amp; forbrug'!$F46)</f>
        <v>0</v>
      </c>
      <c r="K46" s="94">
        <f>SUMIFS('Resultat-Produktion &amp; forbrug'!K$4:K$291,'Resultat-Produktion &amp; forbrug'!$A$4:$A$291,'Produktion &amp; forbrug'!$A46,'Resultat-Produktion &amp; forbrug'!$E$4:$E$291,'Produktion &amp; forbrug'!$F46)</f>
        <v>2914869.3333333335</v>
      </c>
      <c r="L46" s="94">
        <f>SUMIFS('Resultat-Produktion &amp; forbrug'!L$4:L$291,'Resultat-Produktion &amp; forbrug'!$A$4:$A$291,'Produktion &amp; forbrug'!$A46,'Resultat-Produktion &amp; forbrug'!$E$4:$E$291,'Produktion &amp; forbrug'!$F46)</f>
        <v>14742130.666666664</v>
      </c>
      <c r="M46" s="94">
        <f>SUMIFS('Resultat-Produktion &amp; forbrug'!M$4:M$291,'Resultat-Produktion &amp; forbrug'!$A$4:$A$291,'Produktion &amp; forbrug'!$A46,'Resultat-Produktion &amp; forbrug'!$E$4:$E$291,'Produktion &amp; forbrug'!$F46)</f>
        <v>0</v>
      </c>
      <c r="N46" s="94">
        <f>SUMIFS('Resultat-Produktion &amp; forbrug'!N$4:N$291,'Resultat-Produktion &amp; forbrug'!$A$4:$A$291,'Produktion &amp; forbrug'!$A46,'Resultat-Produktion &amp; forbrug'!$E$4:$E$291,'Produktion &amp; forbrug'!$F46)</f>
        <v>0</v>
      </c>
      <c r="O46" s="179">
        <f t="shared" si="3"/>
        <v>0</v>
      </c>
      <c r="P46" s="94">
        <f t="shared" si="4"/>
        <v>0</v>
      </c>
      <c r="Q46" s="180">
        <f t="shared" si="5"/>
        <v>2914869.3333333335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IF(A46&lt;&gt;"Biogas",IFERROR(VLOOKUP(A46,[1]Biogasudbytte!$A$2:$B$18,2,FALSE)*[1]Energiindhold!$C$10,0)*K46*IFERROR(VLOOKUP(A46,Biogasanlæg!$F$3:$G$8,2,FALSE),1)+IFERROR(VLOOKUP(A46,[1]Energiindhold!$A$2:$C$11,3,FALSE),0)*M46+IF(F46&lt;&gt;År1,R46,0),0)</f>
        <v>1.2557257088000002</v>
      </c>
      <c r="T46">
        <f>IFERROR(VLOOKUP(A46,[1]Biogasudbytte!$A$2:$B$18,2,FALSE)*[1]Energiindhold!$C$10,0)*K46*IFERROR(VLOOKUP(A46,Biogasanlæg!$F$3:$G$8,2,FALSE),1)</f>
        <v>1.2557257088000002</v>
      </c>
      <c r="U46" s="170">
        <f t="shared" si="6"/>
        <v>0</v>
      </c>
      <c r="V46" s="169">
        <f>P46*IFERROR(VLOOKUP(A46,[1]Tørstofindhold!A$2:B$24,2,FALSE),0)</f>
        <v>0</v>
      </c>
      <c r="W46">
        <f>IF(F46=År1,Q46,SUM(P46,Q46))*IFERROR(VLOOKUP(A46,[1]Tørstofindhold!A$2:B$24,2,FALSE),0)</f>
        <v>145743.46666666667</v>
      </c>
      <c r="X46">
        <f>K46*IFERROR(VLOOKUP(A46,[1]Tørstofindhold!A$2:B$24,2,FALSE),0)</f>
        <v>145743.46666666667</v>
      </c>
      <c r="Y46" s="170">
        <f t="shared" si="7"/>
        <v>0</v>
      </c>
      <c r="Z46">
        <f t="shared" si="9"/>
        <v>0</v>
      </c>
      <c r="AA46">
        <f t="shared" si="10"/>
        <v>0</v>
      </c>
      <c r="AC46" s="94">
        <f t="shared" si="8"/>
        <v>0</v>
      </c>
      <c r="AD46">
        <f>AC46*E46*10000*VLOOKUP(A46,[1]kcal!$A$2:$C$49,3,FALSE)/1000000000000</f>
        <v>0</v>
      </c>
    </row>
    <row r="47" spans="1:34" x14ac:dyDescent="0.25">
      <c r="A47" s="171" t="s">
        <v>13</v>
      </c>
      <c r="B47" s="171"/>
      <c r="C47" s="171" t="str">
        <f>IFERROR(VLOOKUP(A47,'Kategorisering af kcal'!$J$2:$K$18,2,FALSE),"")</f>
        <v>Kød</v>
      </c>
      <c r="D47" s="171">
        <f>IF(COUNTIFS('Resultater - Danmark'!$D$3:$D$504,'Produktion &amp; forbrug'!A47,'Resultater - Danmark'!$A$3:$A$504,"Til energi")+COUNTIFS('Resultater - Danmark'!$D$3:$D$504,'Produktion &amp; forbrug'!A47,'Resultater - Danmark'!$A$3:$A$504,"Biogasanlæg")&gt;0,1,0)</f>
        <v>0</v>
      </c>
      <c r="E47" s="171">
        <v>1</v>
      </c>
      <c r="F47" s="171">
        <f t="shared" si="0"/>
        <v>2019</v>
      </c>
      <c r="G47" s="94">
        <f>SUMIFS('Resultat-Produktion &amp; forbrug'!G$4:G$291,'Resultat-Produktion &amp; forbrug'!$A$4:$A$291,'Produktion &amp; forbrug'!$A47,'Resultat-Produktion &amp; forbrug'!$E$4:$E$291,'Produktion &amp; forbrug'!$F47)</f>
        <v>1601127.6966659406</v>
      </c>
      <c r="H47" s="94">
        <f>SUMIFS('Resultat-Produktion &amp; forbrug'!H$4:H$291,'Resultat-Produktion &amp; forbrug'!$A$4:$A$291,'Produktion &amp; forbrug'!$A47,'Resultat-Produktion &amp; forbrug'!$E$4:$E$291,'Produktion &amp; forbrug'!$F47)</f>
        <v>0</v>
      </c>
      <c r="I47" s="94">
        <f>SUMIFS('Resultat-Produktion &amp; forbrug'!I$4:I$291,'Resultat-Produktion &amp; forbrug'!$A$4:$A$291,'Produktion &amp; forbrug'!$A47,'Resultat-Produktion &amp; forbrug'!$E$4:$E$291,'Produktion &amp; forbrug'!$F47)</f>
        <v>0</v>
      </c>
      <c r="J47" s="94">
        <f>SUMIFS('Resultat-Produktion &amp; forbrug'!J$4:J$291,'Resultat-Produktion &amp; forbrug'!$A$4:$A$291,'Produktion &amp; forbrug'!$A47,'Resultat-Produktion &amp; forbrug'!$E$4:$E$291,'Produktion &amp; forbrug'!$F47)</f>
        <v>218476.26548703379</v>
      </c>
      <c r="K47" s="94">
        <f>SUMIFS('Resultat-Produktion &amp; forbrug'!K$4:K$291,'Resultat-Produktion &amp; forbrug'!$A$4:$A$291,'Produktion &amp; forbrug'!$A47,'Resultat-Produktion &amp; forbrug'!$E$4:$E$291,'Produktion &amp; forbrug'!$F47)</f>
        <v>0</v>
      </c>
      <c r="L47" s="94">
        <f>SUMIFS('Resultat-Produktion &amp; forbrug'!L$4:L$291,'Resultat-Produktion &amp; forbrug'!$A$4:$A$291,'Produktion &amp; forbrug'!$A47,'Resultat-Produktion &amp; forbrug'!$E$4:$E$291,'Produktion &amp; forbrug'!$F47)</f>
        <v>0</v>
      </c>
      <c r="M47" s="94">
        <f>SUMIFS('Resultat-Produktion &amp; forbrug'!M$4:M$291,'Resultat-Produktion &amp; forbrug'!$A$4:$A$291,'Produktion &amp; forbrug'!$A47,'Resultat-Produktion &amp; forbrug'!$E$4:$E$291,'Produktion &amp; forbrug'!$F47)</f>
        <v>0</v>
      </c>
      <c r="N47" s="94">
        <f>SUMIFS('Resultat-Produktion &amp; forbrug'!N$4:N$291,'Resultat-Produktion &amp; forbrug'!$A$4:$A$291,'Produktion &amp; forbrug'!$A47,'Resultat-Produktion &amp; forbrug'!$E$4:$E$291,'Produktion &amp; forbrug'!$F47)</f>
        <v>0</v>
      </c>
      <c r="O47" s="179">
        <f t="shared" si="3"/>
        <v>1382651.4311789067</v>
      </c>
      <c r="P47" s="94">
        <f t="shared" si="4"/>
        <v>0</v>
      </c>
      <c r="Q47" s="180">
        <f t="shared" si="5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IF(A47&lt;&gt;"Biogas",IFERROR(VLOOKUP(A47,[1]Biogasudbytte!$A$2:$B$18,2,FALSE)*[1]Energiindhold!$C$10,0)*K47*IFERROR(VLOOKUP(A47,Biogasanlæg!$F$3:$G$8,2,FALSE),1)+IFERROR(VLOOKUP(A47,[1]Energiindhold!$A$2:$C$11,3,FALSE),0)*M47+IF(F47&lt;&gt;År1,R47,0),0)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6"/>
        <v>0</v>
      </c>
      <c r="V47" s="169">
        <f>P47*IFERROR(VLOOKUP(A47,[1]Tørstofindhold!A$2:B$24,2,FALSE),0)</f>
        <v>0</v>
      </c>
      <c r="W47">
        <f>IF(F47=År1,Q47,SUM(P47,Q47))*IFERROR(VLOOKUP(A47,[1]Tørstofindhold!A$2:B$24,2,FALSE),0)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7"/>
        <v>0</v>
      </c>
      <c r="Z47">
        <f t="shared" si="9"/>
        <v>0</v>
      </c>
      <c r="AA47">
        <f t="shared" si="10"/>
        <v>1</v>
      </c>
      <c r="AC47" s="94">
        <f t="shared" si="8"/>
        <v>1601127.6966659406</v>
      </c>
      <c r="AD47">
        <f>AC47*E47*10000*VLOOKUP(A47,[1]kcal!$A$2:$C$49,3,FALSE)/1000000000000</f>
        <v>3.1221990084985847</v>
      </c>
      <c r="AG47" s="94"/>
      <c r="AH47" s="403"/>
    </row>
    <row r="48" spans="1:34" x14ac:dyDescent="0.25">
      <c r="A48" s="171" t="s">
        <v>99</v>
      </c>
      <c r="B48" s="171" t="s">
        <v>226</v>
      </c>
      <c r="C48" s="171" t="str">
        <f>IFERROR(VLOOKUP(A48,'Kategorisering af kcal'!$J$2:$K$18,2,FALSE),"")</f>
        <v>Fisk mm</v>
      </c>
      <c r="D48" s="171">
        <f>IF(COUNTIFS('Resultater - Danmark'!$D$3:$D$504,'Produktion &amp; forbrug'!A48,'Resultater - Danmark'!$A$3:$A$504,"Til energi")+COUNTIFS('Resultater - Danmark'!$D$3:$D$504,'Produktion &amp; forbrug'!A48,'Resultater - Danmark'!$A$3:$A$504,"Biogasanlæg")&gt;0,1,0)</f>
        <v>1</v>
      </c>
      <c r="E48" s="171">
        <v>1</v>
      </c>
      <c r="F48" s="171">
        <f t="shared" si="0"/>
        <v>2019</v>
      </c>
      <c r="G48" s="94">
        <f>SUMIFS('Resultat-Produktion &amp; forbrug'!G$4:G$291,'Resultat-Produktion &amp; forbrug'!$A$4:$A$291,'Produktion &amp; forbrug'!$A48,'Resultat-Produktion &amp; forbrug'!$E$4:$E$291,'Produktion &amp; forbrug'!$F48)</f>
        <v>76.5</v>
      </c>
      <c r="H48" s="94">
        <f>SUMIFS('Resultat-Produktion &amp; forbrug'!H$4:H$291,'Resultat-Produktion &amp; forbrug'!$A$4:$A$291,'Produktion &amp; forbrug'!$A48,'Resultat-Produktion &amp; forbrug'!$E$4:$E$291,'Produktion &amp; forbrug'!$F48)</f>
        <v>0</v>
      </c>
      <c r="I48" s="94">
        <f>SUMIFS('Resultat-Produktion &amp; forbrug'!I$4:I$291,'Resultat-Produktion &amp; forbrug'!$A$4:$A$291,'Produktion &amp; forbrug'!$A48,'Resultat-Produktion &amp; forbrug'!$E$4:$E$291,'Produktion &amp; forbrug'!$F48)</f>
        <v>0</v>
      </c>
      <c r="J48" s="94">
        <f>SUMIFS('Resultat-Produktion &amp; forbrug'!J$4:J$291,'Resultat-Produktion &amp; forbrug'!$A$4:$A$291,'Produktion &amp; forbrug'!$A48,'Resultat-Produktion &amp; forbrug'!$E$4:$E$291,'Produktion &amp; forbrug'!$F48)</f>
        <v>0</v>
      </c>
      <c r="K48" s="94">
        <f>SUMIFS('Resultat-Produktion &amp; forbrug'!K$4:K$291,'Resultat-Produktion &amp; forbrug'!$A$4:$A$291,'Produktion &amp; forbrug'!$A48,'Resultat-Produktion &amp; forbrug'!$E$4:$E$291,'Produktion &amp; forbrug'!$F48)</f>
        <v>0</v>
      </c>
      <c r="L48" s="94">
        <f>SUMIFS('Resultat-Produktion &amp; forbrug'!L$4:L$291,'Resultat-Produktion &amp; forbrug'!$A$4:$A$291,'Produktion &amp; forbrug'!$A48,'Resultat-Produktion &amp; forbrug'!$E$4:$E$291,'Produktion &amp; forbrug'!$F48)</f>
        <v>0</v>
      </c>
      <c r="M48" s="94">
        <f>SUMIFS('Resultat-Produktion &amp; forbrug'!M$4:M$291,'Resultat-Produktion &amp; forbrug'!$A$4:$A$291,'Produktion &amp; forbrug'!$A48,'Resultat-Produktion &amp; forbrug'!$E$4:$E$291,'Produktion &amp; forbrug'!$F48)</f>
        <v>0</v>
      </c>
      <c r="N48" s="94">
        <f>SUMIFS('Resultat-Produktion &amp; forbrug'!N$4:N$291,'Resultat-Produktion &amp; forbrug'!$A$4:$A$291,'Produktion &amp; forbrug'!$A48,'Resultat-Produktion &amp; forbrug'!$E$4:$E$291,'Produktion &amp; forbrug'!$F48)</f>
        <v>0</v>
      </c>
      <c r="O48" s="179">
        <f t="shared" si="3"/>
        <v>76.5</v>
      </c>
      <c r="P48" s="94">
        <f t="shared" si="4"/>
        <v>76.5</v>
      </c>
      <c r="Q48" s="180">
        <f t="shared" si="5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IF(A48&lt;&gt;"Biogas",IFERROR(VLOOKUP(A48,[1]Biogasudbytte!$A$2:$B$18,2,FALSE)*[1]Energiindhold!$C$10,0)*K48*IFERROR(VLOOKUP(A48,Biogasanlæg!$F$3:$G$8,2,FALSE),1)+IFERROR(VLOOKUP(A48,[1]Energiindhold!$A$2:$C$11,3,FALSE),0)*M48+IF(F48&lt;&gt;År1,R48,0),0)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6"/>
        <v>0</v>
      </c>
      <c r="V48" s="169">
        <f>P48*IFERROR(VLOOKUP(A48,[1]Tørstofindhold!A$2:B$24,2,FALSE),0)</f>
        <v>11.475</v>
      </c>
      <c r="W48">
        <f>IF(F48=År1,Q48,SUM(P48,Q48))*IFERROR(VLOOKUP(A48,[1]Tørstofindhold!A$2:B$24,2,FALSE),0)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7"/>
        <v>0</v>
      </c>
      <c r="Z48">
        <f t="shared" si="9"/>
        <v>0</v>
      </c>
      <c r="AA48">
        <f t="shared" si="10"/>
        <v>1</v>
      </c>
      <c r="AC48" s="94">
        <f t="shared" si="8"/>
        <v>76.5</v>
      </c>
      <c r="AD48">
        <f>AC48*E48*10000*VLOOKUP(A48,[1]kcal!$A$2:$C$49,3,FALSE)/1000000000000</f>
        <v>3.1211999999999999E-5</v>
      </c>
    </row>
    <row r="49" spans="1:30" x14ac:dyDescent="0.25">
      <c r="A49" s="171" t="s">
        <v>104</v>
      </c>
      <c r="B49" s="171"/>
      <c r="C49" s="171" t="str">
        <f>IFERROR(VLOOKUP(A49,'Kategorisering af kcal'!$J$2:$K$18,2,FALSE),"")</f>
        <v/>
      </c>
      <c r="D49" s="171">
        <f>IF(COUNTIFS('Resultater - Danmark'!$D$3:$D$504,'Produktion &amp; forbrug'!A49,'Resultater - Danmark'!$A$3:$A$504,"Til energi")+COUNTIFS('Resultater - Danmark'!$D$3:$D$504,'Produktion &amp; forbrug'!A49,'Resultater - Danmark'!$A$3:$A$504,"Biogasanlæg")&gt;0,1,0)</f>
        <v>1</v>
      </c>
      <c r="E49" s="171">
        <v>0</v>
      </c>
      <c r="F49" s="171">
        <f t="shared" si="0"/>
        <v>2019</v>
      </c>
      <c r="G49" s="94">
        <f>SUMIFS('Resultat-Produktion &amp; forbrug'!G$4:G$291,'Resultat-Produktion &amp; forbrug'!$A$4:$A$291,'Produktion &amp; forbrug'!$A49,'Resultat-Produktion &amp; forbrug'!$E$4:$E$291,'Produktion &amp; forbrug'!$F49)</f>
        <v>0</v>
      </c>
      <c r="H49" s="94">
        <f>SUMIFS('Resultat-Produktion &amp; forbrug'!H$4:H$291,'Resultat-Produktion &amp; forbrug'!$A$4:$A$291,'Produktion &amp; forbrug'!$A49,'Resultat-Produktion &amp; forbrug'!$E$4:$E$291,'Produktion &amp; forbrug'!$F49)</f>
        <v>0</v>
      </c>
      <c r="I49" s="94">
        <f>SUMIFS('Resultat-Produktion &amp; forbrug'!I$4:I$291,'Resultat-Produktion &amp; forbrug'!$A$4:$A$291,'Produktion &amp; forbrug'!$A49,'Resultat-Produktion &amp; forbrug'!$E$4:$E$291,'Produktion &amp; forbrug'!$F49)</f>
        <v>0</v>
      </c>
      <c r="J49" s="94">
        <f>SUMIFS('Resultat-Produktion &amp; forbrug'!J$4:J$291,'Resultat-Produktion &amp; forbrug'!$A$4:$A$291,'Produktion &amp; forbrug'!$A49,'Resultat-Produktion &amp; forbrug'!$E$4:$E$291,'Produktion &amp; forbrug'!$F49)</f>
        <v>0</v>
      </c>
      <c r="K49" s="94">
        <f>SUMIFS('Resultat-Produktion &amp; forbrug'!K$4:K$291,'Resultat-Produktion &amp; forbrug'!$A$4:$A$291,'Produktion &amp; forbrug'!$A49,'Resultat-Produktion &amp; forbrug'!$E$4:$E$291,'Produktion &amp; forbrug'!$F49)</f>
        <v>0</v>
      </c>
      <c r="L49" s="94">
        <f>SUMIFS('Resultat-Produktion &amp; forbrug'!L$4:L$291,'Resultat-Produktion &amp; forbrug'!$A$4:$A$291,'Produktion &amp; forbrug'!$A49,'Resultat-Produktion &amp; forbrug'!$E$4:$E$291,'Produktion &amp; forbrug'!$F49)</f>
        <v>0</v>
      </c>
      <c r="M49" s="94">
        <f>SUMIFS('Resultat-Produktion &amp; forbrug'!M$4:M$291,'Resultat-Produktion &amp; forbrug'!$A$4:$A$291,'Produktion &amp; forbrug'!$A49,'Resultat-Produktion &amp; forbrug'!$E$4:$E$291,'Produktion &amp; forbrug'!$F49)</f>
        <v>0</v>
      </c>
      <c r="N49" s="94">
        <f>SUMIFS('Resultat-Produktion &amp; forbrug'!N$4:N$291,'Resultat-Produktion &amp; forbrug'!$A$4:$A$291,'Produktion &amp; forbrug'!$A49,'Resultat-Produktion &amp; forbrug'!$E$4:$E$291,'Produktion &amp; forbrug'!$F49)</f>
        <v>0</v>
      </c>
      <c r="O49" s="179">
        <f t="shared" si="3"/>
        <v>0</v>
      </c>
      <c r="P49" s="94">
        <f t="shared" si="4"/>
        <v>0</v>
      </c>
      <c r="Q49" s="180">
        <f t="shared" si="5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IF(A49&lt;&gt;"Biogas",IFERROR(VLOOKUP(A49,[1]Biogasudbytte!$A$2:$B$18,2,FALSE)*[1]Energiindhold!$C$10,0)*K49*IFERROR(VLOOKUP(A49,Biogasanlæg!$F$3:$G$8,2,FALSE),1)+IFERROR(VLOOKUP(A49,[1]Energiindhold!$A$2:$C$11,3,FALSE),0)*M49+IF(F49&lt;&gt;År1,R49,0),0)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6"/>
        <v>0</v>
      </c>
      <c r="V49" s="169">
        <f>P49*IFERROR(VLOOKUP(A49,[1]Tørstofindhold!A$2:B$24,2,FALSE),0)</f>
        <v>0</v>
      </c>
      <c r="W49">
        <f>IF(F49=År1,Q49,SUM(P49,Q49))*IFERROR(VLOOKUP(A49,[1]Tørstofindhold!A$2:B$24,2,FALSE),0)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7"/>
        <v>0</v>
      </c>
      <c r="Z49">
        <f t="shared" si="9"/>
        <v>0</v>
      </c>
      <c r="AA49">
        <f t="shared" si="10"/>
        <v>0</v>
      </c>
      <c r="AC49" s="94">
        <f t="shared" si="8"/>
        <v>0</v>
      </c>
      <c r="AD49">
        <f>AC49*E49*10000*VLOOKUP(A49,[1]kcal!$A$2:$C$49,3,FALSE)/1000000000000</f>
        <v>0</v>
      </c>
    </row>
    <row r="50" spans="1:30" x14ac:dyDescent="0.25">
      <c r="A50" s="171" t="s">
        <v>119</v>
      </c>
      <c r="B50" s="171" t="s">
        <v>225</v>
      </c>
      <c r="C50" s="171" t="str">
        <f>IFERROR(VLOOKUP(A50,'Kategorisering af kcal'!$J$2:$K$18,2,FALSE),"")</f>
        <v/>
      </c>
      <c r="D50" s="171">
        <f>IF(COUNTIFS('Resultater - Danmark'!$D$3:$D$504,'Produktion &amp; forbrug'!A50,'Resultater - Danmark'!$A$3:$A$504,"Til energi")+COUNTIFS('Resultater - Danmark'!$D$3:$D$504,'Produktion &amp; forbrug'!A50,'Resultater - Danmark'!$A$3:$A$504,"Biogasanlæg")&gt;0,1,0)</f>
        <v>1</v>
      </c>
      <c r="E50" s="171">
        <v>0</v>
      </c>
      <c r="F50" s="171">
        <f t="shared" si="0"/>
        <v>2019</v>
      </c>
      <c r="G50" s="94">
        <f ca="1">SUMIFS('Resultat-Produktion &amp; forbrug'!G$4:G$291,'Resultat-Produktion &amp; forbrug'!$A$4:$A$291,'Produktion &amp; forbrug'!$A50,'Resultat-Produktion &amp; forbrug'!$E$4:$E$291,'Produktion &amp; forbrug'!$F50)</f>
        <v>3010292.0648196544</v>
      </c>
      <c r="H50" s="94">
        <f>SUMIFS('Resultat-Produktion &amp; forbrug'!H$4:H$291,'Resultat-Produktion &amp; forbrug'!$A$4:$A$291,'Produktion &amp; forbrug'!$A50,'Resultat-Produktion &amp; forbrug'!$E$4:$E$291,'Produktion &amp; forbrug'!$F50)</f>
        <v>0</v>
      </c>
      <c r="I50" s="94">
        <f>SUMIFS('Resultat-Produktion &amp; forbrug'!I$4:I$291,'Resultat-Produktion &amp; forbrug'!$A$4:$A$291,'Produktion &amp; forbrug'!$A50,'Resultat-Produktion &amp; forbrug'!$E$4:$E$291,'Produktion &amp; forbrug'!$F50)</f>
        <v>0</v>
      </c>
      <c r="J50" s="94">
        <f>SUMIFS('Resultat-Produktion &amp; forbrug'!J$4:J$291,'Resultat-Produktion &amp; forbrug'!$A$4:$A$291,'Produktion &amp; forbrug'!$A50,'Resultat-Produktion &amp; forbrug'!$E$4:$E$291,'Produktion &amp; forbrug'!$F50)</f>
        <v>0</v>
      </c>
      <c r="K50" s="94">
        <f>SUMIFS('Resultat-Produktion &amp; forbrug'!K$4:K$291,'Resultat-Produktion &amp; forbrug'!$A$4:$A$291,'Produktion &amp; forbrug'!$A50,'Resultat-Produktion &amp; forbrug'!$E$4:$E$291,'Produktion &amp; forbrug'!$F50)</f>
        <v>0</v>
      </c>
      <c r="L50" s="94">
        <f>SUMIFS('Resultat-Produktion &amp; forbrug'!L$4:L$291,'Resultat-Produktion &amp; forbrug'!$A$4:$A$291,'Produktion &amp; forbrug'!$A50,'Resultat-Produktion &amp; forbrug'!$E$4:$E$291,'Produktion &amp; forbrug'!$F50)</f>
        <v>0</v>
      </c>
      <c r="M50" s="94">
        <f ca="1">SUMIFS('Resultat-Produktion &amp; forbrug'!M$4:M$291,'Resultat-Produktion &amp; forbrug'!$A$4:$A$291,'Produktion &amp; forbrug'!$A50,'Resultat-Produktion &amp; forbrug'!$E$4:$E$291,'Produktion &amp; forbrug'!$F50)</f>
        <v>3010292.0648196544</v>
      </c>
      <c r="N50" s="94">
        <f>SUMIFS('Resultat-Produktion &amp; forbrug'!N$4:N$291,'Resultat-Produktion &amp; forbrug'!$A$4:$A$291,'Produktion &amp; forbrug'!$A50,'Resultat-Produktion &amp; forbrug'!$E$4:$E$291,'Produktion &amp; forbrug'!$F50)</f>
        <v>0</v>
      </c>
      <c r="O50" s="179">
        <f t="shared" ca="1" si="3"/>
        <v>0</v>
      </c>
      <c r="P50" s="94">
        <f t="shared" ca="1" si="4"/>
        <v>0</v>
      </c>
      <c r="Q50" s="180">
        <f t="shared" ca="1" si="5"/>
        <v>3010292.0648196544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IF(A50&lt;&gt;"Biogas",IFERROR(VLOOKUP(A50,[1]Biogasudbytte!$A$2:$B$18,2,FALSE)*[1]Energiindhold!$C$10,0)*K50*IFERROR(VLOOKUP(A50,Biogasanlæg!$F$3:$G$8,2,FALSE),1)+IFERROR(VLOOKUP(A50,[1]Energiindhold!$A$2:$C$11,3,FALSE),0)*M50+IF(F50&lt;&gt;År1,R50,0),0)</f>
        <v>43.629875452920864</v>
      </c>
      <c r="T50">
        <f>IFERROR(VLOOKUP(A50,[1]Biogasudbytte!$A$2:$B$18,2,FALSE)*[1]Energiindhold!$C$10,0)*K50*IFERROR(VLOOKUP(A50,Biogasanlæg!$F$3:$G$8,2,FALSE),1)</f>
        <v>0</v>
      </c>
      <c r="U50" s="170">
        <f t="shared" ca="1" si="6"/>
        <v>43.629875452920864</v>
      </c>
      <c r="V50" s="169">
        <f ca="1">P50*IFERROR(VLOOKUP(A50,[1]Tørstofindhold!A$2:B$24,2,FALSE),0)</f>
        <v>0</v>
      </c>
      <c r="W50">
        <f ca="1">IF(F50=År1,Q50,SUM(P50,Q50))*IFERROR(VLOOKUP(A50,[1]Tørstofindhold!A$2:B$24,2,FALSE),0)</f>
        <v>1488840.2837253874</v>
      </c>
      <c r="X50">
        <f>K50*IFERROR(VLOOKUP(A50,[1]Tørstofindhold!A$2:B$24,2,FALSE),0)</f>
        <v>0</v>
      </c>
      <c r="Y50" s="170">
        <f t="shared" ca="1" si="7"/>
        <v>1488840.2837253874</v>
      </c>
      <c r="Z50">
        <f t="shared" ca="1" si="9"/>
        <v>0</v>
      </c>
      <c r="AA50">
        <f t="shared" ca="1" si="10"/>
        <v>0</v>
      </c>
      <c r="AC50" s="94">
        <f t="shared" ca="1" si="8"/>
        <v>3010292.0648196544</v>
      </c>
      <c r="AD50">
        <f ca="1">AC50*E50*10000*VLOOKUP(A50,[1]kcal!$A$2:$C$49,3,FALSE)/1000000000000</f>
        <v>0</v>
      </c>
    </row>
    <row r="51" spans="1:30" x14ac:dyDescent="0.25">
      <c r="A51" s="171" t="s">
        <v>118</v>
      </c>
      <c r="B51" s="171"/>
      <c r="C51" s="171" t="str">
        <f>IFERROR(VLOOKUP(A51,'Kategorisering af kcal'!$J$2:$K$18,2,FALSE),"")</f>
        <v/>
      </c>
      <c r="D51" s="171">
        <f>IF(COUNTIFS('Resultater - Danmark'!$D$3:$D$504,'Produktion &amp; forbrug'!A51,'Resultater - Danmark'!$A$3:$A$504,"Til energi")+COUNTIFS('Resultater - Danmark'!$D$3:$D$504,'Produktion &amp; forbrug'!A51,'Resultater - Danmark'!$A$3:$A$504,"Biogasanlæg")&gt;0,1,0)</f>
        <v>0</v>
      </c>
      <c r="E51" s="171">
        <v>0</v>
      </c>
      <c r="F51" s="171">
        <f t="shared" si="0"/>
        <v>2019</v>
      </c>
      <c r="G51" s="94">
        <f ca="1">SUMIFS('Resultat-Produktion &amp; forbrug'!G$4:G$291,'Resultat-Produktion &amp; forbrug'!$A$4:$A$291,'Produktion &amp; forbrug'!$A51,'Resultat-Produktion &amp; forbrug'!$E$4:$E$291,'Produktion &amp; forbrug'!$F51)</f>
        <v>827707.93518034508</v>
      </c>
      <c r="H51" s="94">
        <f>SUMIFS('Resultat-Produktion &amp; forbrug'!H$4:H$291,'Resultat-Produktion &amp; forbrug'!$A$4:$A$291,'Produktion &amp; forbrug'!$A51,'Resultat-Produktion &amp; forbrug'!$E$4:$E$291,'Produktion &amp; forbrug'!$F51)</f>
        <v>0</v>
      </c>
      <c r="I51" s="94">
        <f>SUMIFS('Resultat-Produktion &amp; forbrug'!I$4:I$291,'Resultat-Produktion &amp; forbrug'!$A$4:$A$291,'Produktion &amp; forbrug'!$A51,'Resultat-Produktion &amp; forbrug'!$E$4:$E$291,'Produktion &amp; forbrug'!$F51)</f>
        <v>0</v>
      </c>
      <c r="J51" s="94">
        <f>SUMIFS('Resultat-Produktion &amp; forbrug'!J$4:J$291,'Resultat-Produktion &amp; forbrug'!$A$4:$A$291,'Produktion &amp; forbrug'!$A51,'Resultat-Produktion &amp; forbrug'!$E$4:$E$291,'Produktion &amp; forbrug'!$F51)</f>
        <v>0</v>
      </c>
      <c r="K51" s="94">
        <f>SUMIFS('Resultat-Produktion &amp; forbrug'!K$4:K$291,'Resultat-Produktion &amp; forbrug'!$A$4:$A$291,'Produktion &amp; forbrug'!$A51,'Resultat-Produktion &amp; forbrug'!$E$4:$E$291,'Produktion &amp; forbrug'!$F51)</f>
        <v>0</v>
      </c>
      <c r="L51" s="94">
        <f>SUMIFS('Resultat-Produktion &amp; forbrug'!L$4:L$291,'Resultat-Produktion &amp; forbrug'!$A$4:$A$291,'Produktion &amp; forbrug'!$A51,'Resultat-Produktion &amp; forbrug'!$E$4:$E$291,'Produktion &amp; forbrug'!$F51)</f>
        <v>0</v>
      </c>
      <c r="M51" s="94">
        <f>SUMIFS('Resultat-Produktion &amp; forbrug'!M$4:M$291,'Resultat-Produktion &amp; forbrug'!$A$4:$A$291,'Produktion &amp; forbrug'!$A51,'Resultat-Produktion &amp; forbrug'!$E$4:$E$291,'Produktion &amp; forbrug'!$F51)</f>
        <v>0</v>
      </c>
      <c r="N51" s="94">
        <f ca="1">SUMIFS('Resultat-Produktion &amp; forbrug'!N$4:N$291,'Resultat-Produktion &amp; forbrug'!$A$4:$A$291,'Produktion &amp; forbrug'!$A51,'Resultat-Produktion &amp; forbrug'!$E$4:$E$291,'Produktion &amp; forbrug'!$F51)</f>
        <v>827707.93518034508</v>
      </c>
      <c r="O51" s="179">
        <f t="shared" ca="1" si="3"/>
        <v>0</v>
      </c>
      <c r="P51" s="94">
        <f t="shared" si="4"/>
        <v>0</v>
      </c>
      <c r="Q51" s="180">
        <f t="shared" si="5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IF(A51&lt;&gt;"Biogas",IFERROR(VLOOKUP(A51,[1]Biogasudbytte!$A$2:$B$18,2,FALSE)*[1]Energiindhold!$C$10,0)*K51*IFERROR(VLOOKUP(A51,Biogasanlæg!$F$3:$G$8,2,FALSE),1)+IFERROR(VLOOKUP(A51,[1]Energiindhold!$A$2:$C$11,3,FALSE),0)*M51+IF(F51&lt;&gt;År1,R51,0),0)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6"/>
        <v>0</v>
      </c>
      <c r="V51" s="169">
        <f>P51*IFERROR(VLOOKUP(A51,[1]Tørstofindhold!A$2:B$24,2,FALSE),0)</f>
        <v>0</v>
      </c>
      <c r="W51">
        <f>IF(F51=År1,Q51,SUM(P51,Q51))*IFERROR(VLOOKUP(A51,[1]Tørstofindhold!A$2:B$24,2,FALSE),0)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7"/>
        <v>0</v>
      </c>
      <c r="Z51">
        <f t="shared" ca="1" si="9"/>
        <v>0</v>
      </c>
      <c r="AA51">
        <f t="shared" ca="1" si="10"/>
        <v>0</v>
      </c>
      <c r="AC51" s="94">
        <f t="shared" ca="1" si="8"/>
        <v>827707.93518034508</v>
      </c>
      <c r="AD51">
        <f ca="1">AC51*E51*10000*VLOOKUP(A51,[1]kcal!$A$2:$C$49,3,FALSE)/1000000000000</f>
        <v>0</v>
      </c>
    </row>
    <row r="52" spans="1:30" x14ac:dyDescent="0.25">
      <c r="A52" s="171" t="str">
        <f t="shared" ref="A52:A115" si="11">A4</f>
        <v>Æg</v>
      </c>
      <c r="B52" s="171" t="str">
        <f t="shared" ref="B52:B115" si="12">IF(B4&lt;&gt;"",B4,"")</f>
        <v/>
      </c>
      <c r="C52" s="171" t="str">
        <f>IFERROR(VLOOKUP(A52,'Kategorisering af kcal'!$J$2:$K$18,2,FALSE),"")</f>
        <v>Æg</v>
      </c>
      <c r="D52" s="171">
        <f>IF(COUNTIFS('Resultater - Danmark'!$D$3:$D$504,'Produktion &amp; forbrug'!A52,'Resultater - Danmark'!$A$3:$A$504,"Til energi")+COUNTIFS('Resultater - Danmark'!$D$3:$D$504,'Produktion &amp; forbrug'!A52,'Resultater - Danmark'!$A$3:$A$504,"Biogasanlæg")&gt;0,1,0)</f>
        <v>0</v>
      </c>
      <c r="E52" s="171">
        <f>E4</f>
        <v>1</v>
      </c>
      <c r="F52" s="171">
        <f t="shared" ref="F52:F99" si="13">År2</f>
        <v>2030</v>
      </c>
      <c r="G52" s="94">
        <f>SUMIFS('Resultat-Produktion &amp; forbrug'!G$4:G$291,'Resultat-Produktion &amp; forbrug'!$A$4:$A$291,'Produktion &amp; forbrug'!$A52,'Resultat-Produktion &amp; forbrug'!$E$4:$E$291,'Produktion &amp; forbrug'!$F52)</f>
        <v>148811.68461728521</v>
      </c>
      <c r="H52" s="94">
        <f>SUMIFS('Resultat-Produktion &amp; forbrug'!H$4:H$291,'Resultat-Produktion &amp; forbrug'!$A$4:$A$291,'Produktion &amp; forbrug'!$A52,'Resultat-Produktion &amp; forbrug'!$E$4:$E$291,'Produktion &amp; forbrug'!$F52)</f>
        <v>0</v>
      </c>
      <c r="I52" s="94">
        <f>SUMIFS('Resultat-Produktion &amp; forbrug'!I$4:I$291,'Resultat-Produktion &amp; forbrug'!$A$4:$A$291,'Produktion &amp; forbrug'!$A52,'Resultat-Produktion &amp; forbrug'!$E$4:$E$291,'Produktion &amp; forbrug'!$F52)</f>
        <v>0</v>
      </c>
      <c r="J52" s="94">
        <f>SUMIFS('Resultat-Produktion &amp; forbrug'!J$4:J$291,'Resultat-Produktion &amp; forbrug'!$A$4:$A$291,'Produktion &amp; forbrug'!$A52,'Resultat-Produktion &amp; forbrug'!$E$4:$E$291,'Produktion &amp; forbrug'!$F52)</f>
        <v>60789.12467762841</v>
      </c>
      <c r="K52" s="94">
        <f>SUMIFS('Resultat-Produktion &amp; forbrug'!K$4:K$291,'Resultat-Produktion &amp; forbrug'!$A$4:$A$291,'Produktion &amp; forbrug'!$A52,'Resultat-Produktion &amp; forbrug'!$E$4:$E$291,'Produktion &amp; forbrug'!$F52)</f>
        <v>0</v>
      </c>
      <c r="L52" s="94">
        <f>SUMIFS('Resultat-Produktion &amp; forbrug'!L$4:L$291,'Resultat-Produktion &amp; forbrug'!$A$4:$A$291,'Produktion &amp; forbrug'!$A52,'Resultat-Produktion &amp; forbrug'!$E$4:$E$291,'Produktion &amp; forbrug'!$F52)</f>
        <v>0</v>
      </c>
      <c r="M52" s="94">
        <f>SUMIFS('Resultat-Produktion &amp; forbrug'!M$4:M$291,'Resultat-Produktion &amp; forbrug'!$A$4:$A$291,'Produktion &amp; forbrug'!$A52,'Resultat-Produktion &amp; forbrug'!$E$4:$E$291,'Produktion &amp; forbrug'!$F52)</f>
        <v>0</v>
      </c>
      <c r="N52" s="94">
        <f>SUMIFS('Resultat-Produktion &amp; forbrug'!N$4:N$291,'Resultat-Produktion &amp; forbrug'!$A$4:$A$291,'Produktion &amp; forbrug'!$A52,'Resultat-Produktion &amp; forbrug'!$E$4:$E$291,'Produktion &amp; forbrug'!$F52)</f>
        <v>0</v>
      </c>
      <c r="O52" s="179">
        <f t="shared" si="3"/>
        <v>88022.5599396568</v>
      </c>
      <c r="P52" s="94">
        <f t="shared" si="4"/>
        <v>0</v>
      </c>
      <c r="Q52" s="180">
        <f t="shared" si="5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IF(A52&lt;&gt;"Biogas",IFERROR(VLOOKUP(A52,[1]Biogasudbytte!$A$2:$B$18,2,FALSE)*[1]Energiindhold!$C$10,0)*K52*IFERROR(VLOOKUP(A52,Biogasanlæg!$F$3:$G$8,2,FALSE),1)+IFERROR(VLOOKUP(A52,[1]Energiindhold!$A$2:$C$11,3,FALSE),0)*M52+IF(F52&lt;&gt;År1,R52,0),0)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6"/>
        <v>0</v>
      </c>
      <c r="V52" s="169">
        <f>P52*IFERROR(VLOOKUP(A52,[1]Tørstofindhold!A$2:B$24,2,FALSE),0)</f>
        <v>0</v>
      </c>
      <c r="W52">
        <f>IF(F52=År1,Q52,SUM(P52,Q52))*IFERROR(VLOOKUP(A52,[1]Tørstofindhold!A$2:B$24,2,FALSE),0)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7"/>
        <v>0</v>
      </c>
      <c r="Z52">
        <f t="shared" si="9"/>
        <v>0</v>
      </c>
      <c r="AA52">
        <f t="shared" si="10"/>
        <v>1</v>
      </c>
      <c r="AC52" s="94">
        <f t="shared" si="8"/>
        <v>148811.68461728521</v>
      </c>
      <c r="AD52">
        <f>AC52*E52*10000*VLOOKUP(A52,[1]kcal!$A$2:$C$49,3,FALSE)/1000000000000</f>
        <v>0.20536012477185359</v>
      </c>
    </row>
    <row r="53" spans="1:30" x14ac:dyDescent="0.25">
      <c r="A53" s="171" t="str">
        <f t="shared" si="11"/>
        <v>Bælgsæd</v>
      </c>
      <c r="B53" s="171" t="str">
        <f t="shared" si="12"/>
        <v/>
      </c>
      <c r="C53" s="171" t="str">
        <f>IFERROR(VLOOKUP(A53,'Kategorisering af kcal'!$J$2:$K$18,2,FALSE),"")</f>
        <v>Bælgsæd</v>
      </c>
      <c r="D53" s="171">
        <f>IF(COUNTIFS('Resultater - Danmark'!$D$3:$D$504,'Produktion &amp; forbrug'!A53,'Resultater - Danmark'!$A$3:$A$504,"Til energi")+COUNTIFS('Resultater - Danmark'!$D$3:$D$504,'Produktion &amp; forbrug'!A53,'Resultater - Danmark'!$A$3:$A$504,"Biogasanlæg")&gt;0,1,0)</f>
        <v>0</v>
      </c>
      <c r="E53" s="171">
        <f t="shared" ref="E53:E116" si="14">E5</f>
        <v>1</v>
      </c>
      <c r="F53" s="171">
        <f t="shared" si="13"/>
        <v>2030</v>
      </c>
      <c r="G53" s="94">
        <f>SUMIFS('Resultat-Produktion &amp; forbrug'!G$4:G$291,'Resultat-Produktion &amp; forbrug'!$A$4:$A$291,'Produktion &amp; forbrug'!$A53,'Resultat-Produktion &amp; forbrug'!$E$4:$E$291,'Produktion &amp; forbrug'!$F53)</f>
        <v>1046447.7701634195</v>
      </c>
      <c r="H53" s="94">
        <f>SUMIFS('Resultat-Produktion &amp; forbrug'!H$4:H$291,'Resultat-Produktion &amp; forbrug'!$A$4:$A$291,'Produktion &amp; forbrug'!$A53,'Resultat-Produktion &amp; forbrug'!$E$4:$E$291,'Produktion &amp; forbrug'!$F53)</f>
        <v>48910.366343274291</v>
      </c>
      <c r="I53" s="94">
        <f>SUMIFS('Resultat-Produktion &amp; forbrug'!I$4:I$291,'Resultat-Produktion &amp; forbrug'!$A$4:$A$291,'Produktion &amp; forbrug'!$A53,'Resultat-Produktion &amp; forbrug'!$E$4:$E$291,'Produktion &amp; forbrug'!$F53)</f>
        <v>0</v>
      </c>
      <c r="J53" s="94">
        <f>SUMIFS('Resultat-Produktion &amp; forbrug'!J$4:J$291,'Resultat-Produktion &amp; forbrug'!$A$4:$A$291,'Produktion &amp; forbrug'!$A53,'Resultat-Produktion &amp; forbrug'!$E$4:$E$291,'Produktion &amp; forbrug'!$F53)</f>
        <v>0</v>
      </c>
      <c r="K53" s="94">
        <f>SUMIFS('Resultat-Produktion &amp; forbrug'!K$4:K$291,'Resultat-Produktion &amp; forbrug'!$A$4:$A$291,'Produktion &amp; forbrug'!$A53,'Resultat-Produktion &amp; forbrug'!$E$4:$E$291,'Produktion &amp; forbrug'!$F53)</f>
        <v>0</v>
      </c>
      <c r="L53" s="94">
        <f>SUMIFS('Resultat-Produktion &amp; forbrug'!L$4:L$291,'Resultat-Produktion &amp; forbrug'!$A$4:$A$291,'Produktion &amp; forbrug'!$A53,'Resultat-Produktion &amp; forbrug'!$E$4:$E$291,'Produktion &amp; forbrug'!$F53)</f>
        <v>0</v>
      </c>
      <c r="M53" s="94">
        <f>SUMIFS('Resultat-Produktion &amp; forbrug'!M$4:M$291,'Resultat-Produktion &amp; forbrug'!$A$4:$A$291,'Produktion &amp; forbrug'!$A53,'Resultat-Produktion &amp; forbrug'!$E$4:$E$291,'Produktion &amp; forbrug'!$F53)</f>
        <v>0</v>
      </c>
      <c r="N53" s="94">
        <f>SUMIFS('Resultat-Produktion &amp; forbrug'!N$4:N$291,'Resultat-Produktion &amp; forbrug'!$A$4:$A$291,'Produktion &amp; forbrug'!$A53,'Resultat-Produktion &amp; forbrug'!$E$4:$E$291,'Produktion &amp; forbrug'!$F53)</f>
        <v>0</v>
      </c>
      <c r="O53" s="179">
        <f t="shared" si="3"/>
        <v>997537.40382014529</v>
      </c>
      <c r="P53" s="94">
        <f t="shared" si="4"/>
        <v>0</v>
      </c>
      <c r="Q53" s="180">
        <f t="shared" si="5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IF(A53&lt;&gt;"Biogas",IFERROR(VLOOKUP(A53,[1]Biogasudbytte!$A$2:$B$18,2,FALSE)*[1]Energiindhold!$C$10,0)*K53*IFERROR(VLOOKUP(A53,Biogasanlæg!$F$3:$G$8,2,FALSE),1)+IFERROR(VLOOKUP(A53,[1]Energiindhold!$A$2:$C$11,3,FALSE),0)*M53+IF(F53&lt;&gt;År1,R53,0),0)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6"/>
        <v>0</v>
      </c>
      <c r="V53" s="169">
        <f>P53*IFERROR(VLOOKUP(A53,[1]Tørstofindhold!A$2:B$24,2,FALSE),0)</f>
        <v>0</v>
      </c>
      <c r="W53">
        <f>IF(F53=År1,Q53,SUM(P53,Q53))*IFERROR(VLOOKUP(A53,[1]Tørstofindhold!A$2:B$24,2,FALSE),0)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7"/>
        <v>0</v>
      </c>
      <c r="Z53">
        <f t="shared" si="9"/>
        <v>0</v>
      </c>
      <c r="AA53">
        <f t="shared" si="10"/>
        <v>1</v>
      </c>
      <c r="AC53" s="94">
        <f t="shared" si="8"/>
        <v>997537.40382014529</v>
      </c>
      <c r="AD53">
        <f>AC53*E53*10000*VLOOKUP(A53,[1]kcal!$A$2:$C$49,3,FALSE)/1000000000000</f>
        <v>6.9278972695309085</v>
      </c>
    </row>
    <row r="54" spans="1:30" x14ac:dyDescent="0.25">
      <c r="A54" s="171" t="str">
        <f t="shared" si="11"/>
        <v>Bioaffald</v>
      </c>
      <c r="B54" s="171" t="str">
        <f t="shared" si="12"/>
        <v>Bionedbrydeligt affald</v>
      </c>
      <c r="C54" s="171" t="str">
        <f>IFERROR(VLOOKUP(A54,'Kategorisering af kcal'!$J$2:$K$18,2,FALSE),"")</f>
        <v/>
      </c>
      <c r="D54" s="171">
        <f>IF(COUNTIFS('Resultater - Danmark'!$D$3:$D$504,'Produktion &amp; forbrug'!A54,'Resultater - Danmark'!$A$3:$A$504,"Til energi")+COUNTIFS('Resultater - Danmark'!$D$3:$D$504,'Produktion &amp; forbrug'!A54,'Resultater - Danmark'!$A$3:$A$504,"Biogasanlæg")&gt;0,1,0)</f>
        <v>1</v>
      </c>
      <c r="E54" s="171">
        <f t="shared" si="14"/>
        <v>0</v>
      </c>
      <c r="F54" s="171">
        <f t="shared" si="13"/>
        <v>2030</v>
      </c>
      <c r="G54" s="94">
        <f ca="1">SUMIFS('Resultat-Produktion &amp; forbrug'!G$4:G$291,'Resultat-Produktion &amp; forbrug'!$A$4:$A$291,'Produktion &amp; forbrug'!$A54,'Resultat-Produktion &amp; forbrug'!$E$4:$E$291,'Produktion &amp; forbrug'!$F54)</f>
        <v>363994.97174274386</v>
      </c>
      <c r="H54" s="94">
        <f>SUMIFS('Resultat-Produktion &amp; forbrug'!H$4:H$291,'Resultat-Produktion &amp; forbrug'!$A$4:$A$291,'Produktion &amp; forbrug'!$A54,'Resultat-Produktion &amp; forbrug'!$E$4:$E$291,'Produktion &amp; forbrug'!$F54)</f>
        <v>0</v>
      </c>
      <c r="I54" s="94">
        <f>SUMIFS('Resultat-Produktion &amp; forbrug'!I$4:I$291,'Resultat-Produktion &amp; forbrug'!$A$4:$A$291,'Produktion &amp; forbrug'!$A54,'Resultat-Produktion &amp; forbrug'!$E$4:$E$291,'Produktion &amp; forbrug'!$F54)</f>
        <v>0</v>
      </c>
      <c r="J54" s="94">
        <f>SUMIFS('Resultat-Produktion &amp; forbrug'!J$4:J$291,'Resultat-Produktion &amp; forbrug'!$A$4:$A$291,'Produktion &amp; forbrug'!$A54,'Resultat-Produktion &amp; forbrug'!$E$4:$E$291,'Produktion &amp; forbrug'!$F54)</f>
        <v>0</v>
      </c>
      <c r="K54" s="94">
        <f ca="1">SUMIFS('Resultat-Produktion &amp; forbrug'!K$4:K$291,'Resultat-Produktion &amp; forbrug'!$A$4:$A$291,'Produktion &amp; forbrug'!$A54,'Resultat-Produktion &amp; forbrug'!$E$4:$E$291,'Produktion &amp; forbrug'!$F54)</f>
        <v>0</v>
      </c>
      <c r="L54" s="94">
        <f>SUMIFS('Resultat-Produktion &amp; forbrug'!L$4:L$291,'Resultat-Produktion &amp; forbrug'!$A$4:$A$291,'Produktion &amp; forbrug'!$A54,'Resultat-Produktion &amp; forbrug'!$E$4:$E$291,'Produktion &amp; forbrug'!$F54)</f>
        <v>0</v>
      </c>
      <c r="M54" s="94">
        <f ca="1">SUMIFS('Resultat-Produktion &amp; forbrug'!M$4:M$291,'Resultat-Produktion &amp; forbrug'!$A$4:$A$291,'Produktion &amp; forbrug'!$A54,'Resultat-Produktion &amp; forbrug'!$E$4:$E$291,'Produktion &amp; forbrug'!$F54)</f>
        <v>363994.97174274386</v>
      </c>
      <c r="N54" s="94">
        <f ca="1">SUMIFS('Resultat-Produktion &amp; forbrug'!N$4:N$291,'Resultat-Produktion &amp; forbrug'!$A$4:$A$291,'Produktion &amp; forbrug'!$A54,'Resultat-Produktion &amp; forbrug'!$E$4:$E$291,'Produktion &amp; forbrug'!$F54)</f>
        <v>0</v>
      </c>
      <c r="O54" s="179">
        <f t="shared" ca="1" si="3"/>
        <v>0</v>
      </c>
      <c r="P54" s="94">
        <f t="shared" ca="1" si="4"/>
        <v>0</v>
      </c>
      <c r="Q54" s="180">
        <f t="shared" ca="1" si="5"/>
        <v>363994.97174274386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IF(A54&lt;&gt;"Biogas",IFERROR(VLOOKUP(A54,[1]Biogasudbytte!$A$2:$B$18,2,FALSE)*[1]Energiindhold!$C$10,0)*K54*IFERROR(VLOOKUP(A54,Biogasanlæg!$F$3:$G$8,2,FALSE),1)+IFERROR(VLOOKUP(A54,[1]Energiindhold!$A$2:$C$11,3,FALSE),0)*M54+IF(F54&lt;&gt;År1,R54,0),0)</f>
        <v>6.4981185039678975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6"/>
        <v>6.4981185039678975</v>
      </c>
      <c r="V54" s="169">
        <f ca="1">P54*IFERROR(VLOOKUP(A54,[1]Tørstofindhold!A$2:B$24,2,FALSE),0)</f>
        <v>0</v>
      </c>
      <c r="W54">
        <f ca="1">IF(F54=År1,Q54,SUM(P54,Q54))*IFERROR(VLOOKUP(A54,[1]Tørstofindhold!A$2:B$24,2,FALSE),0)</f>
        <v>101918.5920879683</v>
      </c>
      <c r="X54">
        <f ca="1">K54*IFERROR(VLOOKUP(A54,[1]Tørstofindhold!A$2:B$24,2,FALSE),0)</f>
        <v>0</v>
      </c>
      <c r="Y54" s="170">
        <f t="shared" ca="1" si="7"/>
        <v>101918.5920879683</v>
      </c>
      <c r="Z54">
        <f t="shared" ca="1" si="9"/>
        <v>0</v>
      </c>
      <c r="AA54">
        <f t="shared" ca="1" si="10"/>
        <v>0</v>
      </c>
      <c r="AC54" s="94">
        <f t="shared" ca="1" si="8"/>
        <v>363994.97174274386</v>
      </c>
      <c r="AD54">
        <f ca="1">AC54*E54*10000*VLOOKUP(A54,[1]kcal!$A$2:$C$49,3,FALSE)/1000000000000</f>
        <v>0</v>
      </c>
    </row>
    <row r="55" spans="1:30" x14ac:dyDescent="0.25">
      <c r="A55" s="171" t="str">
        <f t="shared" si="11"/>
        <v>Biogas</v>
      </c>
      <c r="B55" s="171" t="str">
        <f t="shared" si="12"/>
        <v/>
      </c>
      <c r="C55" s="171" t="str">
        <f>IFERROR(VLOOKUP(A55,'Kategorisering af kcal'!$J$2:$K$18,2,FALSE),"")</f>
        <v/>
      </c>
      <c r="D55" s="171">
        <f>IF(COUNTIFS('Resultater - Danmark'!$D$3:$D$504,'Produktion &amp; forbrug'!A55,'Resultater - Danmark'!$A$3:$A$504,"Til energi")+COUNTIFS('Resultater - Danmark'!$D$3:$D$504,'Produktion &amp; forbrug'!A55,'Resultater - Danmark'!$A$3:$A$504,"Biogasanlæg")&gt;0,1,0)</f>
        <v>1</v>
      </c>
      <c r="E55" s="171">
        <f t="shared" si="14"/>
        <v>0</v>
      </c>
      <c r="F55" s="171">
        <f t="shared" si="13"/>
        <v>2030</v>
      </c>
      <c r="G55" s="94">
        <f ca="1">SUMIFS('Resultat-Produktion &amp; forbrug'!G$4:G$291,'Resultat-Produktion &amp; forbrug'!$A$4:$A$291,'Produktion &amp; forbrug'!$A55,'Resultat-Produktion &amp; forbrug'!$E$4:$E$291,'Produktion &amp; forbrug'!$F55)</f>
        <v>453395215.21617842</v>
      </c>
      <c r="H55" s="94">
        <f>SUMIFS('Resultat-Produktion &amp; forbrug'!H$4:H$291,'Resultat-Produktion &amp; forbrug'!$A$4:$A$291,'Produktion &amp; forbrug'!$A55,'Resultat-Produktion &amp; forbrug'!$E$4:$E$291,'Produktion &amp; forbrug'!$F55)</f>
        <v>0</v>
      </c>
      <c r="I55" s="94">
        <f>SUMIFS('Resultat-Produktion &amp; forbrug'!I$4:I$291,'Resultat-Produktion &amp; forbrug'!$A$4:$A$291,'Produktion &amp; forbrug'!$A55,'Resultat-Produktion &amp; forbrug'!$E$4:$E$291,'Produktion &amp; forbrug'!$F55)</f>
        <v>0</v>
      </c>
      <c r="J55" s="94">
        <f>SUMIFS('Resultat-Produktion &amp; forbrug'!J$4:J$291,'Resultat-Produktion &amp; forbrug'!$A$4:$A$291,'Produktion &amp; forbrug'!$A55,'Resultat-Produktion &amp; forbrug'!$E$4:$E$291,'Produktion &amp; forbrug'!$F55)</f>
        <v>0</v>
      </c>
      <c r="K55" s="94">
        <f>SUMIFS('Resultat-Produktion &amp; forbrug'!K$4:K$291,'Resultat-Produktion &amp; forbrug'!$A$4:$A$291,'Produktion &amp; forbrug'!$A55,'Resultat-Produktion &amp; forbrug'!$E$4:$E$291,'Produktion &amp; forbrug'!$F55)</f>
        <v>0</v>
      </c>
      <c r="L55" s="94">
        <f>SUMIFS('Resultat-Produktion &amp; forbrug'!L$4:L$291,'Resultat-Produktion &amp; forbrug'!$A$4:$A$291,'Produktion &amp; forbrug'!$A55,'Resultat-Produktion &amp; forbrug'!$E$4:$E$291,'Produktion &amp; forbrug'!$F55)</f>
        <v>0</v>
      </c>
      <c r="M55" s="94">
        <f ca="1">SUMIFS('Resultat-Produktion &amp; forbrug'!M$4:M$291,'Resultat-Produktion &amp; forbrug'!$A$4:$A$291,'Produktion &amp; forbrug'!$A55,'Resultat-Produktion &amp; forbrug'!$E$4:$E$291,'Produktion &amp; forbrug'!$F55)</f>
        <v>453395215.21617842</v>
      </c>
      <c r="N55" s="94">
        <f>SUMIFS('Resultat-Produktion &amp; forbrug'!N$4:N$291,'Resultat-Produktion &amp; forbrug'!$A$4:$A$291,'Produktion &amp; forbrug'!$A55,'Resultat-Produktion &amp; forbrug'!$E$4:$E$291,'Produktion &amp; forbrug'!$F55)</f>
        <v>0</v>
      </c>
      <c r="O55" s="179">
        <f t="shared" ca="1" si="3"/>
        <v>0</v>
      </c>
      <c r="P55" s="94">
        <f t="shared" ca="1" si="4"/>
        <v>0</v>
      </c>
      <c r="Q55" s="180">
        <f t="shared" ca="1" si="5"/>
        <v>453395215.21617842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IF(A55&lt;&gt;"Biogas",IFERROR(VLOOKUP(A55,[1]Biogasudbytte!$A$2:$B$18,2,FALSE)*[1]Energiindhold!$C$10,0)*K55*IFERROR(VLOOKUP(A55,Biogasanlæg!$F$3:$G$8,2,FALSE),1)+IFERROR(VLOOKUP(A55,[1]Energiindhold!$A$2:$C$11,3,FALSE),0)*M55+IF(F55&lt;&gt;År1,R55,0),0)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6"/>
        <v>0</v>
      </c>
      <c r="V55" s="169">
        <f ca="1">P55*IFERROR(VLOOKUP(A55,[1]Tørstofindhold!A$2:B$24,2,FALSE),0)</f>
        <v>0</v>
      </c>
      <c r="W55">
        <f ca="1">IF(F55=År1,Q55,SUM(P55,Q55))*IFERROR(VLOOKUP(A55,[1]Tørstofindhold!A$2:B$24,2,FALSE),0)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7"/>
        <v>0</v>
      </c>
      <c r="Z55">
        <f t="shared" ca="1" si="9"/>
        <v>0</v>
      </c>
      <c r="AA55">
        <f t="shared" ca="1" si="10"/>
        <v>0</v>
      </c>
      <c r="AC55" s="94">
        <f t="shared" ca="1" si="8"/>
        <v>453395215.21617842</v>
      </c>
      <c r="AD55">
        <f ca="1">AC55*E55*10000*VLOOKUP(A55,[1]kcal!$A$2:$C$49,3,FALSE)/1000000000000</f>
        <v>0</v>
      </c>
    </row>
    <row r="56" spans="1:30" x14ac:dyDescent="0.25">
      <c r="A56" s="171" t="str">
        <f t="shared" si="11"/>
        <v>Biogasgylle</v>
      </c>
      <c r="B56" s="171" t="str">
        <f t="shared" si="12"/>
        <v/>
      </c>
      <c r="C56" s="171" t="str">
        <f>IFERROR(VLOOKUP(A56,'Kategorisering af kcal'!$J$2:$K$18,2,FALSE),"")</f>
        <v/>
      </c>
      <c r="D56" s="171">
        <f>IF(COUNTIFS('Resultater - Danmark'!$D$3:$D$504,'Produktion &amp; forbrug'!A56,'Resultater - Danmark'!$A$3:$A$504,"Til energi")+COUNTIFS('Resultater - Danmark'!$D$3:$D$504,'Produktion &amp; forbrug'!A56,'Resultater - Danmark'!$A$3:$A$504,"Biogasanlæg")&gt;0,1,0)</f>
        <v>0</v>
      </c>
      <c r="E56" s="171">
        <f t="shared" si="14"/>
        <v>0</v>
      </c>
      <c r="F56" s="171">
        <f t="shared" si="13"/>
        <v>2030</v>
      </c>
      <c r="G56" s="94">
        <f ca="1">SUMIFS('Resultat-Produktion &amp; forbrug'!G$4:G$291,'Resultat-Produktion &amp; forbrug'!$A$4:$A$291,'Produktion &amp; forbrug'!$A56,'Resultat-Produktion &amp; forbrug'!$E$4:$E$291,'Produktion &amp; forbrug'!$F56)</f>
        <v>18679597.222446498</v>
      </c>
      <c r="H56" s="94">
        <f>SUMIFS('Resultat-Produktion &amp; forbrug'!H$4:H$291,'Resultat-Produktion &amp; forbrug'!$A$4:$A$291,'Produktion &amp; forbrug'!$A56,'Resultat-Produktion &amp; forbrug'!$E$4:$E$291,'Produktion &amp; forbrug'!$F56)</f>
        <v>0</v>
      </c>
      <c r="I56" s="94">
        <f>SUMIFS('Resultat-Produktion &amp; forbrug'!I$4:I$291,'Resultat-Produktion &amp; forbrug'!$A$4:$A$291,'Produktion &amp; forbrug'!$A56,'Resultat-Produktion &amp; forbrug'!$E$4:$E$291,'Produktion &amp; forbrug'!$F56)</f>
        <v>0</v>
      </c>
      <c r="J56" s="94">
        <f>SUMIFS('Resultat-Produktion &amp; forbrug'!J$4:J$291,'Resultat-Produktion &amp; forbrug'!$A$4:$A$291,'Produktion &amp; forbrug'!$A56,'Resultat-Produktion &amp; forbrug'!$E$4:$E$291,'Produktion &amp; forbrug'!$F56)</f>
        <v>0</v>
      </c>
      <c r="K56" s="94">
        <f>SUMIFS('Resultat-Produktion &amp; forbrug'!K$4:K$291,'Resultat-Produktion &amp; forbrug'!$A$4:$A$291,'Produktion &amp; forbrug'!$A56,'Resultat-Produktion &amp; forbrug'!$E$4:$E$291,'Produktion &amp; forbrug'!$F56)</f>
        <v>0</v>
      </c>
      <c r="L56" s="94">
        <f ca="1">SUMIFS('Resultat-Produktion &amp; forbrug'!L$4:L$291,'Resultat-Produktion &amp; forbrug'!$A$4:$A$291,'Produktion &amp; forbrug'!$A56,'Resultat-Produktion &amp; forbrug'!$E$4:$E$291,'Produktion &amp; forbrug'!$F56)</f>
        <v>12803468.568539068</v>
      </c>
      <c r="M56" s="94">
        <f>SUMIFS('Resultat-Produktion &amp; forbrug'!M$4:M$291,'Resultat-Produktion &amp; forbrug'!$A$4:$A$291,'Produktion &amp; forbrug'!$A56,'Resultat-Produktion &amp; forbrug'!$E$4:$E$291,'Produktion &amp; forbrug'!$F56)</f>
        <v>0</v>
      </c>
      <c r="N56" s="94">
        <f>SUMIFS('Resultat-Produktion &amp; forbrug'!N$4:N$291,'Resultat-Produktion &amp; forbrug'!$A$4:$A$291,'Produktion &amp; forbrug'!$A56,'Resultat-Produktion &amp; forbrug'!$E$4:$E$291,'Produktion &amp; forbrug'!$F56)</f>
        <v>0</v>
      </c>
      <c r="O56" s="179">
        <f t="shared" ca="1" si="3"/>
        <v>5876128.6539074294</v>
      </c>
      <c r="P56" s="94">
        <f t="shared" si="4"/>
        <v>0</v>
      </c>
      <c r="Q56" s="180">
        <f t="shared" si="5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IF(A56&lt;&gt;"Biogas",IFERROR(VLOOKUP(A56,[1]Biogasudbytte!$A$2:$B$18,2,FALSE)*[1]Energiindhold!$C$10,0)*K56*IFERROR(VLOOKUP(A56,Biogasanlæg!$F$3:$G$8,2,FALSE),1)+IFERROR(VLOOKUP(A56,[1]Energiindhold!$A$2:$C$11,3,FALSE),0)*M56+IF(F56&lt;&gt;År1,R56,0),0)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6"/>
        <v>0</v>
      </c>
      <c r="V56" s="169">
        <f>P56*IFERROR(VLOOKUP(A56,[1]Tørstofindhold!A$2:B$24,2,FALSE),0)</f>
        <v>0</v>
      </c>
      <c r="W56">
        <f>IF(F56=År1,Q56,SUM(P56,Q56))*IFERROR(VLOOKUP(A56,[1]Tørstofindhold!A$2:B$24,2,FALSE),0)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7"/>
        <v>0</v>
      </c>
      <c r="Z56">
        <f t="shared" ca="1" si="9"/>
        <v>0</v>
      </c>
      <c r="AA56">
        <f t="shared" ca="1" si="10"/>
        <v>1</v>
      </c>
      <c r="AC56" s="94">
        <f t="shared" ca="1" si="8"/>
        <v>5876128.6539074294</v>
      </c>
      <c r="AD56">
        <f ca="1">AC56*E56*10000*VLOOKUP(A56,[1]kcal!$A$2:$C$49,3,FALSE)/1000000000000</f>
        <v>0</v>
      </c>
    </row>
    <row r="57" spans="1:30" x14ac:dyDescent="0.25">
      <c r="A57" s="171" t="str">
        <f t="shared" si="11"/>
        <v>Brun saft</v>
      </c>
      <c r="B57" s="171" t="str">
        <f t="shared" si="12"/>
        <v>Bionedbrydeligt affald</v>
      </c>
      <c r="C57" s="171" t="str">
        <f>IFERROR(VLOOKUP(A57,'Kategorisering af kcal'!$J$2:$K$18,2,FALSE),"")</f>
        <v/>
      </c>
      <c r="D57" s="171">
        <f>IF(COUNTIFS('Resultater - Danmark'!$D$3:$D$504,'Produktion &amp; forbrug'!A57,'Resultater - Danmark'!$A$3:$A$504,"Til energi")+COUNTIFS('Resultater - Danmark'!$D$3:$D$504,'Produktion &amp; forbrug'!A57,'Resultater - Danmark'!$A$3:$A$504,"Biogasanlæg")&gt;0,1,0)</f>
        <v>1</v>
      </c>
      <c r="E57" s="171">
        <f t="shared" si="14"/>
        <v>0</v>
      </c>
      <c r="F57" s="171">
        <f t="shared" si="13"/>
        <v>2030</v>
      </c>
      <c r="G57" s="94">
        <f>SUMIFS('Resultat-Produktion &amp; forbrug'!G$4:G$291,'Resultat-Produktion &amp; forbrug'!$A$4:$A$291,'Produktion &amp; forbrug'!$A57,'Resultat-Produktion &amp; forbrug'!$E$4:$E$291,'Produktion &amp; forbrug'!$F57)</f>
        <v>0</v>
      </c>
      <c r="H57" s="94">
        <f>SUMIFS('Resultat-Produktion &amp; forbrug'!H$4:H$291,'Resultat-Produktion &amp; forbrug'!$A$4:$A$291,'Produktion &amp; forbrug'!$A57,'Resultat-Produktion &amp; forbrug'!$E$4:$E$291,'Produktion &amp; forbrug'!$F57)</f>
        <v>0</v>
      </c>
      <c r="I57" s="94">
        <f>SUMIFS('Resultat-Produktion &amp; forbrug'!I$4:I$291,'Resultat-Produktion &amp; forbrug'!$A$4:$A$291,'Produktion &amp; forbrug'!$A57,'Resultat-Produktion &amp; forbrug'!$E$4:$E$291,'Produktion &amp; forbrug'!$F57)</f>
        <v>0</v>
      </c>
      <c r="J57" s="94">
        <f>SUMIFS('Resultat-Produktion &amp; forbrug'!J$4:J$291,'Resultat-Produktion &amp; forbrug'!$A$4:$A$291,'Produktion &amp; forbrug'!$A57,'Resultat-Produktion &amp; forbrug'!$E$4:$E$291,'Produktion &amp; forbrug'!$F57)</f>
        <v>0</v>
      </c>
      <c r="K57" s="94">
        <f>SUMIFS('Resultat-Produktion &amp; forbrug'!K$4:K$291,'Resultat-Produktion &amp; forbrug'!$A$4:$A$291,'Produktion &amp; forbrug'!$A57,'Resultat-Produktion &amp; forbrug'!$E$4:$E$291,'Produktion &amp; forbrug'!$F57)</f>
        <v>0</v>
      </c>
      <c r="L57" s="94">
        <f>SUMIFS('Resultat-Produktion &amp; forbrug'!L$4:L$291,'Resultat-Produktion &amp; forbrug'!$A$4:$A$291,'Produktion &amp; forbrug'!$A57,'Resultat-Produktion &amp; forbrug'!$E$4:$E$291,'Produktion &amp; forbrug'!$F57)</f>
        <v>0</v>
      </c>
      <c r="M57" s="94">
        <f>SUMIFS('Resultat-Produktion &amp; forbrug'!M$4:M$291,'Resultat-Produktion &amp; forbrug'!$A$4:$A$291,'Produktion &amp; forbrug'!$A57,'Resultat-Produktion &amp; forbrug'!$E$4:$E$291,'Produktion &amp; forbrug'!$F57)</f>
        <v>0</v>
      </c>
      <c r="N57" s="94">
        <f>SUMIFS('Resultat-Produktion &amp; forbrug'!N$4:N$291,'Resultat-Produktion &amp; forbrug'!$A$4:$A$291,'Produktion &amp; forbrug'!$A57,'Resultat-Produktion &amp; forbrug'!$E$4:$E$291,'Produktion &amp; forbrug'!$F57)</f>
        <v>0</v>
      </c>
      <c r="O57" s="179">
        <f t="shared" si="3"/>
        <v>0</v>
      </c>
      <c r="P57" s="94">
        <f t="shared" si="4"/>
        <v>0</v>
      </c>
      <c r="Q57" s="180">
        <f t="shared" si="5"/>
        <v>0</v>
      </c>
      <c r="R57">
        <f>IFERROR(VLOOKUP(A57,[1]Energiindhold!$A$2:$C$11,3,FALSE),IFERROR(VLOOKUP(A57,[1]Biogasudbytte!$A$2:$B$18,2,FALSE)*[1]Energiindhold!$C$10,0))*P57</f>
        <v>0</v>
      </c>
      <c r="S57">
        <f>IF(A57&lt;&gt;"Biogas",IFERROR(VLOOKUP(A57,[1]Biogasudbytte!$A$2:$B$18,2,FALSE)*[1]Energiindhold!$C$10,0)*K57*IFERROR(VLOOKUP(A57,Biogasanlæg!$F$3:$G$8,2,FALSE),1)+IFERROR(VLOOKUP(A57,[1]Energiindhold!$A$2:$C$11,3,FALSE),0)*M57+IF(F57&lt;&gt;År1,R57,0),0)</f>
        <v>0</v>
      </c>
      <c r="T57">
        <f>IFERROR(VLOOKUP(A57,[1]Biogasudbytte!$A$2:$B$18,2,FALSE)*[1]Energiindhold!$C$10,0)*K57*IFERROR(VLOOKUP(A57,Biogasanlæg!$F$3:$G$8,2,FALSE),1)</f>
        <v>0</v>
      </c>
      <c r="U57" s="170">
        <f t="shared" si="6"/>
        <v>0</v>
      </c>
      <c r="V57" s="169">
        <f>P57*IFERROR(VLOOKUP(A57,[1]Tørstofindhold!A$2:B$24,2,FALSE),0)</f>
        <v>0</v>
      </c>
      <c r="W57">
        <f>IF(F57=År1,Q57,SUM(P57,Q57))*IFERROR(VLOOKUP(A57,[1]Tørstofindhold!A$2:B$24,2,FALSE),0)</f>
        <v>0</v>
      </c>
      <c r="X57">
        <f>K57*IFERROR(VLOOKUP(A57,[1]Tørstofindhold!A$2:B$24,2,FALSE),0)</f>
        <v>0</v>
      </c>
      <c r="Y57" s="170">
        <f t="shared" si="7"/>
        <v>0</v>
      </c>
      <c r="Z57">
        <f t="shared" si="9"/>
        <v>0</v>
      </c>
      <c r="AA57">
        <f t="shared" si="10"/>
        <v>0</v>
      </c>
      <c r="AC57" s="94">
        <f t="shared" si="8"/>
        <v>0</v>
      </c>
      <c r="AD57">
        <f>AC57*E57*10000*VLOOKUP(A57,[1]kcal!$A$2:$C$49,3,FALSE)/1000000000000</f>
        <v>0</v>
      </c>
    </row>
    <row r="58" spans="1:30" x14ac:dyDescent="0.25">
      <c r="A58" s="171" t="str">
        <f t="shared" si="11"/>
        <v>Dybstrøelse</v>
      </c>
      <c r="B58" s="171" t="str">
        <f t="shared" si="12"/>
        <v>Husdyrgødning</v>
      </c>
      <c r="C58" s="171" t="str">
        <f>IFERROR(VLOOKUP(A58,'Kategorisering af kcal'!$J$2:$K$18,2,FALSE),"")</f>
        <v/>
      </c>
      <c r="D58" s="171">
        <f>IF(COUNTIFS('Resultater - Danmark'!$D$3:$D$504,'Produktion &amp; forbrug'!A58,'Resultater - Danmark'!$A$3:$A$504,"Til energi")+COUNTIFS('Resultater - Danmark'!$D$3:$D$504,'Produktion &amp; forbrug'!A58,'Resultater - Danmark'!$A$3:$A$504,"Biogasanlæg")&gt;0,1,0)</f>
        <v>1</v>
      </c>
      <c r="E58" s="171">
        <f t="shared" si="14"/>
        <v>0</v>
      </c>
      <c r="F58" s="171">
        <f t="shared" si="13"/>
        <v>2030</v>
      </c>
      <c r="G58" s="94">
        <f>SUMIFS('Resultat-Produktion &amp; forbrug'!G$4:G$291,'Resultat-Produktion &amp; forbrug'!$A$4:$A$291,'Produktion &amp; forbrug'!$A58,'Resultat-Produktion &amp; forbrug'!$E$4:$E$291,'Produktion &amp; forbrug'!$F58)</f>
        <v>2808191.932139663</v>
      </c>
      <c r="H58" s="94">
        <f>SUMIFS('Resultat-Produktion &amp; forbrug'!H$4:H$291,'Resultat-Produktion &amp; forbrug'!$A$4:$A$291,'Produktion &amp; forbrug'!$A58,'Resultat-Produktion &amp; forbrug'!$E$4:$E$291,'Produktion &amp; forbrug'!$F58)</f>
        <v>0</v>
      </c>
      <c r="I58" s="94">
        <f>SUMIFS('Resultat-Produktion &amp; forbrug'!I$4:I$291,'Resultat-Produktion &amp; forbrug'!$A$4:$A$291,'Produktion &amp; forbrug'!$A58,'Resultat-Produktion &amp; forbrug'!$E$4:$E$291,'Produktion &amp; forbrug'!$F58)</f>
        <v>0</v>
      </c>
      <c r="J58" s="94">
        <f>SUMIFS('Resultat-Produktion &amp; forbrug'!J$4:J$291,'Resultat-Produktion &amp; forbrug'!$A$4:$A$291,'Produktion &amp; forbrug'!$A58,'Resultat-Produktion &amp; forbrug'!$E$4:$E$291,'Produktion &amp; forbrug'!$F58)</f>
        <v>0</v>
      </c>
      <c r="K58" s="94">
        <f>SUMIFS('Resultat-Produktion &amp; forbrug'!K$4:K$291,'Resultat-Produktion &amp; forbrug'!$A$4:$A$291,'Produktion &amp; forbrug'!$A58,'Resultat-Produktion &amp; forbrug'!$E$4:$E$291,'Produktion &amp; forbrug'!$F58)</f>
        <v>2106143.9491047473</v>
      </c>
      <c r="L58" s="94">
        <f>SUMIFS('Resultat-Produktion &amp; forbrug'!L$4:L$291,'Resultat-Produktion &amp; forbrug'!$A$4:$A$291,'Produktion &amp; forbrug'!$A58,'Resultat-Produktion &amp; forbrug'!$E$4:$E$291,'Produktion &amp; forbrug'!$F58)</f>
        <v>265775.30786321807</v>
      </c>
      <c r="M58" s="94">
        <f>SUMIFS('Resultat-Produktion &amp; forbrug'!M$4:M$291,'Resultat-Produktion &amp; forbrug'!$A$4:$A$291,'Produktion &amp; forbrug'!$A58,'Resultat-Produktion &amp; forbrug'!$E$4:$E$291,'Produktion &amp; forbrug'!$F58)</f>
        <v>0</v>
      </c>
      <c r="N58" s="94">
        <f>SUMIFS('Resultat-Produktion &amp; forbrug'!N$4:N$291,'Resultat-Produktion &amp; forbrug'!$A$4:$A$291,'Produktion &amp; forbrug'!$A58,'Resultat-Produktion &amp; forbrug'!$E$4:$E$291,'Produktion &amp; forbrug'!$F58)</f>
        <v>0</v>
      </c>
      <c r="O58" s="179">
        <f t="shared" si="3"/>
        <v>436272.67517169751</v>
      </c>
      <c r="P58" s="94">
        <f t="shared" si="4"/>
        <v>436272.67517169751</v>
      </c>
      <c r="Q58" s="180">
        <f t="shared" si="5"/>
        <v>2106143.9491047473</v>
      </c>
      <c r="R58">
        <f>IFERROR(VLOOKUP(A58,[1]Energiindhold!$A$2:$C$11,3,FALSE),IFERROR(VLOOKUP(A58,[1]Biogasudbytte!$A$2:$B$18,2,FALSE)*[1]Energiindhold!$C$10,0))*P58</f>
        <v>0.93973134231983646</v>
      </c>
      <c r="S58">
        <f>IF(A58&lt;&gt;"Biogas",IFERROR(VLOOKUP(A58,[1]Biogasudbytte!$A$2:$B$18,2,FALSE)*[1]Energiindhold!$C$10,0)*K58*IFERROR(VLOOKUP(A58,Biogasanlæg!$F$3:$G$8,2,FALSE),1)+IFERROR(VLOOKUP(A58,[1]Energiindhold!$A$2:$C$11,3,FALSE),0)*M58+IF(F58&lt;&gt;År1,R58,0),0)</f>
        <v>5.4763654086914624</v>
      </c>
      <c r="T58">
        <f>IFERROR(VLOOKUP(A58,[1]Biogasudbytte!$A$2:$B$18,2,FALSE)*[1]Energiindhold!$C$10,0)*K58*IFERROR(VLOOKUP(A58,Biogasanlæg!$F$3:$G$8,2,FALSE),1)</f>
        <v>4.5366340663716258</v>
      </c>
      <c r="U58" s="170">
        <f t="shared" si="6"/>
        <v>0.93973134231983657</v>
      </c>
      <c r="V58" s="169">
        <f>P58*IFERROR(VLOOKUP(A58,[1]Tørstofindhold!A$2:B$24,2,FALSE),0)</f>
        <v>130881.80255150924</v>
      </c>
      <c r="W58">
        <f>IF(F58=År1,Q58,SUM(P58,Q58))*IFERROR(VLOOKUP(A58,[1]Tørstofindhold!A$2:B$24,2,FALSE),0)</f>
        <v>762724.98728293343</v>
      </c>
      <c r="X58">
        <f>K58*IFERROR(VLOOKUP(A58,[1]Tørstofindhold!A$2:B$24,2,FALSE),0)</f>
        <v>631843.1847314242</v>
      </c>
      <c r="Y58" s="170">
        <f t="shared" si="7"/>
        <v>130881.80255150923</v>
      </c>
      <c r="Z58">
        <f t="shared" si="9"/>
        <v>0</v>
      </c>
      <c r="AA58">
        <f t="shared" si="10"/>
        <v>1</v>
      </c>
      <c r="AC58" s="94">
        <f t="shared" si="8"/>
        <v>436272.67517169751</v>
      </c>
      <c r="AD58">
        <f>AC58*E58*10000*VLOOKUP(A58,[1]kcal!$A$2:$C$49,3,FALSE)/1000000000000</f>
        <v>0</v>
      </c>
    </row>
    <row r="59" spans="1:30" x14ac:dyDescent="0.25">
      <c r="A59" s="171" t="str">
        <f t="shared" si="11"/>
        <v>Fiberfraktion</v>
      </c>
      <c r="B59" s="171" t="str">
        <f t="shared" si="12"/>
        <v/>
      </c>
      <c r="C59" s="171" t="str">
        <f>IFERROR(VLOOKUP(A59,'Kategorisering af kcal'!$J$2:$K$18,2,FALSE),"")</f>
        <v/>
      </c>
      <c r="D59" s="171">
        <f>IF(COUNTIFS('Resultater - Danmark'!$D$3:$D$504,'Produktion &amp; forbrug'!A59,'Resultater - Danmark'!$A$3:$A$504,"Til energi")+COUNTIFS('Resultater - Danmark'!$D$3:$D$504,'Produktion &amp; forbrug'!A59,'Resultater - Danmark'!$A$3:$A$504,"Biogasanlæg")&gt;0,1,0)</f>
        <v>0</v>
      </c>
      <c r="E59" s="171">
        <f t="shared" si="14"/>
        <v>0</v>
      </c>
      <c r="F59" s="171">
        <f t="shared" si="13"/>
        <v>2030</v>
      </c>
      <c r="G59" s="94">
        <f>SUMIFS('Resultat-Produktion &amp; forbrug'!G$4:G$291,'Resultat-Produktion &amp; forbrug'!$A$4:$A$291,'Produktion &amp; forbrug'!$A59,'Resultat-Produktion &amp; forbrug'!$E$4:$E$291,'Produktion &amp; forbrug'!$F59)</f>
        <v>0</v>
      </c>
      <c r="H59" s="94">
        <f>SUMIFS('Resultat-Produktion &amp; forbrug'!H$4:H$291,'Resultat-Produktion &amp; forbrug'!$A$4:$A$291,'Produktion &amp; forbrug'!$A59,'Resultat-Produktion &amp; forbrug'!$E$4:$E$291,'Produktion &amp; forbrug'!$F59)</f>
        <v>0</v>
      </c>
      <c r="I59" s="94">
        <f>SUMIFS('Resultat-Produktion &amp; forbrug'!I$4:I$291,'Resultat-Produktion &amp; forbrug'!$A$4:$A$291,'Produktion &amp; forbrug'!$A59,'Resultat-Produktion &amp; forbrug'!$E$4:$E$291,'Produktion &amp; forbrug'!$F59)</f>
        <v>0</v>
      </c>
      <c r="J59" s="94">
        <f>SUMIFS('Resultat-Produktion &amp; forbrug'!J$4:J$291,'Resultat-Produktion &amp; forbrug'!$A$4:$A$291,'Produktion &amp; forbrug'!$A59,'Resultat-Produktion &amp; forbrug'!$E$4:$E$291,'Produktion &amp; forbrug'!$F59)</f>
        <v>0</v>
      </c>
      <c r="K59" s="94">
        <f>SUMIFS('Resultat-Produktion &amp; forbrug'!K$4:K$291,'Resultat-Produktion &amp; forbrug'!$A$4:$A$291,'Produktion &amp; forbrug'!$A59,'Resultat-Produktion &amp; forbrug'!$E$4:$E$291,'Produktion &amp; forbrug'!$F59)</f>
        <v>0</v>
      </c>
      <c r="L59" s="94">
        <f>SUMIFS('Resultat-Produktion &amp; forbrug'!L$4:L$291,'Resultat-Produktion &amp; forbrug'!$A$4:$A$291,'Produktion &amp; forbrug'!$A59,'Resultat-Produktion &amp; forbrug'!$E$4:$E$291,'Produktion &amp; forbrug'!$F59)</f>
        <v>0</v>
      </c>
      <c r="M59" s="94">
        <f>SUMIFS('Resultat-Produktion &amp; forbrug'!M$4:M$291,'Resultat-Produktion &amp; forbrug'!$A$4:$A$291,'Produktion &amp; forbrug'!$A59,'Resultat-Produktion &amp; forbrug'!$E$4:$E$291,'Produktion &amp; forbrug'!$F59)</f>
        <v>0</v>
      </c>
      <c r="N59" s="94">
        <f>SUMIFS('Resultat-Produktion &amp; forbrug'!N$4:N$291,'Resultat-Produktion &amp; forbrug'!$A$4:$A$291,'Produktion &amp; forbrug'!$A59,'Resultat-Produktion &amp; forbrug'!$E$4:$E$291,'Produktion &amp; forbrug'!$F59)</f>
        <v>0</v>
      </c>
      <c r="O59" s="179">
        <f t="shared" si="3"/>
        <v>0</v>
      </c>
      <c r="P59" s="94">
        <f t="shared" si="4"/>
        <v>0</v>
      </c>
      <c r="Q59" s="180">
        <f t="shared" si="5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IF(A59&lt;&gt;"Biogas",IFERROR(VLOOKUP(A59,[1]Biogasudbytte!$A$2:$B$18,2,FALSE)*[1]Energiindhold!$C$10,0)*K59*IFERROR(VLOOKUP(A59,Biogasanlæg!$F$3:$G$8,2,FALSE),1)+IFERROR(VLOOKUP(A59,[1]Energiindhold!$A$2:$C$11,3,FALSE),0)*M59+IF(F59&lt;&gt;År1,R59,0),0)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6"/>
        <v>0</v>
      </c>
      <c r="V59" s="169">
        <f>P59*IFERROR(VLOOKUP(A59,[1]Tørstofindhold!A$2:B$24,2,FALSE),0)</f>
        <v>0</v>
      </c>
      <c r="W59">
        <f>IF(F59=År1,Q59,SUM(P59,Q59))*IFERROR(VLOOKUP(A59,[1]Tørstofindhold!A$2:B$24,2,FALSE),0)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7"/>
        <v>0</v>
      </c>
      <c r="Z59">
        <f t="shared" si="9"/>
        <v>0</v>
      </c>
      <c r="AA59">
        <f t="shared" si="10"/>
        <v>0</v>
      </c>
      <c r="AC59" s="94">
        <f t="shared" si="8"/>
        <v>0</v>
      </c>
      <c r="AD59">
        <f>AC59*E59*10000*VLOOKUP(A59,[1]kcal!$A$2:$C$49,3,FALSE)/1000000000000</f>
        <v>0</v>
      </c>
    </row>
    <row r="60" spans="1:30" x14ac:dyDescent="0.25">
      <c r="A60" s="171" t="str">
        <f t="shared" si="11"/>
        <v>Fjerkrægylle</v>
      </c>
      <c r="B60" s="171" t="str">
        <f t="shared" si="12"/>
        <v>Husdyrgødning</v>
      </c>
      <c r="C60" s="171" t="str">
        <f>IFERROR(VLOOKUP(A60,'Kategorisering af kcal'!$J$2:$K$18,2,FALSE),"")</f>
        <v/>
      </c>
      <c r="D60" s="171">
        <f>IF(COUNTIFS('Resultater - Danmark'!$D$3:$D$504,'Produktion &amp; forbrug'!A60,'Resultater - Danmark'!$A$3:$A$504,"Til energi")+COUNTIFS('Resultater - Danmark'!$D$3:$D$504,'Produktion &amp; forbrug'!A60,'Resultater - Danmark'!$A$3:$A$504,"Biogasanlæg")&gt;0,1,0)</f>
        <v>1</v>
      </c>
      <c r="E60" s="171">
        <f t="shared" si="14"/>
        <v>0</v>
      </c>
      <c r="F60" s="171">
        <f t="shared" si="13"/>
        <v>2030</v>
      </c>
      <c r="G60" s="94">
        <f>SUMIFS('Resultat-Produktion &amp; forbrug'!G$4:G$291,'Resultat-Produktion &amp; forbrug'!$A$4:$A$291,'Produktion &amp; forbrug'!$A60,'Resultat-Produktion &amp; forbrug'!$E$4:$E$291,'Produktion &amp; forbrug'!$F60)</f>
        <v>8763.0298060619389</v>
      </c>
      <c r="H60" s="94">
        <f>SUMIFS('Resultat-Produktion &amp; forbrug'!H$4:H$291,'Resultat-Produktion &amp; forbrug'!$A$4:$A$291,'Produktion &amp; forbrug'!$A60,'Resultat-Produktion &amp; forbrug'!$E$4:$E$291,'Produktion &amp; forbrug'!$F60)</f>
        <v>0</v>
      </c>
      <c r="I60" s="94">
        <f>SUMIFS('Resultat-Produktion &amp; forbrug'!I$4:I$291,'Resultat-Produktion &amp; forbrug'!$A$4:$A$291,'Produktion &amp; forbrug'!$A60,'Resultat-Produktion &amp; forbrug'!$E$4:$E$291,'Produktion &amp; forbrug'!$F60)</f>
        <v>0</v>
      </c>
      <c r="J60" s="94">
        <f>SUMIFS('Resultat-Produktion &amp; forbrug'!J$4:J$291,'Resultat-Produktion &amp; forbrug'!$A$4:$A$291,'Produktion &amp; forbrug'!$A60,'Resultat-Produktion &amp; forbrug'!$E$4:$E$291,'Produktion &amp; forbrug'!$F60)</f>
        <v>0</v>
      </c>
      <c r="K60" s="94">
        <f>SUMIFS('Resultat-Produktion &amp; forbrug'!K$4:K$291,'Resultat-Produktion &amp; forbrug'!$A$4:$A$291,'Produktion &amp; forbrug'!$A60,'Resultat-Produktion &amp; forbrug'!$E$4:$E$291,'Produktion &amp; forbrug'!$F60)</f>
        <v>6572.2723545464542</v>
      </c>
      <c r="L60" s="94">
        <f>SUMIFS('Resultat-Produktion &amp; forbrug'!L$4:L$291,'Resultat-Produktion &amp; forbrug'!$A$4:$A$291,'Produktion &amp; forbrug'!$A60,'Resultat-Produktion &amp; forbrug'!$E$4:$E$291,'Produktion &amp; forbrug'!$F60)</f>
        <v>2190.7574515154847</v>
      </c>
      <c r="M60" s="94">
        <f>SUMIFS('Resultat-Produktion &amp; forbrug'!M$4:M$291,'Resultat-Produktion &amp; forbrug'!$A$4:$A$291,'Produktion &amp; forbrug'!$A60,'Resultat-Produktion &amp; forbrug'!$E$4:$E$291,'Produktion &amp; forbrug'!$F60)</f>
        <v>0</v>
      </c>
      <c r="N60" s="94">
        <f>SUMIFS('Resultat-Produktion &amp; forbrug'!N$4:N$291,'Resultat-Produktion &amp; forbrug'!$A$4:$A$291,'Produktion &amp; forbrug'!$A60,'Resultat-Produktion &amp; forbrug'!$E$4:$E$291,'Produktion &amp; forbrug'!$F60)</f>
        <v>0</v>
      </c>
      <c r="O60" s="179">
        <f t="shared" si="3"/>
        <v>0</v>
      </c>
      <c r="P60" s="94">
        <f t="shared" si="4"/>
        <v>0</v>
      </c>
      <c r="Q60" s="180">
        <f t="shared" si="5"/>
        <v>6572.2723545464542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IF(A60&lt;&gt;"Biogas",IFERROR(VLOOKUP(A60,[1]Biogasudbytte!$A$2:$B$18,2,FALSE)*[1]Energiindhold!$C$10,0)*K60*IFERROR(VLOOKUP(A60,Biogasanlæg!$F$3:$G$8,2,FALSE),1)+IFERROR(VLOOKUP(A60,[1]Energiindhold!$A$2:$C$11,3,FALSE),0)*M60+IF(F60&lt;&gt;År1,R60,0),0)</f>
        <v>3.090873965619652E-3</v>
      </c>
      <c r="T60">
        <f>IFERROR(VLOOKUP(A60,[1]Biogasudbytte!$A$2:$B$18,2,FALSE)*[1]Energiindhold!$C$10,0)*K60*IFERROR(VLOOKUP(A60,Biogasanlæg!$F$3:$G$8,2,FALSE),1)</f>
        <v>3.090873965619652E-3</v>
      </c>
      <c r="U60" s="170">
        <f t="shared" si="6"/>
        <v>0</v>
      </c>
      <c r="V60" s="169">
        <f>P60*IFERROR(VLOOKUP(A60,[1]Tørstofindhold!A$2:B$24,2,FALSE),0)</f>
        <v>0</v>
      </c>
      <c r="W60">
        <f>IF(F60=År1,Q60,SUM(P60,Q60))*IFERROR(VLOOKUP(A60,[1]Tørstofindhold!A$2:B$24,2,FALSE),0)</f>
        <v>414.05315833642663</v>
      </c>
      <c r="X60">
        <f>K60*IFERROR(VLOOKUP(A60,[1]Tørstofindhold!A$2:B$24,2,FALSE),0)</f>
        <v>414.05315833642663</v>
      </c>
      <c r="Y60" s="170">
        <f t="shared" si="7"/>
        <v>0</v>
      </c>
      <c r="Z60">
        <f t="shared" si="9"/>
        <v>0</v>
      </c>
      <c r="AA60">
        <f t="shared" si="10"/>
        <v>0</v>
      </c>
      <c r="AC60" s="94">
        <f t="shared" si="8"/>
        <v>0</v>
      </c>
      <c r="AD60">
        <f>AC60*E60*10000*VLOOKUP(A60,[1]kcal!$A$2:$C$49,3,FALSE)/1000000000000</f>
        <v>0</v>
      </c>
    </row>
    <row r="61" spans="1:30" x14ac:dyDescent="0.25">
      <c r="A61" s="171" t="str">
        <f t="shared" si="11"/>
        <v>Fjerkrækød</v>
      </c>
      <c r="B61" s="171" t="str">
        <f t="shared" si="12"/>
        <v/>
      </c>
      <c r="C61" s="171" t="str">
        <f>IFERROR(VLOOKUP(A61,'Kategorisering af kcal'!$J$2:$K$18,2,FALSE),"")</f>
        <v>Kød</v>
      </c>
      <c r="D61" s="171">
        <f>IF(COUNTIFS('Resultater - Danmark'!$D$3:$D$504,'Produktion &amp; forbrug'!A61,'Resultater - Danmark'!$A$3:$A$504,"Til energi")+COUNTIFS('Resultater - Danmark'!$D$3:$D$504,'Produktion &amp; forbrug'!A61,'Resultater - Danmark'!$A$3:$A$504,"Biogasanlæg")&gt;0,1,0)</f>
        <v>0</v>
      </c>
      <c r="E61" s="171">
        <f t="shared" si="14"/>
        <v>1</v>
      </c>
      <c r="F61" s="171">
        <f t="shared" si="13"/>
        <v>2030</v>
      </c>
      <c r="G61" s="94">
        <f>SUMIFS('Resultat-Produktion &amp; forbrug'!G$4:G$291,'Resultat-Produktion &amp; forbrug'!$A$4:$A$291,'Produktion &amp; forbrug'!$A61,'Resultat-Produktion &amp; forbrug'!$E$4:$E$291,'Produktion &amp; forbrug'!$F61)</f>
        <v>106887.81651997143</v>
      </c>
      <c r="H61" s="94">
        <f>SUMIFS('Resultat-Produktion &amp; forbrug'!H$4:H$291,'Resultat-Produktion &amp; forbrug'!$A$4:$A$291,'Produktion &amp; forbrug'!$A61,'Resultat-Produktion &amp; forbrug'!$E$4:$E$291,'Produktion &amp; forbrug'!$F61)</f>
        <v>0</v>
      </c>
      <c r="I61" s="94">
        <f>SUMIFS('Resultat-Produktion &amp; forbrug'!I$4:I$291,'Resultat-Produktion &amp; forbrug'!$A$4:$A$291,'Produktion &amp; forbrug'!$A61,'Resultat-Produktion &amp; forbrug'!$E$4:$E$291,'Produktion &amp; forbrug'!$F61)</f>
        <v>0</v>
      </c>
      <c r="J61" s="94">
        <f>SUMIFS('Resultat-Produktion &amp; forbrug'!J$4:J$291,'Resultat-Produktion &amp; forbrug'!$A$4:$A$291,'Produktion &amp; forbrug'!$A61,'Resultat-Produktion &amp; forbrug'!$E$4:$E$291,'Produktion &amp; forbrug'!$F61)</f>
        <v>65854.885067430776</v>
      </c>
      <c r="K61" s="94">
        <f>SUMIFS('Resultat-Produktion &amp; forbrug'!K$4:K$291,'Resultat-Produktion &amp; forbrug'!$A$4:$A$291,'Produktion &amp; forbrug'!$A61,'Resultat-Produktion &amp; forbrug'!$E$4:$E$291,'Produktion &amp; forbrug'!$F61)</f>
        <v>0</v>
      </c>
      <c r="L61" s="94">
        <f>SUMIFS('Resultat-Produktion &amp; forbrug'!L$4:L$291,'Resultat-Produktion &amp; forbrug'!$A$4:$A$291,'Produktion &amp; forbrug'!$A61,'Resultat-Produktion &amp; forbrug'!$E$4:$E$291,'Produktion &amp; forbrug'!$F61)</f>
        <v>0</v>
      </c>
      <c r="M61" s="94">
        <f>SUMIFS('Resultat-Produktion &amp; forbrug'!M$4:M$291,'Resultat-Produktion &amp; forbrug'!$A$4:$A$291,'Produktion &amp; forbrug'!$A61,'Resultat-Produktion &amp; forbrug'!$E$4:$E$291,'Produktion &amp; forbrug'!$F61)</f>
        <v>0</v>
      </c>
      <c r="N61" s="94">
        <f>SUMIFS('Resultat-Produktion &amp; forbrug'!N$4:N$291,'Resultat-Produktion &amp; forbrug'!$A$4:$A$291,'Produktion &amp; forbrug'!$A61,'Resultat-Produktion &amp; forbrug'!$E$4:$E$291,'Produktion &amp; forbrug'!$F61)</f>
        <v>0</v>
      </c>
      <c r="O61" s="179">
        <f t="shared" si="3"/>
        <v>41032.931452540652</v>
      </c>
      <c r="P61" s="94">
        <f t="shared" si="4"/>
        <v>0</v>
      </c>
      <c r="Q61" s="180">
        <f t="shared" si="5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IF(A61&lt;&gt;"Biogas",IFERROR(VLOOKUP(A61,[1]Biogasudbytte!$A$2:$B$18,2,FALSE)*[1]Energiindhold!$C$10,0)*K61*IFERROR(VLOOKUP(A61,Biogasanlæg!$F$3:$G$8,2,FALSE),1)+IFERROR(VLOOKUP(A61,[1]Energiindhold!$A$2:$C$11,3,FALSE),0)*M61+IF(F61&lt;&gt;År1,R61,0),0)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6"/>
        <v>0</v>
      </c>
      <c r="V61" s="169">
        <f>P61*IFERROR(VLOOKUP(A61,[1]Tørstofindhold!A$2:B$24,2,FALSE),0)</f>
        <v>0</v>
      </c>
      <c r="W61">
        <f>IF(F61=År1,Q61,SUM(P61,Q61))*IFERROR(VLOOKUP(A61,[1]Tørstofindhold!A$2:B$24,2,FALSE),0)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7"/>
        <v>0</v>
      </c>
      <c r="Z61">
        <f t="shared" si="9"/>
        <v>0</v>
      </c>
      <c r="AA61">
        <f t="shared" si="10"/>
        <v>1</v>
      </c>
      <c r="AC61" s="94">
        <f t="shared" si="8"/>
        <v>106887.81651997143</v>
      </c>
      <c r="AD61">
        <f>AC61*E61*10000*VLOOKUP(A61,[1]kcal!$A$2:$C$49,3,FALSE)/1000000000000</f>
        <v>0.16246948111035656</v>
      </c>
    </row>
    <row r="62" spans="1:30" x14ac:dyDescent="0.25">
      <c r="A62" s="171" t="str">
        <f t="shared" si="11"/>
        <v>Frø</v>
      </c>
      <c r="B62" s="171" t="str">
        <f t="shared" si="12"/>
        <v/>
      </c>
      <c r="C62" s="171" t="str">
        <f>IFERROR(VLOOKUP(A62,'Kategorisering af kcal'!$J$2:$K$18,2,FALSE),"")</f>
        <v/>
      </c>
      <c r="D62" s="171">
        <f>IF(COUNTIFS('Resultater - Danmark'!$D$3:$D$504,'Produktion &amp; forbrug'!A62,'Resultater - Danmark'!$A$3:$A$504,"Til energi")+COUNTIFS('Resultater - Danmark'!$D$3:$D$504,'Produktion &amp; forbrug'!A62,'Resultater - Danmark'!$A$3:$A$504,"Biogasanlæg")&gt;0,1,0)</f>
        <v>0</v>
      </c>
      <c r="E62" s="171">
        <f t="shared" si="14"/>
        <v>0</v>
      </c>
      <c r="F62" s="171">
        <f t="shared" si="13"/>
        <v>2030</v>
      </c>
      <c r="G62" s="94">
        <f>SUMIFS('Resultat-Produktion &amp; forbrug'!G$4:G$291,'Resultat-Produktion &amp; forbrug'!$A$4:$A$291,'Produktion &amp; forbrug'!$A62,'Resultat-Produktion &amp; forbrug'!$E$4:$E$291,'Produktion &amp; forbrug'!$F62)</f>
        <v>1401586.7021664588</v>
      </c>
      <c r="H62" s="94">
        <f>SUMIFS('Resultat-Produktion &amp; forbrug'!H$4:H$291,'Resultat-Produktion &amp; forbrug'!$A$4:$A$291,'Produktion &amp; forbrug'!$A62,'Resultat-Produktion &amp; forbrug'!$E$4:$E$291,'Produktion &amp; forbrug'!$F62)</f>
        <v>0</v>
      </c>
      <c r="I62" s="94">
        <f>SUMIFS('Resultat-Produktion &amp; forbrug'!I$4:I$291,'Resultat-Produktion &amp; forbrug'!$A$4:$A$291,'Produktion &amp; forbrug'!$A62,'Resultat-Produktion &amp; forbrug'!$E$4:$E$291,'Produktion &amp; forbrug'!$F62)</f>
        <v>0</v>
      </c>
      <c r="J62" s="94">
        <f>SUMIFS('Resultat-Produktion &amp; forbrug'!J$4:J$291,'Resultat-Produktion &amp; forbrug'!$A$4:$A$291,'Produktion &amp; forbrug'!$A62,'Resultat-Produktion &amp; forbrug'!$E$4:$E$291,'Produktion &amp; forbrug'!$F62)</f>
        <v>0</v>
      </c>
      <c r="K62" s="94">
        <f>SUMIFS('Resultat-Produktion &amp; forbrug'!K$4:K$291,'Resultat-Produktion &amp; forbrug'!$A$4:$A$291,'Produktion &amp; forbrug'!$A62,'Resultat-Produktion &amp; forbrug'!$E$4:$E$291,'Produktion &amp; forbrug'!$F62)</f>
        <v>0</v>
      </c>
      <c r="L62" s="94">
        <f>SUMIFS('Resultat-Produktion &amp; forbrug'!L$4:L$291,'Resultat-Produktion &amp; forbrug'!$A$4:$A$291,'Produktion &amp; forbrug'!$A62,'Resultat-Produktion &amp; forbrug'!$E$4:$E$291,'Produktion &amp; forbrug'!$F62)</f>
        <v>0</v>
      </c>
      <c r="M62" s="94">
        <f>SUMIFS('Resultat-Produktion &amp; forbrug'!M$4:M$291,'Resultat-Produktion &amp; forbrug'!$A$4:$A$291,'Produktion &amp; forbrug'!$A62,'Resultat-Produktion &amp; forbrug'!$E$4:$E$291,'Produktion &amp; forbrug'!$F62)</f>
        <v>0</v>
      </c>
      <c r="N62" s="94">
        <f>SUMIFS('Resultat-Produktion &amp; forbrug'!N$4:N$291,'Resultat-Produktion &amp; forbrug'!$A$4:$A$291,'Produktion &amp; forbrug'!$A62,'Resultat-Produktion &amp; forbrug'!$E$4:$E$291,'Produktion &amp; forbrug'!$F62)</f>
        <v>0</v>
      </c>
      <c r="O62" s="179">
        <f t="shared" si="3"/>
        <v>1401586.7021664588</v>
      </c>
      <c r="P62" s="94">
        <f t="shared" si="4"/>
        <v>0</v>
      </c>
      <c r="Q62" s="180">
        <f t="shared" si="5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IF(A62&lt;&gt;"Biogas",IFERROR(VLOOKUP(A62,[1]Biogasudbytte!$A$2:$B$18,2,FALSE)*[1]Energiindhold!$C$10,0)*K62*IFERROR(VLOOKUP(A62,Biogasanlæg!$F$3:$G$8,2,FALSE),1)+IFERROR(VLOOKUP(A62,[1]Energiindhold!$A$2:$C$11,3,FALSE),0)*M62+IF(F62&lt;&gt;År1,R62,0),0)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6"/>
        <v>0</v>
      </c>
      <c r="V62" s="169">
        <f>P62*IFERROR(VLOOKUP(A62,[1]Tørstofindhold!A$2:B$24,2,FALSE),0)</f>
        <v>0</v>
      </c>
      <c r="W62">
        <f>IF(F62=År1,Q62,SUM(P62,Q62))*IFERROR(VLOOKUP(A62,[1]Tørstofindhold!A$2:B$24,2,FALSE),0)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7"/>
        <v>0</v>
      </c>
      <c r="Z62">
        <f t="shared" si="9"/>
        <v>0</v>
      </c>
      <c r="AA62">
        <f t="shared" si="10"/>
        <v>1</v>
      </c>
      <c r="AC62" s="94">
        <f t="shared" si="8"/>
        <v>1401586.7021664588</v>
      </c>
      <c r="AD62">
        <f>AC62*E62*10000*VLOOKUP(A62,[1]kcal!$A$2:$C$49,3,FALSE)/1000000000000</f>
        <v>0</v>
      </c>
    </row>
    <row r="63" spans="1:30" x14ac:dyDescent="0.25">
      <c r="A63" s="171" t="str">
        <f t="shared" si="11"/>
        <v>Frugt</v>
      </c>
      <c r="B63" s="171" t="str">
        <f t="shared" si="12"/>
        <v/>
      </c>
      <c r="C63" s="171" t="str">
        <f>IFERROR(VLOOKUP(A63,'Kategorisering af kcal'!$J$2:$K$18,2,FALSE),"")</f>
        <v>Frugt</v>
      </c>
      <c r="D63" s="171">
        <f>IF(COUNTIFS('Resultater - Danmark'!$D$3:$D$504,'Produktion &amp; forbrug'!A63,'Resultater - Danmark'!$A$3:$A$504,"Til energi")+COUNTIFS('Resultater - Danmark'!$D$3:$D$504,'Produktion &amp; forbrug'!A63,'Resultater - Danmark'!$A$3:$A$504,"Biogasanlæg")&gt;0,1,0)</f>
        <v>0</v>
      </c>
      <c r="E63" s="171">
        <f t="shared" si="14"/>
        <v>1</v>
      </c>
      <c r="F63" s="171">
        <f t="shared" si="13"/>
        <v>2030</v>
      </c>
      <c r="G63" s="94">
        <f>SUMIFS('Resultat-Produktion &amp; forbrug'!G$4:G$291,'Resultat-Produktion &amp; forbrug'!$A$4:$A$291,'Produktion &amp; forbrug'!$A63,'Resultat-Produktion &amp; forbrug'!$E$4:$E$291,'Produktion &amp; forbrug'!$F63)</f>
        <v>39441.561347065355</v>
      </c>
      <c r="H63" s="94">
        <f>SUMIFS('Resultat-Produktion &amp; forbrug'!H$4:H$291,'Resultat-Produktion &amp; forbrug'!$A$4:$A$291,'Produktion &amp; forbrug'!$A63,'Resultat-Produktion &amp; forbrug'!$E$4:$E$291,'Produktion &amp; forbrug'!$F63)</f>
        <v>0</v>
      </c>
      <c r="I63" s="94">
        <f>SUMIFS('Resultat-Produktion &amp; forbrug'!I$4:I$291,'Resultat-Produktion &amp; forbrug'!$A$4:$A$291,'Produktion &amp; forbrug'!$A63,'Resultat-Produktion &amp; forbrug'!$E$4:$E$291,'Produktion &amp; forbrug'!$F63)</f>
        <v>0</v>
      </c>
      <c r="J63" s="94">
        <f>SUMIFS('Resultat-Produktion &amp; forbrug'!J$4:J$291,'Resultat-Produktion &amp; forbrug'!$A$4:$A$291,'Produktion &amp; forbrug'!$A63,'Resultat-Produktion &amp; forbrug'!$E$4:$E$291,'Produktion &amp; forbrug'!$F63)</f>
        <v>481247.23703122488</v>
      </c>
      <c r="K63" s="94">
        <f>SUMIFS('Resultat-Produktion &amp; forbrug'!K$4:K$291,'Resultat-Produktion &amp; forbrug'!$A$4:$A$291,'Produktion &amp; forbrug'!$A63,'Resultat-Produktion &amp; forbrug'!$E$4:$E$291,'Produktion &amp; forbrug'!$F63)</f>
        <v>0</v>
      </c>
      <c r="L63" s="94">
        <f>SUMIFS('Resultat-Produktion &amp; forbrug'!L$4:L$291,'Resultat-Produktion &amp; forbrug'!$A$4:$A$291,'Produktion &amp; forbrug'!$A63,'Resultat-Produktion &amp; forbrug'!$E$4:$E$291,'Produktion &amp; forbrug'!$F63)</f>
        <v>0</v>
      </c>
      <c r="M63" s="94">
        <f>SUMIFS('Resultat-Produktion &amp; forbrug'!M$4:M$291,'Resultat-Produktion &amp; forbrug'!$A$4:$A$291,'Produktion &amp; forbrug'!$A63,'Resultat-Produktion &amp; forbrug'!$E$4:$E$291,'Produktion &amp; forbrug'!$F63)</f>
        <v>0</v>
      </c>
      <c r="N63" s="94">
        <f>SUMIFS('Resultat-Produktion &amp; forbrug'!N$4:N$291,'Resultat-Produktion &amp; forbrug'!$A$4:$A$291,'Produktion &amp; forbrug'!$A63,'Resultat-Produktion &amp; forbrug'!$E$4:$E$291,'Produktion &amp; forbrug'!$F63)</f>
        <v>0</v>
      </c>
      <c r="O63" s="179">
        <f t="shared" si="3"/>
        <v>-441805.67568415951</v>
      </c>
      <c r="P63" s="94">
        <f t="shared" si="4"/>
        <v>0</v>
      </c>
      <c r="Q63" s="180">
        <f t="shared" si="5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IF(A63&lt;&gt;"Biogas",IFERROR(VLOOKUP(A63,[1]Biogasudbytte!$A$2:$B$18,2,FALSE)*[1]Energiindhold!$C$10,0)*K63*IFERROR(VLOOKUP(A63,Biogasanlæg!$F$3:$G$8,2,FALSE),1)+IFERROR(VLOOKUP(A63,[1]Energiindhold!$A$2:$C$11,3,FALSE),0)*M63+IF(F63&lt;&gt;År1,R63,0),0)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6"/>
        <v>0</v>
      </c>
      <c r="V63" s="169">
        <f>P63*IFERROR(VLOOKUP(A63,[1]Tørstofindhold!A$2:B$24,2,FALSE),0)</f>
        <v>0</v>
      </c>
      <c r="W63">
        <f>IF(F63=År1,Q63,SUM(P63,Q63))*IFERROR(VLOOKUP(A63,[1]Tørstofindhold!A$2:B$24,2,FALSE),0)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7"/>
        <v>0</v>
      </c>
      <c r="Z63">
        <f t="shared" si="9"/>
        <v>1</v>
      </c>
      <c r="AA63">
        <f t="shared" si="10"/>
        <v>0</v>
      </c>
      <c r="AC63" s="94">
        <f t="shared" si="8"/>
        <v>39441.561347065355</v>
      </c>
      <c r="AD63">
        <f>AC63*E63*10000*VLOOKUP(A63,[1]kcal!$A$2:$C$49,3,FALSE)/1000000000000</f>
        <v>2.0509611900473984E-2</v>
      </c>
    </row>
    <row r="64" spans="1:30" x14ac:dyDescent="0.25">
      <c r="A64" s="171" t="str">
        <f t="shared" si="11"/>
        <v>Glycerin</v>
      </c>
      <c r="B64" s="171" t="str">
        <f t="shared" si="12"/>
        <v>Glycerin</v>
      </c>
      <c r="C64" s="171" t="str">
        <f>IFERROR(VLOOKUP(A64,'Kategorisering af kcal'!$J$2:$K$18,2,FALSE),"")</f>
        <v/>
      </c>
      <c r="D64" s="171">
        <f>IF(COUNTIFS('Resultater - Danmark'!$D$3:$D$504,'Produktion &amp; forbrug'!A64,'Resultater - Danmark'!$A$3:$A$504,"Til energi")+COUNTIFS('Resultater - Danmark'!$D$3:$D$504,'Produktion &amp; forbrug'!A64,'Resultater - Danmark'!$A$3:$A$504,"Biogasanlæg")&gt;0,1,0)</f>
        <v>1</v>
      </c>
      <c r="E64" s="171">
        <f t="shared" si="14"/>
        <v>0</v>
      </c>
      <c r="F64" s="171">
        <f t="shared" si="13"/>
        <v>2030</v>
      </c>
      <c r="G64" s="94">
        <f>SUMIFS('Resultat-Produktion &amp; forbrug'!G$4:G$291,'Resultat-Produktion &amp; forbrug'!$A$4:$A$291,'Produktion &amp; forbrug'!$A64,'Resultat-Produktion &amp; forbrug'!$E$4:$E$291,'Produktion &amp; forbrug'!$F64)</f>
        <v>0</v>
      </c>
      <c r="H64" s="94">
        <f>SUMIFS('Resultat-Produktion &amp; forbrug'!H$4:H$291,'Resultat-Produktion &amp; forbrug'!$A$4:$A$291,'Produktion &amp; forbrug'!$A64,'Resultat-Produktion &amp; forbrug'!$E$4:$E$291,'Produktion &amp; forbrug'!$F64)</f>
        <v>0</v>
      </c>
      <c r="I64" s="94">
        <f>SUMIFS('Resultat-Produktion &amp; forbrug'!I$4:I$291,'Resultat-Produktion &amp; forbrug'!$A$4:$A$291,'Produktion &amp; forbrug'!$A64,'Resultat-Produktion &amp; forbrug'!$E$4:$E$291,'Produktion &amp; forbrug'!$F64)</f>
        <v>0</v>
      </c>
      <c r="J64" s="94">
        <f>SUMIFS('Resultat-Produktion &amp; forbrug'!J$4:J$291,'Resultat-Produktion &amp; forbrug'!$A$4:$A$291,'Produktion &amp; forbrug'!$A64,'Resultat-Produktion &amp; forbrug'!$E$4:$E$291,'Produktion &amp; forbrug'!$F64)</f>
        <v>0</v>
      </c>
      <c r="K64" s="94">
        <f>SUMIFS('Resultat-Produktion &amp; forbrug'!K$4:K$291,'Resultat-Produktion &amp; forbrug'!$A$4:$A$291,'Produktion &amp; forbrug'!$A64,'Resultat-Produktion &amp; forbrug'!$E$4:$E$291,'Produktion &amp; forbrug'!$F64)</f>
        <v>142742</v>
      </c>
      <c r="L64" s="94">
        <f>SUMIFS('Resultat-Produktion &amp; forbrug'!L$4:L$291,'Resultat-Produktion &amp; forbrug'!$A$4:$A$291,'Produktion &amp; forbrug'!$A64,'Resultat-Produktion &amp; forbrug'!$E$4:$E$291,'Produktion &amp; forbrug'!$F64)</f>
        <v>0</v>
      </c>
      <c r="M64" s="94">
        <f>SUMIFS('Resultat-Produktion &amp; forbrug'!M$4:M$291,'Resultat-Produktion &amp; forbrug'!$A$4:$A$291,'Produktion &amp; forbrug'!$A64,'Resultat-Produktion &amp; forbrug'!$E$4:$E$291,'Produktion &amp; forbrug'!$F64)</f>
        <v>0</v>
      </c>
      <c r="N64" s="94">
        <f>SUMIFS('Resultat-Produktion &amp; forbrug'!N$4:N$291,'Resultat-Produktion &amp; forbrug'!$A$4:$A$291,'Produktion &amp; forbrug'!$A64,'Resultat-Produktion &amp; forbrug'!$E$4:$E$291,'Produktion &amp; forbrug'!$F64)</f>
        <v>0</v>
      </c>
      <c r="O64" s="179">
        <f t="shared" si="3"/>
        <v>-142742</v>
      </c>
      <c r="P64" s="94">
        <f t="shared" si="4"/>
        <v>0</v>
      </c>
      <c r="Q64" s="180">
        <f t="shared" si="5"/>
        <v>142742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IF(A64&lt;&gt;"Biogas",IFERROR(VLOOKUP(A64,[1]Biogasudbytte!$A$2:$B$18,2,FALSE)*[1]Energiindhold!$C$10,0)*K64*IFERROR(VLOOKUP(A64,Biogasanlæg!$F$3:$G$8,2,FALSE),1)+IFERROR(VLOOKUP(A64,[1]Energiindhold!$A$2:$C$11,3,FALSE),0)*M64+IF(F64&lt;&gt;År1,R64,0),0)</f>
        <v>2.1694819870080004</v>
      </c>
      <c r="T64">
        <f>IFERROR(VLOOKUP(A64,[1]Biogasudbytte!$A$2:$B$18,2,FALSE)*[1]Energiindhold!$C$10,0)*K64*IFERROR(VLOOKUP(A64,Biogasanlæg!$F$3:$G$8,2,FALSE),1)</f>
        <v>2.1694819870080004</v>
      </c>
      <c r="U64" s="170">
        <f t="shared" si="6"/>
        <v>0</v>
      </c>
      <c r="V64" s="169">
        <f>P64*IFERROR(VLOOKUP(A64,[1]Tørstofindhold!A$2:B$24,2,FALSE),0)</f>
        <v>0</v>
      </c>
      <c r="W64">
        <f>IF(F64=År1,Q64,SUM(P64,Q64))*IFERROR(VLOOKUP(A64,[1]Tørstofindhold!A$2:B$24,2,FALSE),0)</f>
        <v>128467.8</v>
      </c>
      <c r="X64">
        <f>K64*IFERROR(VLOOKUP(A64,[1]Tørstofindhold!A$2:B$24,2,FALSE),0)</f>
        <v>128467.8</v>
      </c>
      <c r="Y64" s="170">
        <f t="shared" si="7"/>
        <v>0</v>
      </c>
      <c r="Z64">
        <f t="shared" si="9"/>
        <v>1</v>
      </c>
      <c r="AA64">
        <f t="shared" si="10"/>
        <v>0</v>
      </c>
      <c r="AC64" s="94">
        <f t="shared" si="8"/>
        <v>-142742</v>
      </c>
      <c r="AD64">
        <f>AC64*E64*10000*VLOOKUP(A64,[1]kcal!$A$2:$C$49,3,FALSE)/1000000000000</f>
        <v>0</v>
      </c>
    </row>
    <row r="65" spans="1:30" x14ac:dyDescent="0.25">
      <c r="A65" s="171" t="str">
        <f t="shared" si="11"/>
        <v>Græs</v>
      </c>
      <c r="B65" s="171" t="str">
        <f t="shared" si="12"/>
        <v>Græs og urter</v>
      </c>
      <c r="C65" s="171" t="str">
        <f>IFERROR(VLOOKUP(A65,'Kategorisering af kcal'!$J$2:$K$18,2,FALSE),"")</f>
        <v/>
      </c>
      <c r="D65" s="171">
        <f>IF(COUNTIFS('Resultater - Danmark'!$D$3:$D$504,'Produktion &amp; forbrug'!A65,'Resultater - Danmark'!$A$3:$A$504,"Til energi")+COUNTIFS('Resultater - Danmark'!$D$3:$D$504,'Produktion &amp; forbrug'!A65,'Resultater - Danmark'!$A$3:$A$504,"Biogasanlæg")&gt;0,1,0)</f>
        <v>1</v>
      </c>
      <c r="E65" s="171">
        <f t="shared" si="14"/>
        <v>0</v>
      </c>
      <c r="F65" s="171">
        <f t="shared" si="13"/>
        <v>2030</v>
      </c>
      <c r="G65" s="94">
        <f>SUMIFS('Resultat-Produktion &amp; forbrug'!G$4:G$291,'Resultat-Produktion &amp; forbrug'!$A$4:$A$291,'Produktion &amp; forbrug'!$A65,'Resultat-Produktion &amp; forbrug'!$E$4:$E$291,'Produktion &amp; forbrug'!$F65)</f>
        <v>16576650.263735827</v>
      </c>
      <c r="H65" s="94">
        <f>SUMIFS('Resultat-Produktion &amp; forbrug'!H$4:H$291,'Resultat-Produktion &amp; forbrug'!$A$4:$A$291,'Produktion &amp; forbrug'!$A65,'Resultat-Produktion &amp; forbrug'!$E$4:$E$291,'Produktion &amp; forbrug'!$F65)</f>
        <v>9280062.7029926386</v>
      </c>
      <c r="I65" s="94">
        <f>SUMIFS('Resultat-Produktion &amp; forbrug'!I$4:I$291,'Resultat-Produktion &amp; forbrug'!$A$4:$A$291,'Produktion &amp; forbrug'!$A65,'Resultat-Produktion &amp; forbrug'!$E$4:$E$291,'Produktion &amp; forbrug'!$F65)</f>
        <v>0</v>
      </c>
      <c r="J65" s="94">
        <f>SUMIFS('Resultat-Produktion &amp; forbrug'!J$4:J$291,'Resultat-Produktion &amp; forbrug'!$A$4:$A$291,'Produktion &amp; forbrug'!$A65,'Resultat-Produktion &amp; forbrug'!$E$4:$E$291,'Produktion &amp; forbrug'!$F65)</f>
        <v>0</v>
      </c>
      <c r="K65" s="94">
        <f>SUMIFS('Resultat-Produktion &amp; forbrug'!K$4:K$291,'Resultat-Produktion &amp; forbrug'!$A$4:$A$291,'Produktion &amp; forbrug'!$A65,'Resultat-Produktion &amp; forbrug'!$E$4:$E$291,'Produktion &amp; forbrug'!$F65)</f>
        <v>0</v>
      </c>
      <c r="L65" s="94">
        <f>SUMIFS('Resultat-Produktion &amp; forbrug'!L$4:L$291,'Resultat-Produktion &amp; forbrug'!$A$4:$A$291,'Produktion &amp; forbrug'!$A65,'Resultat-Produktion &amp; forbrug'!$E$4:$E$291,'Produktion &amp; forbrug'!$F65)</f>
        <v>0</v>
      </c>
      <c r="M65" s="94">
        <f>SUMIFS('Resultat-Produktion &amp; forbrug'!M$4:M$291,'Resultat-Produktion &amp; forbrug'!$A$4:$A$291,'Produktion &amp; forbrug'!$A65,'Resultat-Produktion &amp; forbrug'!$E$4:$E$291,'Produktion &amp; forbrug'!$F65)</f>
        <v>0</v>
      </c>
      <c r="N65" s="94">
        <f>SUMIFS('Resultat-Produktion &amp; forbrug'!N$4:N$291,'Resultat-Produktion &amp; forbrug'!$A$4:$A$291,'Produktion &amp; forbrug'!$A65,'Resultat-Produktion &amp; forbrug'!$E$4:$E$291,'Produktion &amp; forbrug'!$F65)</f>
        <v>0</v>
      </c>
      <c r="O65" s="179">
        <f t="shared" si="3"/>
        <v>7296587.5607431885</v>
      </c>
      <c r="P65" s="94">
        <f t="shared" si="4"/>
        <v>7296587.5607431885</v>
      </c>
      <c r="Q65" s="180">
        <f t="shared" si="5"/>
        <v>0</v>
      </c>
      <c r="R65">
        <f>IFERROR(VLOOKUP(A65,[1]Energiindhold!$A$2:$C$11,3,FALSE),IFERROR(VLOOKUP(A65,[1]Biogasudbytte!$A$2:$B$18,2,FALSE)*[1]Energiindhold!$C$10,0))*P65</f>
        <v>13.424809038322374</v>
      </c>
      <c r="S65">
        <f>IF(A65&lt;&gt;"Biogas",IFERROR(VLOOKUP(A65,[1]Biogasudbytte!$A$2:$B$18,2,FALSE)*[1]Energiindhold!$C$10,0)*K65*IFERROR(VLOOKUP(A65,Biogasanlæg!$F$3:$G$8,2,FALSE),1)+IFERROR(VLOOKUP(A65,[1]Energiindhold!$A$2:$C$11,3,FALSE),0)*M65+IF(F65&lt;&gt;År1,R65,0),0)</f>
        <v>13.424809038322374</v>
      </c>
      <c r="T65">
        <f>IFERROR(VLOOKUP(A65,[1]Biogasudbytte!$A$2:$B$18,2,FALSE)*[1]Energiindhold!$C$10,0)*K65*IFERROR(VLOOKUP(A65,Biogasanlæg!$F$3:$G$8,2,FALSE),1)</f>
        <v>0</v>
      </c>
      <c r="U65" s="170">
        <f t="shared" si="6"/>
        <v>13.424809038322374</v>
      </c>
      <c r="V65" s="169">
        <f>P65*IFERROR(VLOOKUP(A65,[1]Tørstofindhold!A$2:B$24,2,FALSE),0)</f>
        <v>2043044.517008093</v>
      </c>
      <c r="W65">
        <f>IF(F65=År1,Q65,SUM(P65,Q65))*IFERROR(VLOOKUP(A65,[1]Tørstofindhold!A$2:B$24,2,FALSE),0)</f>
        <v>2043044.517008093</v>
      </c>
      <c r="X65">
        <f>K65*IFERROR(VLOOKUP(A65,[1]Tørstofindhold!A$2:B$24,2,FALSE),0)</f>
        <v>0</v>
      </c>
      <c r="Y65" s="170">
        <f t="shared" si="7"/>
        <v>2043044.517008093</v>
      </c>
      <c r="Z65">
        <f t="shared" si="9"/>
        <v>0</v>
      </c>
      <c r="AA65">
        <f t="shared" si="10"/>
        <v>1</v>
      </c>
      <c r="AC65" s="94">
        <f t="shared" si="8"/>
        <v>7296587.5607431885</v>
      </c>
      <c r="AD65">
        <f>AC65*E65*10000*VLOOKUP(A65,[1]kcal!$A$2:$C$49,3,FALSE)/1000000000000</f>
        <v>0</v>
      </c>
    </row>
    <row r="66" spans="1:30" x14ac:dyDescent="0.25">
      <c r="A66" s="171" t="str">
        <f t="shared" si="11"/>
        <v>Græsprotein</v>
      </c>
      <c r="B66" s="171" t="str">
        <f t="shared" si="12"/>
        <v/>
      </c>
      <c r="C66" s="171" t="str">
        <f>IFERROR(VLOOKUP(A66,'Kategorisering af kcal'!$J$2:$K$18,2,FALSE),"")</f>
        <v/>
      </c>
      <c r="D66" s="171">
        <f>IF(COUNTIFS('Resultater - Danmark'!$D$3:$D$504,'Produktion &amp; forbrug'!A66,'Resultater - Danmark'!$A$3:$A$504,"Til energi")+COUNTIFS('Resultater - Danmark'!$D$3:$D$504,'Produktion &amp; forbrug'!A66,'Resultater - Danmark'!$A$3:$A$504,"Biogasanlæg")&gt;0,1,0)</f>
        <v>0</v>
      </c>
      <c r="E66" s="171">
        <f t="shared" si="14"/>
        <v>0</v>
      </c>
      <c r="F66" s="171">
        <f t="shared" si="13"/>
        <v>2030</v>
      </c>
      <c r="G66" s="94">
        <f>SUMIFS('Resultat-Produktion &amp; forbrug'!G$4:G$291,'Resultat-Produktion &amp; forbrug'!$A$4:$A$291,'Produktion &amp; forbrug'!$A66,'Resultat-Produktion &amp; forbrug'!$E$4:$E$291,'Produktion &amp; forbrug'!$F66)</f>
        <v>0</v>
      </c>
      <c r="H66" s="94">
        <f>SUMIFS('Resultat-Produktion &amp; forbrug'!H$4:H$291,'Resultat-Produktion &amp; forbrug'!$A$4:$A$291,'Produktion &amp; forbrug'!$A66,'Resultat-Produktion &amp; forbrug'!$E$4:$E$291,'Produktion &amp; forbrug'!$F66)</f>
        <v>0</v>
      </c>
      <c r="I66" s="94">
        <f>SUMIFS('Resultat-Produktion &amp; forbrug'!I$4:I$291,'Resultat-Produktion &amp; forbrug'!$A$4:$A$291,'Produktion &amp; forbrug'!$A66,'Resultat-Produktion &amp; forbrug'!$E$4:$E$291,'Produktion &amp; forbrug'!$F66)</f>
        <v>0</v>
      </c>
      <c r="J66" s="94">
        <f>SUMIFS('Resultat-Produktion &amp; forbrug'!J$4:J$291,'Resultat-Produktion &amp; forbrug'!$A$4:$A$291,'Produktion &amp; forbrug'!$A66,'Resultat-Produktion &amp; forbrug'!$E$4:$E$291,'Produktion &amp; forbrug'!$F66)</f>
        <v>0</v>
      </c>
      <c r="K66" s="94">
        <f>SUMIFS('Resultat-Produktion &amp; forbrug'!K$4:K$291,'Resultat-Produktion &amp; forbrug'!$A$4:$A$291,'Produktion &amp; forbrug'!$A66,'Resultat-Produktion &amp; forbrug'!$E$4:$E$291,'Produktion &amp; forbrug'!$F66)</f>
        <v>0</v>
      </c>
      <c r="L66" s="94">
        <f>SUMIFS('Resultat-Produktion &amp; forbrug'!L$4:L$291,'Resultat-Produktion &amp; forbrug'!$A$4:$A$291,'Produktion &amp; forbrug'!$A66,'Resultat-Produktion &amp; forbrug'!$E$4:$E$291,'Produktion &amp; forbrug'!$F66)</f>
        <v>0</v>
      </c>
      <c r="M66" s="94">
        <f>SUMIFS('Resultat-Produktion &amp; forbrug'!M$4:M$291,'Resultat-Produktion &amp; forbrug'!$A$4:$A$291,'Produktion &amp; forbrug'!$A66,'Resultat-Produktion &amp; forbrug'!$E$4:$E$291,'Produktion &amp; forbrug'!$F66)</f>
        <v>0</v>
      </c>
      <c r="N66" s="94">
        <f>SUMIFS('Resultat-Produktion &amp; forbrug'!N$4:N$291,'Resultat-Produktion &amp; forbrug'!$A$4:$A$291,'Produktion &amp; forbrug'!$A66,'Resultat-Produktion &amp; forbrug'!$E$4:$E$291,'Produktion &amp; forbrug'!$F66)</f>
        <v>0</v>
      </c>
      <c r="O66" s="179">
        <f t="shared" si="3"/>
        <v>0</v>
      </c>
      <c r="P66" s="94">
        <f t="shared" si="4"/>
        <v>0</v>
      </c>
      <c r="Q66" s="180">
        <f t="shared" si="5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IF(A66&lt;&gt;"Biogas",IFERROR(VLOOKUP(A66,[1]Biogasudbytte!$A$2:$B$18,2,FALSE)*[1]Energiindhold!$C$10,0)*K66*IFERROR(VLOOKUP(A66,Biogasanlæg!$F$3:$G$8,2,FALSE),1)+IFERROR(VLOOKUP(A66,[1]Energiindhold!$A$2:$C$11,3,FALSE),0)*M66+IF(F66&lt;&gt;År1,R66,0),0)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6"/>
        <v>0</v>
      </c>
      <c r="V66" s="169">
        <f>P66*IFERROR(VLOOKUP(A66,[1]Tørstofindhold!A$2:B$24,2,FALSE),0)</f>
        <v>0</v>
      </c>
      <c r="W66">
        <f>IF(F66=År1,Q66,SUM(P66,Q66))*IFERROR(VLOOKUP(A66,[1]Tørstofindhold!A$2:B$24,2,FALSE),0)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7"/>
        <v>0</v>
      </c>
      <c r="Z66">
        <f t="shared" si="9"/>
        <v>0</v>
      </c>
      <c r="AA66">
        <f t="shared" si="10"/>
        <v>0</v>
      </c>
      <c r="AC66" s="94">
        <f t="shared" si="8"/>
        <v>0</v>
      </c>
      <c r="AD66">
        <f>AC66*E66*10000*VLOOKUP(A66,[1]kcal!$A$2:$C$49,3,FALSE)/1000000000000</f>
        <v>0</v>
      </c>
    </row>
    <row r="67" spans="1:30" x14ac:dyDescent="0.25">
      <c r="A67" s="171" t="str">
        <f t="shared" si="11"/>
        <v>Grøntsager</v>
      </c>
      <c r="B67" s="171" t="str">
        <f t="shared" si="12"/>
        <v/>
      </c>
      <c r="C67" s="171" t="str">
        <f>IFERROR(VLOOKUP(A67,'Kategorisering af kcal'!$J$2:$K$18,2,FALSE),"")</f>
        <v>Grøntsager</v>
      </c>
      <c r="D67" s="171">
        <f>IF(COUNTIFS('Resultater - Danmark'!$D$3:$D$504,'Produktion &amp; forbrug'!A67,'Resultater - Danmark'!$A$3:$A$504,"Til energi")+COUNTIFS('Resultater - Danmark'!$D$3:$D$504,'Produktion &amp; forbrug'!A67,'Resultater - Danmark'!$A$3:$A$504,"Biogasanlæg")&gt;0,1,0)</f>
        <v>0</v>
      </c>
      <c r="E67" s="171">
        <f t="shared" si="14"/>
        <v>1</v>
      </c>
      <c r="F67" s="171">
        <f t="shared" si="13"/>
        <v>2030</v>
      </c>
      <c r="G67" s="94">
        <f>SUMIFS('Resultat-Produktion &amp; forbrug'!G$4:G$291,'Resultat-Produktion &amp; forbrug'!$A$4:$A$291,'Produktion &amp; forbrug'!$A67,'Resultat-Produktion &amp; forbrug'!$E$4:$E$291,'Produktion &amp; forbrug'!$F67)</f>
        <v>1537908.6657706075</v>
      </c>
      <c r="H67" s="94">
        <f>SUMIFS('Resultat-Produktion &amp; forbrug'!H$4:H$291,'Resultat-Produktion &amp; forbrug'!$A$4:$A$291,'Produktion &amp; forbrug'!$A67,'Resultat-Produktion &amp; forbrug'!$E$4:$E$291,'Produktion &amp; forbrug'!$F67)</f>
        <v>0</v>
      </c>
      <c r="I67" s="94">
        <f>SUMIFS('Resultat-Produktion &amp; forbrug'!I$4:I$291,'Resultat-Produktion &amp; forbrug'!$A$4:$A$291,'Produktion &amp; forbrug'!$A67,'Resultat-Produktion &amp; forbrug'!$E$4:$E$291,'Produktion &amp; forbrug'!$F67)</f>
        <v>0</v>
      </c>
      <c r="J67" s="94">
        <f>SUMIFS('Resultat-Produktion &amp; forbrug'!J$4:J$291,'Resultat-Produktion &amp; forbrug'!$A$4:$A$291,'Produktion &amp; forbrug'!$A67,'Resultat-Produktion &amp; forbrug'!$E$4:$E$291,'Produktion &amp; forbrug'!$F67)</f>
        <v>504043.1587853356</v>
      </c>
      <c r="K67" s="94">
        <f>SUMIFS('Resultat-Produktion &amp; forbrug'!K$4:K$291,'Resultat-Produktion &amp; forbrug'!$A$4:$A$291,'Produktion &amp; forbrug'!$A67,'Resultat-Produktion &amp; forbrug'!$E$4:$E$291,'Produktion &amp; forbrug'!$F67)</f>
        <v>0</v>
      </c>
      <c r="L67" s="94">
        <f>SUMIFS('Resultat-Produktion &amp; forbrug'!L$4:L$291,'Resultat-Produktion &amp; forbrug'!$A$4:$A$291,'Produktion &amp; forbrug'!$A67,'Resultat-Produktion &amp; forbrug'!$E$4:$E$291,'Produktion &amp; forbrug'!$F67)</f>
        <v>0</v>
      </c>
      <c r="M67" s="94">
        <f>SUMIFS('Resultat-Produktion &amp; forbrug'!M$4:M$291,'Resultat-Produktion &amp; forbrug'!$A$4:$A$291,'Produktion &amp; forbrug'!$A67,'Resultat-Produktion &amp; forbrug'!$E$4:$E$291,'Produktion &amp; forbrug'!$F67)</f>
        <v>0</v>
      </c>
      <c r="N67" s="94">
        <f>SUMIFS('Resultat-Produktion &amp; forbrug'!N$4:N$291,'Resultat-Produktion &amp; forbrug'!$A$4:$A$291,'Produktion &amp; forbrug'!$A67,'Resultat-Produktion &amp; forbrug'!$E$4:$E$291,'Produktion &amp; forbrug'!$F67)</f>
        <v>0</v>
      </c>
      <c r="O67" s="179">
        <f t="shared" si="3"/>
        <v>1033865.5069852719</v>
      </c>
      <c r="P67" s="94">
        <f t="shared" si="4"/>
        <v>0</v>
      </c>
      <c r="Q67" s="180">
        <f t="shared" si="5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IF(A67&lt;&gt;"Biogas",IFERROR(VLOOKUP(A67,[1]Biogasudbytte!$A$2:$B$18,2,FALSE)*[1]Energiindhold!$C$10,0)*K67*IFERROR(VLOOKUP(A67,Biogasanlæg!$F$3:$G$8,2,FALSE),1)+IFERROR(VLOOKUP(A67,[1]Energiindhold!$A$2:$C$11,3,FALSE),0)*M67+IF(F67&lt;&gt;År1,R67,0),0)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6"/>
        <v>0</v>
      </c>
      <c r="V67" s="169">
        <f>P67*IFERROR(VLOOKUP(A67,[1]Tørstofindhold!A$2:B$24,2,FALSE),0)</f>
        <v>0</v>
      </c>
      <c r="W67">
        <f>IF(F67=År1,Q67,SUM(P67,Q67))*IFERROR(VLOOKUP(A67,[1]Tørstofindhold!A$2:B$24,2,FALSE),0)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7"/>
        <v>0</v>
      </c>
      <c r="Z67">
        <f t="shared" si="9"/>
        <v>0</v>
      </c>
      <c r="AA67">
        <f t="shared" si="10"/>
        <v>1</v>
      </c>
      <c r="AC67" s="94">
        <f t="shared" si="8"/>
        <v>1537908.6657706075</v>
      </c>
      <c r="AD67">
        <f>AC67*E67*10000*VLOOKUP(A67,[1]kcal!$A$2:$C$49,3,FALSE)/1000000000000</f>
        <v>0.59978437965053699</v>
      </c>
    </row>
    <row r="68" spans="1:30" x14ac:dyDescent="0.25">
      <c r="A68" s="171" t="str">
        <f t="shared" si="11"/>
        <v>Halm</v>
      </c>
      <c r="B68" s="171" t="str">
        <f t="shared" si="12"/>
        <v>Halm og strå</v>
      </c>
      <c r="C68" s="171" t="str">
        <f>IFERROR(VLOOKUP(A68,'Kategorisering af kcal'!$J$2:$K$18,2,FALSE),"")</f>
        <v/>
      </c>
      <c r="D68" s="171">
        <f>IF(COUNTIFS('Resultater - Danmark'!$D$3:$D$504,'Produktion &amp; forbrug'!A68,'Resultater - Danmark'!$A$3:$A$504,"Til energi")+COUNTIFS('Resultater - Danmark'!$D$3:$D$504,'Produktion &amp; forbrug'!A68,'Resultater - Danmark'!$A$3:$A$504,"Biogasanlæg")&gt;0,1,0)</f>
        <v>1</v>
      </c>
      <c r="E68" s="171">
        <f t="shared" si="14"/>
        <v>0</v>
      </c>
      <c r="F68" s="171">
        <f t="shared" si="13"/>
        <v>2030</v>
      </c>
      <c r="G68" s="94">
        <f>SUMIFS('Resultat-Produktion &amp; forbrug'!G$4:G$291,'Resultat-Produktion &amp; forbrug'!$A$4:$A$291,'Produktion &amp; forbrug'!$A68,'Resultat-Produktion &amp; forbrug'!$E$4:$E$291,'Produktion &amp; forbrug'!$F68)</f>
        <v>3235731.9634159282</v>
      </c>
      <c r="H68" s="94">
        <f>SUMIFS('Resultat-Produktion &amp; forbrug'!H$4:H$291,'Resultat-Produktion &amp; forbrug'!$A$4:$A$291,'Produktion &amp; forbrug'!$A68,'Resultat-Produktion &amp; forbrug'!$E$4:$E$291,'Produktion &amp; forbrug'!$F68)</f>
        <v>586245.08547563502</v>
      </c>
      <c r="I68" s="94">
        <f>SUMIFS('Resultat-Produktion &amp; forbrug'!I$4:I$291,'Resultat-Produktion &amp; forbrug'!$A$4:$A$291,'Produktion &amp; forbrug'!$A68,'Resultat-Produktion &amp; forbrug'!$E$4:$E$291,'Produktion &amp; forbrug'!$F68)</f>
        <v>538883.85983504658</v>
      </c>
      <c r="J68" s="94">
        <f>SUMIFS('Resultat-Produktion &amp; forbrug'!J$4:J$291,'Resultat-Produktion &amp; forbrug'!$A$4:$A$291,'Produktion &amp; forbrug'!$A68,'Resultat-Produktion &amp; forbrug'!$E$4:$E$291,'Produktion &amp; forbrug'!$F68)</f>
        <v>0</v>
      </c>
      <c r="K68" s="94">
        <f>SUMIFS('Resultat-Produktion &amp; forbrug'!K$4:K$291,'Resultat-Produktion &amp; forbrug'!$A$4:$A$291,'Produktion &amp; forbrug'!$A68,'Resultat-Produktion &amp; forbrug'!$E$4:$E$291,'Produktion &amp; forbrug'!$F68)</f>
        <v>0</v>
      </c>
      <c r="L68" s="94">
        <f>SUMIFS('Resultat-Produktion &amp; forbrug'!L$4:L$291,'Resultat-Produktion &amp; forbrug'!$A$4:$A$291,'Produktion &amp; forbrug'!$A68,'Resultat-Produktion &amp; forbrug'!$E$4:$E$291,'Produktion &amp; forbrug'!$F68)</f>
        <v>0</v>
      </c>
      <c r="M68" s="94">
        <f>SUMIFS('Resultat-Produktion &amp; forbrug'!M$4:M$291,'Resultat-Produktion &amp; forbrug'!$A$4:$A$291,'Produktion &amp; forbrug'!$A68,'Resultat-Produktion &amp; forbrug'!$E$4:$E$291,'Produktion &amp; forbrug'!$F68)</f>
        <v>2110603.0181052475</v>
      </c>
      <c r="N68" s="94">
        <f>SUMIFS('Resultat-Produktion &amp; forbrug'!N$4:N$291,'Resultat-Produktion &amp; forbrug'!$A$4:$A$291,'Produktion &amp; forbrug'!$A68,'Resultat-Produktion &amp; forbrug'!$E$4:$E$291,'Produktion &amp; forbrug'!$F68)</f>
        <v>0</v>
      </c>
      <c r="O68" s="179">
        <f t="shared" si="3"/>
        <v>0</v>
      </c>
      <c r="P68" s="94">
        <f t="shared" si="4"/>
        <v>0</v>
      </c>
      <c r="Q68" s="180">
        <f t="shared" si="5"/>
        <v>2110603.0181052475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IF(A68&lt;&gt;"Biogas",IFERROR(VLOOKUP(A68,[1]Biogasudbytte!$A$2:$B$18,2,FALSE)*[1]Energiindhold!$C$10,0)*K68*IFERROR(VLOOKUP(A68,Biogasanlæg!$F$3:$G$8,2,FALSE),1)+IFERROR(VLOOKUP(A68,[1]Energiindhold!$A$2:$C$11,3,FALSE),0)*M68+IF(F68&lt;&gt;År1,R68,0),0)</f>
        <v>21.814784053928342</v>
      </c>
      <c r="T68">
        <f>IFERROR(VLOOKUP(A68,[1]Biogasudbytte!$A$2:$B$18,2,FALSE)*[1]Energiindhold!$C$10,0)*K68*IFERROR(VLOOKUP(A68,Biogasanlæg!$F$3:$G$8,2,FALSE),1)</f>
        <v>0</v>
      </c>
      <c r="U68" s="170">
        <f t="shared" si="6"/>
        <v>21.814784053928342</v>
      </c>
      <c r="V68" s="169">
        <f>P68*IFERROR(VLOOKUP(A68,[1]Tørstofindhold!A$2:B$24,2,FALSE),0)</f>
        <v>0</v>
      </c>
      <c r="W68">
        <f>IF(F68=År1,Q68,SUM(P68,Q68))*IFERROR(VLOOKUP(A68,[1]Tørstofindhold!A$2:B$24,2,FALSE),0)</f>
        <v>1794012.5653894604</v>
      </c>
      <c r="X68">
        <f>K68*IFERROR(VLOOKUP(A68,[1]Tørstofindhold!A$2:B$24,2,FALSE),0)</f>
        <v>0</v>
      </c>
      <c r="Y68" s="170">
        <f t="shared" si="7"/>
        <v>1794012.5653894604</v>
      </c>
      <c r="Z68">
        <f t="shared" ref="Z68:Z99" si="15">IF(SUMIFS($O$4:$O$147,$A$4:$A$147,A68,$F$4:$F$147,F68)&lt;0,1,0)</f>
        <v>0</v>
      </c>
      <c r="AA68">
        <f t="shared" ref="AA68:AA99" si="16">IF(SUMIFS($O$4:$O$147,$A$4:$A$147,A68,$F$4:$F$147,F68)&gt;0,1,0)</f>
        <v>0</v>
      </c>
      <c r="AC68" s="94">
        <f t="shared" si="8"/>
        <v>2110603.0181052466</v>
      </c>
      <c r="AD68">
        <f>AC68*E68*10000*VLOOKUP(A68,[1]kcal!$A$2:$C$49,3,FALSE)/1000000000000</f>
        <v>0</v>
      </c>
    </row>
    <row r="69" spans="1:30" x14ac:dyDescent="0.25">
      <c r="A69" s="171" t="str">
        <f t="shared" si="11"/>
        <v>Have/parkaffald</v>
      </c>
      <c r="B69" s="171" t="str">
        <f t="shared" si="12"/>
        <v>Bionedbrydeligt affald</v>
      </c>
      <c r="C69" s="171" t="str">
        <f>IFERROR(VLOOKUP(A69,'Kategorisering af kcal'!$J$2:$K$18,2,FALSE),"")</f>
        <v/>
      </c>
      <c r="D69" s="171">
        <f>IF(COUNTIFS('Resultater - Danmark'!$D$3:$D$504,'Produktion &amp; forbrug'!A69,'Resultater - Danmark'!$A$3:$A$504,"Til energi")+COUNTIFS('Resultater - Danmark'!$D$3:$D$504,'Produktion &amp; forbrug'!A69,'Resultater - Danmark'!$A$3:$A$504,"Biogasanlæg")&gt;0,1,0)</f>
        <v>1</v>
      </c>
      <c r="E69" s="171">
        <f t="shared" si="14"/>
        <v>0</v>
      </c>
      <c r="F69" s="171">
        <f t="shared" si="13"/>
        <v>2030</v>
      </c>
      <c r="G69" s="94">
        <f>SUMIFS('Resultat-Produktion &amp; forbrug'!G$4:G$291,'Resultat-Produktion &amp; forbrug'!$A$4:$A$291,'Produktion &amp; forbrug'!$A69,'Resultat-Produktion &amp; forbrug'!$E$4:$E$291,'Produktion &amp; forbrug'!$F69)</f>
        <v>982809</v>
      </c>
      <c r="H69" s="94">
        <f>SUMIFS('Resultat-Produktion &amp; forbrug'!H$4:H$291,'Resultat-Produktion &amp; forbrug'!$A$4:$A$291,'Produktion &amp; forbrug'!$A69,'Resultat-Produktion &amp; forbrug'!$E$4:$E$291,'Produktion &amp; forbrug'!$F69)</f>
        <v>0</v>
      </c>
      <c r="I69" s="94">
        <f>SUMIFS('Resultat-Produktion &amp; forbrug'!I$4:I$291,'Resultat-Produktion &amp; forbrug'!$A$4:$A$291,'Produktion &amp; forbrug'!$A69,'Resultat-Produktion &amp; forbrug'!$E$4:$E$291,'Produktion &amp; forbrug'!$F69)</f>
        <v>0</v>
      </c>
      <c r="J69" s="94">
        <f>SUMIFS('Resultat-Produktion &amp; forbrug'!J$4:J$291,'Resultat-Produktion &amp; forbrug'!$A$4:$A$291,'Produktion &amp; forbrug'!$A69,'Resultat-Produktion &amp; forbrug'!$E$4:$E$291,'Produktion &amp; forbrug'!$F69)</f>
        <v>0</v>
      </c>
      <c r="K69" s="94">
        <f>SUMIFS('Resultat-Produktion &amp; forbrug'!K$4:K$291,'Resultat-Produktion &amp; forbrug'!$A$4:$A$291,'Produktion &amp; forbrug'!$A69,'Resultat-Produktion &amp; forbrug'!$E$4:$E$291,'Produktion &amp; forbrug'!$F69)</f>
        <v>750000</v>
      </c>
      <c r="L69" s="94">
        <f>SUMIFS('Resultat-Produktion &amp; forbrug'!L$4:L$291,'Resultat-Produktion &amp; forbrug'!$A$4:$A$291,'Produktion &amp; forbrug'!$A69,'Resultat-Produktion &amp; forbrug'!$E$4:$E$291,'Produktion &amp; forbrug'!$F69)</f>
        <v>0</v>
      </c>
      <c r="M69" s="94">
        <f>SUMIFS('Resultat-Produktion &amp; forbrug'!M$4:M$291,'Resultat-Produktion &amp; forbrug'!$A$4:$A$291,'Produktion &amp; forbrug'!$A69,'Resultat-Produktion &amp; forbrug'!$E$4:$E$291,'Produktion &amp; forbrug'!$F69)</f>
        <v>232809.00000000006</v>
      </c>
      <c r="N69" s="94">
        <f>SUMIFS('Resultat-Produktion &amp; forbrug'!N$4:N$291,'Resultat-Produktion &amp; forbrug'!$A$4:$A$291,'Produktion &amp; forbrug'!$A69,'Resultat-Produktion &amp; forbrug'!$E$4:$E$291,'Produktion &amp; forbrug'!$F69)</f>
        <v>0</v>
      </c>
      <c r="O69" s="179">
        <f t="shared" ref="O69:O134" si="17">G69-SUM(H69:N69)</f>
        <v>0</v>
      </c>
      <c r="P69" s="94">
        <f t="shared" ref="P69:P132" si="18">IF(D69=1,MAX(O69,0),0)</f>
        <v>0</v>
      </c>
      <c r="Q69" s="180">
        <f t="shared" ref="Q69:Q134" si="19">SUM(K69,M69)</f>
        <v>982809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IF(A69&lt;&gt;"Biogas",IFERROR(VLOOKUP(A69,[1]Biogasudbytte!$A$2:$B$18,2,FALSE)*[1]Energiindhold!$C$10,0)*K69*IFERROR(VLOOKUP(A69,Biogasanlæg!$F$3:$G$8,2,FALSE),1)+IFERROR(VLOOKUP(A69,[1]Energiindhold!$A$2:$C$11,3,FALSE),0)*M69+IF(F69&lt;&gt;År1,R69,0),0)</f>
        <v>5.4297101071975513</v>
      </c>
      <c r="T69">
        <f>IFERROR(VLOOKUP(A69,[1]Biogasudbytte!$A$2:$B$18,2,FALSE)*[1]Energiindhold!$C$10,0)*K69*IFERROR(VLOOKUP(A69,Biogasanlæg!$F$3:$G$8,2,FALSE),1)</f>
        <v>1.2735525000000001</v>
      </c>
      <c r="U69" s="170">
        <f t="shared" ref="U69:U134" si="20">S69-T69</f>
        <v>4.1561576071975512</v>
      </c>
      <c r="V69" s="169">
        <f>P69*IFERROR(VLOOKUP(A69,[1]Tørstofindhold!A$2:B$24,2,FALSE),0)</f>
        <v>0</v>
      </c>
      <c r="W69">
        <f>IF(F69=År1,Q69,SUM(P69,Q69))*IFERROR(VLOOKUP(A69,[1]Tørstofindhold!A$2:B$24,2,FALSE),0)</f>
        <v>294842.7</v>
      </c>
      <c r="X69">
        <f>K69*IFERROR(VLOOKUP(A69,[1]Tørstofindhold!A$2:B$24,2,FALSE),0)</f>
        <v>225000</v>
      </c>
      <c r="Y69" s="170">
        <f t="shared" ref="Y69:Y134" si="21">W69-X69</f>
        <v>69842.700000000012</v>
      </c>
      <c r="Z69">
        <f t="shared" si="15"/>
        <v>0</v>
      </c>
      <c r="AA69">
        <f t="shared" si="16"/>
        <v>0</v>
      </c>
      <c r="AC69" s="94">
        <f t="shared" ref="AC69:AC132" si="22">G69-SUMPRODUCT($H$2:$N$2,H69:N69)</f>
        <v>232809</v>
      </c>
      <c r="AD69">
        <f>AC69*E69*10000*VLOOKUP(A69,[1]kcal!$A$2:$C$49,3,FALSE)/1000000000000</f>
        <v>0</v>
      </c>
    </row>
    <row r="70" spans="1:30" x14ac:dyDescent="0.25">
      <c r="A70" s="171" t="str">
        <f t="shared" si="11"/>
        <v>Import af foder</v>
      </c>
      <c r="B70" s="171" t="str">
        <f t="shared" si="12"/>
        <v/>
      </c>
      <c r="C70" s="171" t="str">
        <f>IFERROR(VLOOKUP(A70,'Kategorisering af kcal'!$J$2:$K$18,2,FALSE),"")</f>
        <v>Olieafgrøder</v>
      </c>
      <c r="D70" s="171">
        <f>IF(COUNTIFS('Resultater - Danmark'!$D$3:$D$504,'Produktion &amp; forbrug'!A70,'Resultater - Danmark'!$A$3:$A$504,"Til energi")+COUNTIFS('Resultater - Danmark'!$D$3:$D$504,'Produktion &amp; forbrug'!A70,'Resultater - Danmark'!$A$3:$A$504,"Biogasanlæg")&gt;0,1,0)</f>
        <v>0</v>
      </c>
      <c r="E70" s="171">
        <f t="shared" si="14"/>
        <v>1</v>
      </c>
      <c r="F70" s="171">
        <f t="shared" si="13"/>
        <v>2030</v>
      </c>
      <c r="G70" s="94">
        <f>SUMIFS('Resultat-Produktion &amp; forbrug'!G$4:G$291,'Resultat-Produktion &amp; forbrug'!$A$4:$A$291,'Produktion &amp; forbrug'!$A70,'Resultat-Produktion &amp; forbrug'!$E$4:$E$291,'Produktion &amp; forbrug'!$F70)</f>
        <v>0</v>
      </c>
      <c r="H70" s="94">
        <f>SUMIFS('Resultat-Produktion &amp; forbrug'!H$4:H$291,'Resultat-Produktion &amp; forbrug'!$A$4:$A$291,'Produktion &amp; forbrug'!$A70,'Resultat-Produktion &amp; forbrug'!$E$4:$E$291,'Produktion &amp; forbrug'!$F70)</f>
        <v>3661484.3693090063</v>
      </c>
      <c r="I70" s="94">
        <f>SUMIFS('Resultat-Produktion &amp; forbrug'!I$4:I$291,'Resultat-Produktion &amp; forbrug'!$A$4:$A$291,'Produktion &amp; forbrug'!$A70,'Resultat-Produktion &amp; forbrug'!$E$4:$E$291,'Produktion &amp; forbrug'!$F70)</f>
        <v>0</v>
      </c>
      <c r="J70" s="94">
        <f>SUMIFS('Resultat-Produktion &amp; forbrug'!J$4:J$291,'Resultat-Produktion &amp; forbrug'!$A$4:$A$291,'Produktion &amp; forbrug'!$A70,'Resultat-Produktion &amp; forbrug'!$E$4:$E$291,'Produktion &amp; forbrug'!$F70)</f>
        <v>0</v>
      </c>
      <c r="K70" s="94">
        <f>SUMIFS('Resultat-Produktion &amp; forbrug'!K$4:K$291,'Resultat-Produktion &amp; forbrug'!$A$4:$A$291,'Produktion &amp; forbrug'!$A70,'Resultat-Produktion &amp; forbrug'!$E$4:$E$291,'Produktion &amp; forbrug'!$F70)</f>
        <v>0</v>
      </c>
      <c r="L70" s="94">
        <f>SUMIFS('Resultat-Produktion &amp; forbrug'!L$4:L$291,'Resultat-Produktion &amp; forbrug'!$A$4:$A$291,'Produktion &amp; forbrug'!$A70,'Resultat-Produktion &amp; forbrug'!$E$4:$E$291,'Produktion &amp; forbrug'!$F70)</f>
        <v>0</v>
      </c>
      <c r="M70" s="94">
        <f>SUMIFS('Resultat-Produktion &amp; forbrug'!M$4:M$291,'Resultat-Produktion &amp; forbrug'!$A$4:$A$291,'Produktion &amp; forbrug'!$A70,'Resultat-Produktion &amp; forbrug'!$E$4:$E$291,'Produktion &amp; forbrug'!$F70)</f>
        <v>0</v>
      </c>
      <c r="N70" s="94">
        <f>SUMIFS('Resultat-Produktion &amp; forbrug'!N$4:N$291,'Resultat-Produktion &amp; forbrug'!$A$4:$A$291,'Produktion &amp; forbrug'!$A70,'Resultat-Produktion &amp; forbrug'!$E$4:$E$291,'Produktion &amp; forbrug'!$F70)</f>
        <v>0</v>
      </c>
      <c r="O70" s="179">
        <f t="shared" si="17"/>
        <v>-3661484.3693090063</v>
      </c>
      <c r="P70" s="94">
        <f t="shared" si="18"/>
        <v>0</v>
      </c>
      <c r="Q70" s="180">
        <f t="shared" si="19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IF(A70&lt;&gt;"Biogas",IFERROR(VLOOKUP(A70,[1]Biogasudbytte!$A$2:$B$18,2,FALSE)*[1]Energiindhold!$C$10,0)*K70*IFERROR(VLOOKUP(A70,Biogasanlæg!$F$3:$G$8,2,FALSE),1)+IFERROR(VLOOKUP(A70,[1]Energiindhold!$A$2:$C$11,3,FALSE),0)*M70+IF(F70&lt;&gt;År1,R70,0),0)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20"/>
        <v>0</v>
      </c>
      <c r="V70" s="169">
        <f>P70*IFERROR(VLOOKUP(A70,[1]Tørstofindhold!A$2:B$24,2,FALSE),0)</f>
        <v>0</v>
      </c>
      <c r="W70">
        <f>IF(F70=År1,Q70,SUM(P70,Q70))*IFERROR(VLOOKUP(A70,[1]Tørstofindhold!A$2:B$24,2,FALSE),0)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21"/>
        <v>0</v>
      </c>
      <c r="Z70">
        <f t="shared" si="15"/>
        <v>1</v>
      </c>
      <c r="AA70">
        <f t="shared" si="16"/>
        <v>0</v>
      </c>
      <c r="AC70" s="94">
        <f t="shared" si="22"/>
        <v>-3661484.3693090063</v>
      </c>
      <c r="AD70">
        <f>AC70*E70*10000*VLOOKUP(A70,[1]kcal!$A$2:$C$49,3,FALSE)/1000000000000</f>
        <v>-2.0870460905061337</v>
      </c>
    </row>
    <row r="71" spans="1:30" x14ac:dyDescent="0.25">
      <c r="A71" s="171" t="str">
        <f t="shared" si="11"/>
        <v>Industriaffald</v>
      </c>
      <c r="B71" s="171" t="str">
        <f t="shared" si="12"/>
        <v>Bionedbrydeligt affald</v>
      </c>
      <c r="C71" s="171" t="str">
        <f>IFERROR(VLOOKUP(A71,'Kategorisering af kcal'!$J$2:$K$18,2,FALSE),"")</f>
        <v/>
      </c>
      <c r="D71" s="171">
        <f>IF(COUNTIFS('Resultater - Danmark'!$D$3:$D$504,'Produktion &amp; forbrug'!A71,'Resultater - Danmark'!$A$3:$A$504,"Til energi")+COUNTIFS('Resultater - Danmark'!$D$3:$D$504,'Produktion &amp; forbrug'!A71,'Resultater - Danmark'!$A$3:$A$504,"Biogasanlæg")&gt;0,1,0)</f>
        <v>1</v>
      </c>
      <c r="E71" s="171">
        <f t="shared" si="14"/>
        <v>0</v>
      </c>
      <c r="F71" s="171">
        <f t="shared" si="13"/>
        <v>2030</v>
      </c>
      <c r="G71" s="94">
        <f>SUMIFS('Resultat-Produktion &amp; forbrug'!G$4:G$291,'Resultat-Produktion &amp; forbrug'!$A$4:$A$291,'Produktion &amp; forbrug'!$A71,'Resultat-Produktion &amp; forbrug'!$E$4:$E$291,'Produktion &amp; forbrug'!$F71)</f>
        <v>591642.55905312812</v>
      </c>
      <c r="H71" s="94">
        <f>SUMIFS('Resultat-Produktion &amp; forbrug'!H$4:H$291,'Resultat-Produktion &amp; forbrug'!$A$4:$A$291,'Produktion &amp; forbrug'!$A71,'Resultat-Produktion &amp; forbrug'!$E$4:$E$291,'Produktion &amp; forbrug'!$F71)</f>
        <v>0</v>
      </c>
      <c r="I71" s="94">
        <f>SUMIFS('Resultat-Produktion &amp; forbrug'!I$4:I$291,'Resultat-Produktion &amp; forbrug'!$A$4:$A$291,'Produktion &amp; forbrug'!$A71,'Resultat-Produktion &amp; forbrug'!$E$4:$E$291,'Produktion &amp; forbrug'!$F71)</f>
        <v>0</v>
      </c>
      <c r="J71" s="94">
        <f>SUMIFS('Resultat-Produktion &amp; forbrug'!J$4:J$291,'Resultat-Produktion &amp; forbrug'!$A$4:$A$291,'Produktion &amp; forbrug'!$A71,'Resultat-Produktion &amp; forbrug'!$E$4:$E$291,'Produktion &amp; forbrug'!$F71)</f>
        <v>0</v>
      </c>
      <c r="K71" s="94">
        <f>SUMIFS('Resultat-Produktion &amp; forbrug'!K$4:K$291,'Resultat-Produktion &amp; forbrug'!$A$4:$A$291,'Produktion &amp; forbrug'!$A71,'Resultat-Produktion &amp; forbrug'!$E$4:$E$291,'Produktion &amp; forbrug'!$F71)</f>
        <v>0</v>
      </c>
      <c r="L71" s="94">
        <f>SUMIFS('Resultat-Produktion &amp; forbrug'!L$4:L$291,'Resultat-Produktion &amp; forbrug'!$A$4:$A$291,'Produktion &amp; forbrug'!$A71,'Resultat-Produktion &amp; forbrug'!$E$4:$E$291,'Produktion &amp; forbrug'!$F71)</f>
        <v>0</v>
      </c>
      <c r="M71" s="94">
        <f>SUMIFS('Resultat-Produktion &amp; forbrug'!M$4:M$291,'Resultat-Produktion &amp; forbrug'!$A$4:$A$291,'Produktion &amp; forbrug'!$A71,'Resultat-Produktion &amp; forbrug'!$E$4:$E$291,'Produktion &amp; forbrug'!$F71)</f>
        <v>0</v>
      </c>
      <c r="N71" s="94">
        <f>SUMIFS('Resultat-Produktion &amp; forbrug'!N$4:N$291,'Resultat-Produktion &amp; forbrug'!$A$4:$A$291,'Produktion &amp; forbrug'!$A71,'Resultat-Produktion &amp; forbrug'!$E$4:$E$291,'Produktion &amp; forbrug'!$F71)</f>
        <v>0</v>
      </c>
      <c r="O71" s="179">
        <f t="shared" si="17"/>
        <v>591642.55905312812</v>
      </c>
      <c r="P71" s="94">
        <f t="shared" si="18"/>
        <v>591642.55905312812</v>
      </c>
      <c r="Q71" s="180">
        <f t="shared" si="19"/>
        <v>0</v>
      </c>
      <c r="R71">
        <f>IFERROR(VLOOKUP(A71,[1]Energiindhold!$A$2:$C$11,3,FALSE),IFERROR(VLOOKUP(A71,[1]Biogasudbytte!$A$2:$B$18,2,FALSE)*[1]Energiindhold!$C$10,0))*P71</f>
        <v>2.5636641219098815</v>
      </c>
      <c r="S71">
        <f>IF(A71&lt;&gt;"Biogas",IFERROR(VLOOKUP(A71,[1]Biogasudbytte!$A$2:$B$18,2,FALSE)*[1]Energiindhold!$C$10,0)*K71*IFERROR(VLOOKUP(A71,Biogasanlæg!$F$3:$G$8,2,FALSE),1)+IFERROR(VLOOKUP(A71,[1]Energiindhold!$A$2:$C$11,3,FALSE),0)*M71+IF(F71&lt;&gt;År1,R71,0),0)</f>
        <v>2.5636641219098815</v>
      </c>
      <c r="T71">
        <f>IFERROR(VLOOKUP(A71,[1]Biogasudbytte!$A$2:$B$18,2,FALSE)*[1]Energiindhold!$C$10,0)*K71*IFERROR(VLOOKUP(A71,Biogasanlæg!$F$3:$G$8,2,FALSE),1)</f>
        <v>0</v>
      </c>
      <c r="U71" s="170">
        <f t="shared" si="20"/>
        <v>2.5636641219098815</v>
      </c>
      <c r="V71" s="169">
        <f>P71*IFERROR(VLOOKUP(A71,[1]Tørstofindhold!A$2:B$24,2,FALSE),0)</f>
        <v>248489.8748023138</v>
      </c>
      <c r="W71">
        <f>IF(F71=År1,Q71,SUM(P71,Q71))*IFERROR(VLOOKUP(A71,[1]Tørstofindhold!A$2:B$24,2,FALSE),0)</f>
        <v>248489.8748023138</v>
      </c>
      <c r="X71">
        <f>K71*IFERROR(VLOOKUP(A71,[1]Tørstofindhold!A$2:B$24,2,FALSE),0)</f>
        <v>0</v>
      </c>
      <c r="Y71" s="170">
        <f t="shared" si="21"/>
        <v>248489.8748023138</v>
      </c>
      <c r="Z71">
        <f t="shared" si="15"/>
        <v>0</v>
      </c>
      <c r="AA71">
        <f t="shared" si="16"/>
        <v>1</v>
      </c>
      <c r="AC71" s="94">
        <f t="shared" si="22"/>
        <v>591642.55905312812</v>
      </c>
      <c r="AD71">
        <f>AC71*E71*10000*VLOOKUP(A71,[1]kcal!$A$2:$C$49,3,FALSE)/1000000000000</f>
        <v>0</v>
      </c>
    </row>
    <row r="72" spans="1:30" x14ac:dyDescent="0.25">
      <c r="A72" s="171" t="str">
        <f t="shared" si="11"/>
        <v>Juletræer</v>
      </c>
      <c r="B72" s="171" t="str">
        <f t="shared" si="12"/>
        <v/>
      </c>
      <c r="C72" s="171" t="str">
        <f>IFERROR(VLOOKUP(A72,'Kategorisering af kcal'!$J$2:$K$18,2,FALSE),"")</f>
        <v/>
      </c>
      <c r="D72" s="171">
        <f>IF(COUNTIFS('Resultater - Danmark'!$D$3:$D$504,'Produktion &amp; forbrug'!A72,'Resultater - Danmark'!$A$3:$A$504,"Til energi")+COUNTIFS('Resultater - Danmark'!$D$3:$D$504,'Produktion &amp; forbrug'!A72,'Resultater - Danmark'!$A$3:$A$504,"Biogasanlæg")&gt;0,1,0)</f>
        <v>0</v>
      </c>
      <c r="E72" s="171">
        <f t="shared" si="14"/>
        <v>0</v>
      </c>
      <c r="F72" s="171">
        <f t="shared" si="13"/>
        <v>2030</v>
      </c>
      <c r="G72" s="94">
        <f>SUMIFS('Resultat-Produktion &amp; forbrug'!G$4:G$291,'Resultat-Produktion &amp; forbrug'!$A$4:$A$291,'Produktion &amp; forbrug'!$A72,'Resultat-Produktion &amp; forbrug'!$E$4:$E$291,'Produktion &amp; forbrug'!$F72)</f>
        <v>871023.20428516739</v>
      </c>
      <c r="H72" s="94">
        <f>SUMIFS('Resultat-Produktion &amp; forbrug'!H$4:H$291,'Resultat-Produktion &amp; forbrug'!$A$4:$A$291,'Produktion &amp; forbrug'!$A72,'Resultat-Produktion &amp; forbrug'!$E$4:$E$291,'Produktion &amp; forbrug'!$F72)</f>
        <v>0</v>
      </c>
      <c r="I72" s="94">
        <f>SUMIFS('Resultat-Produktion &amp; forbrug'!I$4:I$291,'Resultat-Produktion &amp; forbrug'!$A$4:$A$291,'Produktion &amp; forbrug'!$A72,'Resultat-Produktion &amp; forbrug'!$E$4:$E$291,'Produktion &amp; forbrug'!$F72)</f>
        <v>0</v>
      </c>
      <c r="J72" s="94">
        <f>SUMIFS('Resultat-Produktion &amp; forbrug'!J$4:J$291,'Resultat-Produktion &amp; forbrug'!$A$4:$A$291,'Produktion &amp; forbrug'!$A72,'Resultat-Produktion &amp; forbrug'!$E$4:$E$291,'Produktion &amp; forbrug'!$F72)</f>
        <v>0</v>
      </c>
      <c r="K72" s="94">
        <f>SUMIFS('Resultat-Produktion &amp; forbrug'!K$4:K$291,'Resultat-Produktion &amp; forbrug'!$A$4:$A$291,'Produktion &amp; forbrug'!$A72,'Resultat-Produktion &amp; forbrug'!$E$4:$E$291,'Produktion &amp; forbrug'!$F72)</f>
        <v>0</v>
      </c>
      <c r="L72" s="94">
        <f>SUMIFS('Resultat-Produktion &amp; forbrug'!L$4:L$291,'Resultat-Produktion &amp; forbrug'!$A$4:$A$291,'Produktion &amp; forbrug'!$A72,'Resultat-Produktion &amp; forbrug'!$E$4:$E$291,'Produktion &amp; forbrug'!$F72)</f>
        <v>0</v>
      </c>
      <c r="M72" s="94">
        <f>SUMIFS('Resultat-Produktion &amp; forbrug'!M$4:M$291,'Resultat-Produktion &amp; forbrug'!$A$4:$A$291,'Produktion &amp; forbrug'!$A72,'Resultat-Produktion &amp; forbrug'!$E$4:$E$291,'Produktion &amp; forbrug'!$F72)</f>
        <v>0</v>
      </c>
      <c r="N72" s="94">
        <f>SUMIFS('Resultat-Produktion &amp; forbrug'!N$4:N$291,'Resultat-Produktion &amp; forbrug'!$A$4:$A$291,'Produktion &amp; forbrug'!$A72,'Resultat-Produktion &amp; forbrug'!$E$4:$E$291,'Produktion &amp; forbrug'!$F72)</f>
        <v>0</v>
      </c>
      <c r="O72" s="179">
        <f t="shared" si="17"/>
        <v>871023.20428516739</v>
      </c>
      <c r="P72" s="94">
        <f t="shared" si="18"/>
        <v>0</v>
      </c>
      <c r="Q72" s="180">
        <f t="shared" si="19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IF(A72&lt;&gt;"Biogas",IFERROR(VLOOKUP(A72,[1]Biogasudbytte!$A$2:$B$18,2,FALSE)*[1]Energiindhold!$C$10,0)*K72*IFERROR(VLOOKUP(A72,Biogasanlæg!$F$3:$G$8,2,FALSE),1)+IFERROR(VLOOKUP(A72,[1]Energiindhold!$A$2:$C$11,3,FALSE),0)*M72+IF(F72&lt;&gt;År1,R72,0),0)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20"/>
        <v>0</v>
      </c>
      <c r="V72" s="169">
        <f>P72*IFERROR(VLOOKUP(A72,[1]Tørstofindhold!A$2:B$24,2,FALSE),0)</f>
        <v>0</v>
      </c>
      <c r="W72">
        <f>IF(F72=År1,Q72,SUM(P72,Q72))*IFERROR(VLOOKUP(A72,[1]Tørstofindhold!A$2:B$24,2,FALSE),0)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21"/>
        <v>0</v>
      </c>
      <c r="Z72">
        <f t="shared" si="15"/>
        <v>0</v>
      </c>
      <c r="AA72">
        <f t="shared" si="16"/>
        <v>1</v>
      </c>
      <c r="AC72" s="94">
        <f t="shared" si="22"/>
        <v>871023.20428516739</v>
      </c>
      <c r="AD72">
        <f>AC72*E72*10000*VLOOKUP(A72,[1]kcal!$A$2:$C$49,3,FALSE)/1000000000000</f>
        <v>0</v>
      </c>
    </row>
    <row r="73" spans="1:30" x14ac:dyDescent="0.25">
      <c r="A73" s="171" t="str">
        <f t="shared" si="11"/>
        <v>Kartofler</v>
      </c>
      <c r="B73" s="171" t="str">
        <f t="shared" si="12"/>
        <v/>
      </c>
      <c r="C73" s="171" t="str">
        <f>IFERROR(VLOOKUP(A73,'Kategorisering af kcal'!$J$2:$K$18,2,FALSE),"")</f>
        <v>Kartofler</v>
      </c>
      <c r="D73" s="171">
        <f>IF(COUNTIFS('Resultater - Danmark'!$D$3:$D$504,'Produktion &amp; forbrug'!A73,'Resultater - Danmark'!$A$3:$A$504,"Til energi")+COUNTIFS('Resultater - Danmark'!$D$3:$D$504,'Produktion &amp; forbrug'!A73,'Resultater - Danmark'!$A$3:$A$504,"Biogasanlæg")&gt;0,1,0)</f>
        <v>0</v>
      </c>
      <c r="E73" s="171">
        <f t="shared" si="14"/>
        <v>1</v>
      </c>
      <c r="F73" s="171">
        <f t="shared" si="13"/>
        <v>2030</v>
      </c>
      <c r="G73" s="94">
        <f>SUMIFS('Resultat-Produktion &amp; forbrug'!G$4:G$291,'Resultat-Produktion &amp; forbrug'!$A$4:$A$291,'Produktion &amp; forbrug'!$A73,'Resultat-Produktion &amp; forbrug'!$E$4:$E$291,'Produktion &amp; forbrug'!$F73)</f>
        <v>2164476.0607157536</v>
      </c>
      <c r="H73" s="94">
        <f>SUMIFS('Resultat-Produktion &amp; forbrug'!H$4:H$291,'Resultat-Produktion &amp; forbrug'!$A$4:$A$291,'Produktion &amp; forbrug'!$A73,'Resultat-Produktion &amp; forbrug'!$E$4:$E$291,'Produktion &amp; forbrug'!$F73)</f>
        <v>0</v>
      </c>
      <c r="I73" s="94">
        <f>SUMIFS('Resultat-Produktion &amp; forbrug'!I$4:I$291,'Resultat-Produktion &amp; forbrug'!$A$4:$A$291,'Produktion &amp; forbrug'!$A73,'Resultat-Produktion &amp; forbrug'!$E$4:$E$291,'Produktion &amp; forbrug'!$F73)</f>
        <v>0</v>
      </c>
      <c r="J73" s="94">
        <f>SUMIFS('Resultat-Produktion &amp; forbrug'!J$4:J$291,'Resultat-Produktion &amp; forbrug'!$A$4:$A$291,'Produktion &amp; forbrug'!$A73,'Resultat-Produktion &amp; forbrug'!$E$4:$E$291,'Produktion &amp; forbrug'!$F73)</f>
        <v>230492.09773600774</v>
      </c>
      <c r="K73" s="94">
        <f>SUMIFS('Resultat-Produktion &amp; forbrug'!K$4:K$291,'Resultat-Produktion &amp; forbrug'!$A$4:$A$291,'Produktion &amp; forbrug'!$A73,'Resultat-Produktion &amp; forbrug'!$E$4:$E$291,'Produktion &amp; forbrug'!$F73)</f>
        <v>0</v>
      </c>
      <c r="L73" s="94">
        <f>SUMIFS('Resultat-Produktion &amp; forbrug'!L$4:L$291,'Resultat-Produktion &amp; forbrug'!$A$4:$A$291,'Produktion &amp; forbrug'!$A73,'Resultat-Produktion &amp; forbrug'!$E$4:$E$291,'Produktion &amp; forbrug'!$F73)</f>
        <v>0</v>
      </c>
      <c r="M73" s="94">
        <f>SUMIFS('Resultat-Produktion &amp; forbrug'!M$4:M$291,'Resultat-Produktion &amp; forbrug'!$A$4:$A$291,'Produktion &amp; forbrug'!$A73,'Resultat-Produktion &amp; forbrug'!$E$4:$E$291,'Produktion &amp; forbrug'!$F73)</f>
        <v>0</v>
      </c>
      <c r="N73" s="94">
        <f>SUMIFS('Resultat-Produktion &amp; forbrug'!N$4:N$291,'Resultat-Produktion &amp; forbrug'!$A$4:$A$291,'Produktion &amp; forbrug'!$A73,'Resultat-Produktion &amp; forbrug'!$E$4:$E$291,'Produktion &amp; forbrug'!$F73)</f>
        <v>0</v>
      </c>
      <c r="O73" s="179">
        <f t="shared" si="17"/>
        <v>1933983.9629797458</v>
      </c>
      <c r="P73" s="94">
        <f t="shared" si="18"/>
        <v>0</v>
      </c>
      <c r="Q73" s="180">
        <f t="shared" si="19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IF(A73&lt;&gt;"Biogas",IFERROR(VLOOKUP(A73,[1]Biogasudbytte!$A$2:$B$18,2,FALSE)*[1]Energiindhold!$C$10,0)*K73*IFERROR(VLOOKUP(A73,Biogasanlæg!$F$3:$G$8,2,FALSE),1)+IFERROR(VLOOKUP(A73,[1]Energiindhold!$A$2:$C$11,3,FALSE),0)*M73+IF(F73&lt;&gt;År1,R73,0),0)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20"/>
        <v>0</v>
      </c>
      <c r="V73" s="169">
        <f>P73*IFERROR(VLOOKUP(A73,[1]Tørstofindhold!A$2:B$24,2,FALSE),0)</f>
        <v>0</v>
      </c>
      <c r="W73">
        <f>IF(F73=År1,Q73,SUM(P73,Q73))*IFERROR(VLOOKUP(A73,[1]Tørstofindhold!A$2:B$24,2,FALSE),0)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21"/>
        <v>0</v>
      </c>
      <c r="Z73">
        <f t="shared" si="15"/>
        <v>0</v>
      </c>
      <c r="AA73">
        <f t="shared" si="16"/>
        <v>1</v>
      </c>
      <c r="AC73" s="94">
        <f t="shared" si="22"/>
        <v>2164476.0607157536</v>
      </c>
      <c r="AD73">
        <f>AC73*E73*10000*VLOOKUP(A73,[1]kcal!$A$2:$C$49,3,FALSE)/1000000000000</f>
        <v>1.6882913273582878</v>
      </c>
    </row>
    <row r="74" spans="1:30" x14ac:dyDescent="0.25">
      <c r="A74" s="171" t="str">
        <f t="shared" si="11"/>
        <v>Korn</v>
      </c>
      <c r="B74" s="171" t="str">
        <f t="shared" si="12"/>
        <v>Halm og strå</v>
      </c>
      <c r="C74" s="171" t="str">
        <f>IFERROR(VLOOKUP(A74,'Kategorisering af kcal'!$J$2:$K$18,2,FALSE),"")</f>
        <v>Korn</v>
      </c>
      <c r="D74" s="171">
        <f>IF(COUNTIFS('Resultater - Danmark'!$D$3:$D$504,'Produktion &amp; forbrug'!A74,'Resultater - Danmark'!$A$3:$A$504,"Til energi")+COUNTIFS('Resultater - Danmark'!$D$3:$D$504,'Produktion &amp; forbrug'!A74,'Resultater - Danmark'!$A$3:$A$504,"Biogasanlæg")&gt;0,1,0)</f>
        <v>1</v>
      </c>
      <c r="E74" s="171">
        <f t="shared" si="14"/>
        <v>1</v>
      </c>
      <c r="F74" s="171">
        <f t="shared" si="13"/>
        <v>2030</v>
      </c>
      <c r="G74" s="94">
        <f>SUMIFS('Resultat-Produktion &amp; forbrug'!G$4:G$291,'Resultat-Produktion &amp; forbrug'!$A$4:$A$291,'Produktion &amp; forbrug'!$A74,'Resultat-Produktion &amp; forbrug'!$E$4:$E$291,'Produktion &amp; forbrug'!$F74)</f>
        <v>6708769.5645664344</v>
      </c>
      <c r="H74" s="94">
        <f>SUMIFS('Resultat-Produktion &amp; forbrug'!H$4:H$291,'Resultat-Produktion &amp; forbrug'!$A$4:$A$291,'Produktion &amp; forbrug'!$A74,'Resultat-Produktion &amp; forbrug'!$E$4:$E$291,'Produktion &amp; forbrug'!$F74)</f>
        <v>4458315.7543181824</v>
      </c>
      <c r="I74" s="94">
        <f>SUMIFS('Resultat-Produktion &amp; forbrug'!I$4:I$291,'Resultat-Produktion &amp; forbrug'!$A$4:$A$291,'Produktion &amp; forbrug'!$A74,'Resultat-Produktion &amp; forbrug'!$E$4:$E$291,'Produktion &amp; forbrug'!$F74)</f>
        <v>0</v>
      </c>
      <c r="J74" s="94">
        <f>SUMIFS('Resultat-Produktion &amp; forbrug'!J$4:J$291,'Resultat-Produktion &amp; forbrug'!$A$4:$A$291,'Produktion &amp; forbrug'!$A74,'Resultat-Produktion &amp; forbrug'!$E$4:$E$291,'Produktion &amp; forbrug'!$F74)</f>
        <v>552167.88248845807</v>
      </c>
      <c r="K74" s="94">
        <f>SUMIFS('Resultat-Produktion &amp; forbrug'!K$4:K$291,'Resultat-Produktion &amp; forbrug'!$A$4:$A$291,'Produktion &amp; forbrug'!$A74,'Resultat-Produktion &amp; forbrug'!$E$4:$E$291,'Produktion &amp; forbrug'!$F74)</f>
        <v>0</v>
      </c>
      <c r="L74" s="94">
        <f>SUMIFS('Resultat-Produktion &amp; forbrug'!L$4:L$291,'Resultat-Produktion &amp; forbrug'!$A$4:$A$291,'Produktion &amp; forbrug'!$A74,'Resultat-Produktion &amp; forbrug'!$E$4:$E$291,'Produktion &amp; forbrug'!$F74)</f>
        <v>0</v>
      </c>
      <c r="M74" s="94">
        <f>SUMIFS('Resultat-Produktion &amp; forbrug'!M$4:M$291,'Resultat-Produktion &amp; forbrug'!$A$4:$A$291,'Produktion &amp; forbrug'!$A74,'Resultat-Produktion &amp; forbrug'!$E$4:$E$291,'Produktion &amp; forbrug'!$F74)</f>
        <v>0</v>
      </c>
      <c r="N74" s="94">
        <f>SUMIFS('Resultat-Produktion &amp; forbrug'!N$4:N$291,'Resultat-Produktion &amp; forbrug'!$A$4:$A$291,'Produktion &amp; forbrug'!$A74,'Resultat-Produktion &amp; forbrug'!$E$4:$E$291,'Produktion &amp; forbrug'!$F74)</f>
        <v>0</v>
      </c>
      <c r="O74" s="179">
        <f t="shared" si="17"/>
        <v>1698285.9277597936</v>
      </c>
      <c r="P74" s="94">
        <f t="shared" si="18"/>
        <v>1698285.9277597936</v>
      </c>
      <c r="Q74" s="180">
        <f t="shared" si="19"/>
        <v>0</v>
      </c>
      <c r="R74">
        <f>IFERROR(VLOOKUP(A74,[1]Energiindhold!$A$2:$C$11,3,FALSE),IFERROR(VLOOKUP(A74,[1]Biogasudbytte!$A$2:$B$18,2,FALSE)*[1]Energiindhold!$C$10,0))*P74</f>
        <v>5.8163915425474073</v>
      </c>
      <c r="S74">
        <f>IF(A74&lt;&gt;"Biogas",IFERROR(VLOOKUP(A74,[1]Biogasudbytte!$A$2:$B$18,2,FALSE)*[1]Energiindhold!$C$10,0)*K74*IFERROR(VLOOKUP(A74,Biogasanlæg!$F$3:$G$8,2,FALSE),1)+IFERROR(VLOOKUP(A74,[1]Energiindhold!$A$2:$C$11,3,FALSE),0)*M74+IF(F74&lt;&gt;År1,R74,0),0)</f>
        <v>5.8163915425474073</v>
      </c>
      <c r="T74">
        <f>IFERROR(VLOOKUP(A74,[1]Biogasudbytte!$A$2:$B$18,2,FALSE)*[1]Energiindhold!$C$10,0)*K74*IFERROR(VLOOKUP(A74,Biogasanlæg!$F$3:$G$8,2,FALSE),1)</f>
        <v>0</v>
      </c>
      <c r="U74" s="170">
        <f t="shared" si="20"/>
        <v>5.8163915425474073</v>
      </c>
      <c r="V74" s="169">
        <f>P74*IFERROR(VLOOKUP(A74,[1]Tørstofindhold!A$2:B$24,2,FALSE),0)</f>
        <v>526468.63760553603</v>
      </c>
      <c r="W74">
        <f>IF(F74=År1,Q74,SUM(P74,Q74))*IFERROR(VLOOKUP(A74,[1]Tørstofindhold!A$2:B$24,2,FALSE),0)</f>
        <v>526468.63760553603</v>
      </c>
      <c r="X74">
        <f>K74*IFERROR(VLOOKUP(A74,[1]Tørstofindhold!A$2:B$24,2,FALSE),0)</f>
        <v>0</v>
      </c>
      <c r="Y74" s="170">
        <f t="shared" si="21"/>
        <v>526468.63760553603</v>
      </c>
      <c r="Z74">
        <f t="shared" si="15"/>
        <v>0</v>
      </c>
      <c r="AA74">
        <f t="shared" si="16"/>
        <v>1</v>
      </c>
      <c r="AC74" s="94">
        <f t="shared" si="22"/>
        <v>2250453.810248252</v>
      </c>
      <c r="AD74">
        <f>AC74*E74*10000*VLOOKUP(A74,[1]kcal!$A$2:$C$49,3,FALSE)/1000000000000</f>
        <v>8.2366609455086017</v>
      </c>
    </row>
    <row r="75" spans="1:30" x14ac:dyDescent="0.25">
      <c r="A75" s="171" t="str">
        <f t="shared" si="11"/>
        <v>Kunstgødning</v>
      </c>
      <c r="B75" s="171" t="str">
        <f t="shared" si="12"/>
        <v/>
      </c>
      <c r="C75" s="171" t="str">
        <f>IFERROR(VLOOKUP(A75,'Kategorisering af kcal'!$J$2:$K$18,2,FALSE),"")</f>
        <v/>
      </c>
      <c r="D75" s="171">
        <f>IF(COUNTIFS('Resultater - Danmark'!$D$3:$D$504,'Produktion &amp; forbrug'!A75,'Resultater - Danmark'!$A$3:$A$504,"Til energi")+COUNTIFS('Resultater - Danmark'!$D$3:$D$504,'Produktion &amp; forbrug'!A75,'Resultater - Danmark'!$A$3:$A$504,"Biogasanlæg")&gt;0,1,0)</f>
        <v>0</v>
      </c>
      <c r="E75" s="171">
        <f t="shared" si="14"/>
        <v>0</v>
      </c>
      <c r="F75" s="171">
        <f t="shared" si="13"/>
        <v>2030</v>
      </c>
      <c r="G75" s="94">
        <f>SUMIFS('Resultat-Produktion &amp; forbrug'!G$4:G$291,'Resultat-Produktion &amp; forbrug'!$A$4:$A$291,'Produktion &amp; forbrug'!$A75,'Resultat-Produktion &amp; forbrug'!$E$4:$E$291,'Produktion &amp; forbrug'!$F75)</f>
        <v>0</v>
      </c>
      <c r="H75" s="94">
        <f>SUMIFS('Resultat-Produktion &amp; forbrug'!H$4:H$291,'Resultat-Produktion &amp; forbrug'!$A$4:$A$291,'Produktion &amp; forbrug'!$A75,'Resultat-Produktion &amp; forbrug'!$E$4:$E$291,'Produktion &amp; forbrug'!$F75)</f>
        <v>0</v>
      </c>
      <c r="I75" s="94">
        <f>SUMIFS('Resultat-Produktion &amp; forbrug'!I$4:I$291,'Resultat-Produktion &amp; forbrug'!$A$4:$A$291,'Produktion &amp; forbrug'!$A75,'Resultat-Produktion &amp; forbrug'!$E$4:$E$291,'Produktion &amp; forbrug'!$F75)</f>
        <v>0</v>
      </c>
      <c r="J75" s="94">
        <f>SUMIFS('Resultat-Produktion &amp; forbrug'!J$4:J$291,'Resultat-Produktion &amp; forbrug'!$A$4:$A$291,'Produktion &amp; forbrug'!$A75,'Resultat-Produktion &amp; forbrug'!$E$4:$E$291,'Produktion &amp; forbrug'!$F75)</f>
        <v>0</v>
      </c>
      <c r="K75" s="94">
        <f>SUMIFS('Resultat-Produktion &amp; forbrug'!K$4:K$291,'Resultat-Produktion &amp; forbrug'!$A$4:$A$291,'Produktion &amp; forbrug'!$A75,'Resultat-Produktion &amp; forbrug'!$E$4:$E$291,'Produktion &amp; forbrug'!$F75)</f>
        <v>0</v>
      </c>
      <c r="L75" s="94">
        <f ca="1">SUMIFS('Resultat-Produktion &amp; forbrug'!L$4:L$291,'Resultat-Produktion &amp; forbrug'!$A$4:$A$291,'Produktion &amp; forbrug'!$A75,'Resultat-Produktion &amp; forbrug'!$E$4:$E$291,'Produktion &amp; forbrug'!$F75)</f>
        <v>1985633.2267312168</v>
      </c>
      <c r="M75" s="94">
        <f>SUMIFS('Resultat-Produktion &amp; forbrug'!M$4:M$291,'Resultat-Produktion &amp; forbrug'!$A$4:$A$291,'Produktion &amp; forbrug'!$A75,'Resultat-Produktion &amp; forbrug'!$E$4:$E$291,'Produktion &amp; forbrug'!$F75)</f>
        <v>0</v>
      </c>
      <c r="N75" s="94">
        <f>SUMIFS('Resultat-Produktion &amp; forbrug'!N$4:N$291,'Resultat-Produktion &amp; forbrug'!$A$4:$A$291,'Produktion &amp; forbrug'!$A75,'Resultat-Produktion &amp; forbrug'!$E$4:$E$291,'Produktion &amp; forbrug'!$F75)</f>
        <v>0</v>
      </c>
      <c r="O75" s="179">
        <f t="shared" ca="1" si="17"/>
        <v>-1985633.2267312168</v>
      </c>
      <c r="P75" s="94">
        <f t="shared" si="18"/>
        <v>0</v>
      </c>
      <c r="Q75" s="180">
        <f t="shared" si="19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IF(A75&lt;&gt;"Biogas",IFERROR(VLOOKUP(A75,[1]Biogasudbytte!$A$2:$B$18,2,FALSE)*[1]Energiindhold!$C$10,0)*K75*IFERROR(VLOOKUP(A75,Biogasanlæg!$F$3:$G$8,2,FALSE),1)+IFERROR(VLOOKUP(A75,[1]Energiindhold!$A$2:$C$11,3,FALSE),0)*M75+IF(F75&lt;&gt;År1,R75,0),0)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20"/>
        <v>0</v>
      </c>
      <c r="V75" s="169">
        <f>P75*IFERROR(VLOOKUP(A75,[1]Tørstofindhold!A$2:B$24,2,FALSE),0)</f>
        <v>0</v>
      </c>
      <c r="W75">
        <f>IF(F75=År1,Q75,SUM(P75,Q75))*IFERROR(VLOOKUP(A75,[1]Tørstofindhold!A$2:B$24,2,FALSE),0)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21"/>
        <v>0</v>
      </c>
      <c r="Z75">
        <f t="shared" ca="1" si="15"/>
        <v>1</v>
      </c>
      <c r="AA75">
        <f t="shared" ca="1" si="16"/>
        <v>0</v>
      </c>
      <c r="AC75" s="94">
        <f t="shared" ca="1" si="22"/>
        <v>-1985633.2267312168</v>
      </c>
      <c r="AD75">
        <f ca="1">AC75*E75*10000*VLOOKUP(A75,[1]kcal!$A$2:$C$49,3,FALSE)/1000000000000</f>
        <v>0</v>
      </c>
    </row>
    <row r="76" spans="1:30" x14ac:dyDescent="0.25">
      <c r="A76" s="171" t="str">
        <f t="shared" si="11"/>
        <v>Kvæggylle</v>
      </c>
      <c r="B76" s="171" t="str">
        <f t="shared" si="12"/>
        <v>Husdyrgødning</v>
      </c>
      <c r="C76" s="171" t="str">
        <f>IFERROR(VLOOKUP(A76,'Kategorisering af kcal'!$J$2:$K$18,2,FALSE),"")</f>
        <v/>
      </c>
      <c r="D76" s="171">
        <f>IF(COUNTIFS('Resultater - Danmark'!$D$3:$D$504,'Produktion &amp; forbrug'!A76,'Resultater - Danmark'!$A$3:$A$504,"Til energi")+COUNTIFS('Resultater - Danmark'!$D$3:$D$504,'Produktion &amp; forbrug'!A76,'Resultater - Danmark'!$A$3:$A$504,"Biogasanlæg")&gt;0,1,0)</f>
        <v>1</v>
      </c>
      <c r="E76" s="171">
        <f t="shared" si="14"/>
        <v>0</v>
      </c>
      <c r="F76" s="171">
        <f t="shared" si="13"/>
        <v>2030</v>
      </c>
      <c r="G76" s="94">
        <f>SUMIFS('Resultat-Produktion &amp; forbrug'!G$4:G$291,'Resultat-Produktion &amp; forbrug'!$A$4:$A$291,'Produktion &amp; forbrug'!$A76,'Resultat-Produktion &amp; forbrug'!$E$4:$E$291,'Produktion &amp; forbrug'!$F76)</f>
        <v>8199979.8979257876</v>
      </c>
      <c r="H76" s="94">
        <f>SUMIFS('Resultat-Produktion &amp; forbrug'!H$4:H$291,'Resultat-Produktion &amp; forbrug'!$A$4:$A$291,'Produktion &amp; forbrug'!$A76,'Resultat-Produktion &amp; forbrug'!$E$4:$E$291,'Produktion &amp; forbrug'!$F76)</f>
        <v>0</v>
      </c>
      <c r="I76" s="94">
        <f>SUMIFS('Resultat-Produktion &amp; forbrug'!I$4:I$291,'Resultat-Produktion &amp; forbrug'!$A$4:$A$291,'Produktion &amp; forbrug'!$A76,'Resultat-Produktion &amp; forbrug'!$E$4:$E$291,'Produktion &amp; forbrug'!$F76)</f>
        <v>0</v>
      </c>
      <c r="J76" s="94">
        <f>SUMIFS('Resultat-Produktion &amp; forbrug'!J$4:J$291,'Resultat-Produktion &amp; forbrug'!$A$4:$A$291,'Produktion &amp; forbrug'!$A76,'Resultat-Produktion &amp; forbrug'!$E$4:$E$291,'Produktion &amp; forbrug'!$F76)</f>
        <v>0</v>
      </c>
      <c r="K76" s="94">
        <f>SUMIFS('Resultat-Produktion &amp; forbrug'!K$4:K$291,'Resultat-Produktion &amp; forbrug'!$A$4:$A$291,'Produktion &amp; forbrug'!$A76,'Resultat-Produktion &amp; forbrug'!$E$4:$E$291,'Produktion &amp; forbrug'!$F76)</f>
        <v>6149984.92344434</v>
      </c>
      <c r="L76" s="94">
        <f>SUMIFS('Resultat-Produktion &amp; forbrug'!L$4:L$291,'Resultat-Produktion &amp; forbrug'!$A$4:$A$291,'Produktion &amp; forbrug'!$A76,'Resultat-Produktion &amp; forbrug'!$E$4:$E$291,'Produktion &amp; forbrug'!$F76)</f>
        <v>2049994.9744814469</v>
      </c>
      <c r="M76" s="94">
        <f>SUMIFS('Resultat-Produktion &amp; forbrug'!M$4:M$291,'Resultat-Produktion &amp; forbrug'!$A$4:$A$291,'Produktion &amp; forbrug'!$A76,'Resultat-Produktion &amp; forbrug'!$E$4:$E$291,'Produktion &amp; forbrug'!$F76)</f>
        <v>0</v>
      </c>
      <c r="N76" s="94">
        <f>SUMIFS('Resultat-Produktion &amp; forbrug'!N$4:N$291,'Resultat-Produktion &amp; forbrug'!$A$4:$A$291,'Produktion &amp; forbrug'!$A76,'Resultat-Produktion &amp; forbrug'!$E$4:$E$291,'Produktion &amp; forbrug'!$F76)</f>
        <v>0</v>
      </c>
      <c r="O76" s="179">
        <f t="shared" si="17"/>
        <v>0</v>
      </c>
      <c r="P76" s="94">
        <f t="shared" si="18"/>
        <v>0</v>
      </c>
      <c r="Q76" s="180">
        <f t="shared" si="19"/>
        <v>6149984.92344434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IF(A76&lt;&gt;"Biogas",IFERROR(VLOOKUP(A76,[1]Biogasudbytte!$A$2:$B$18,2,FALSE)*[1]Energiindhold!$C$10,0)*K76*IFERROR(VLOOKUP(A76,Biogasanlæg!$F$3:$G$8,2,FALSE),1)+IFERROR(VLOOKUP(A76,[1]Energiindhold!$A$2:$C$11,3,FALSE),0)*M76+IF(F76&lt;&gt;År1,R76,0),0)</f>
        <v>3.113060868398291</v>
      </c>
      <c r="T76">
        <f>IFERROR(VLOOKUP(A76,[1]Biogasudbytte!$A$2:$B$18,2,FALSE)*[1]Energiindhold!$C$10,0)*K76*IFERROR(VLOOKUP(A76,Biogasanlæg!$F$3:$G$8,2,FALSE),1)</f>
        <v>3.113060868398291</v>
      </c>
      <c r="U76" s="170">
        <f t="shared" si="20"/>
        <v>0</v>
      </c>
      <c r="V76" s="169">
        <f>P76*IFERROR(VLOOKUP(A76,[1]Tørstofindhold!A$2:B$24,2,FALSE),0)</f>
        <v>0</v>
      </c>
      <c r="W76">
        <f>IF(F76=År1,Q76,SUM(P76,Q76))*IFERROR(VLOOKUP(A76,[1]Tørstofindhold!A$2:B$24,2,FALSE),0)</f>
        <v>467398.85418176983</v>
      </c>
      <c r="X76">
        <f>K76*IFERROR(VLOOKUP(A76,[1]Tørstofindhold!A$2:B$24,2,FALSE),0)</f>
        <v>467398.85418176983</v>
      </c>
      <c r="Y76" s="170">
        <f t="shared" si="21"/>
        <v>0</v>
      </c>
      <c r="Z76">
        <f t="shared" si="15"/>
        <v>0</v>
      </c>
      <c r="AA76">
        <f t="shared" si="16"/>
        <v>0</v>
      </c>
      <c r="AC76" s="94">
        <f t="shared" si="22"/>
        <v>0</v>
      </c>
      <c r="AD76">
        <f>AC76*E76*10000*VLOOKUP(A76,[1]kcal!$A$2:$C$49,3,FALSE)/1000000000000</f>
        <v>0</v>
      </c>
    </row>
    <row r="77" spans="1:30" x14ac:dyDescent="0.25">
      <c r="A77" s="171" t="str">
        <f t="shared" si="11"/>
        <v>Mælk til foder</v>
      </c>
      <c r="B77" s="171" t="str">
        <f t="shared" si="12"/>
        <v/>
      </c>
      <c r="C77" s="171" t="str">
        <f>IFERROR(VLOOKUP(A77,'Kategorisering af kcal'!$J$2:$K$18,2,FALSE),"")</f>
        <v/>
      </c>
      <c r="D77" s="171">
        <f>IF(COUNTIFS('Resultater - Danmark'!$D$3:$D$504,'Produktion &amp; forbrug'!A77,'Resultater - Danmark'!$A$3:$A$504,"Til energi")+COUNTIFS('Resultater - Danmark'!$D$3:$D$504,'Produktion &amp; forbrug'!A77,'Resultater - Danmark'!$A$3:$A$504,"Biogasanlæg")&gt;0,1,0)</f>
        <v>0</v>
      </c>
      <c r="E77" s="171">
        <f t="shared" si="14"/>
        <v>0</v>
      </c>
      <c r="F77" s="171">
        <f t="shared" si="13"/>
        <v>2030</v>
      </c>
      <c r="G77" s="94">
        <f>SUMIFS('Resultat-Produktion &amp; forbrug'!G$4:G$291,'Resultat-Produktion &amp; forbrug'!$A$4:$A$291,'Produktion &amp; forbrug'!$A77,'Resultat-Produktion &amp; forbrug'!$E$4:$E$291,'Produktion &amp; forbrug'!$F77)</f>
        <v>1028175.3505727286</v>
      </c>
      <c r="H77" s="94">
        <f>SUMIFS('Resultat-Produktion &amp; forbrug'!H$4:H$291,'Resultat-Produktion &amp; forbrug'!$A$4:$A$291,'Produktion &amp; forbrug'!$A77,'Resultat-Produktion &amp; forbrug'!$E$4:$E$291,'Produktion &amp; forbrug'!$F77)</f>
        <v>1149393.6090669457</v>
      </c>
      <c r="I77" s="94">
        <f>SUMIFS('Resultat-Produktion &amp; forbrug'!I$4:I$291,'Resultat-Produktion &amp; forbrug'!$A$4:$A$291,'Produktion &amp; forbrug'!$A77,'Resultat-Produktion &amp; forbrug'!$E$4:$E$291,'Produktion &amp; forbrug'!$F77)</f>
        <v>0</v>
      </c>
      <c r="J77" s="94">
        <f>SUMIFS('Resultat-Produktion &amp; forbrug'!J$4:J$291,'Resultat-Produktion &amp; forbrug'!$A$4:$A$291,'Produktion &amp; forbrug'!$A77,'Resultat-Produktion &amp; forbrug'!$E$4:$E$291,'Produktion &amp; forbrug'!$F77)</f>
        <v>0</v>
      </c>
      <c r="K77" s="94">
        <f>SUMIFS('Resultat-Produktion &amp; forbrug'!K$4:K$291,'Resultat-Produktion &amp; forbrug'!$A$4:$A$291,'Produktion &amp; forbrug'!$A77,'Resultat-Produktion &amp; forbrug'!$E$4:$E$291,'Produktion &amp; forbrug'!$F77)</f>
        <v>0</v>
      </c>
      <c r="L77" s="94">
        <f>SUMIFS('Resultat-Produktion &amp; forbrug'!L$4:L$291,'Resultat-Produktion &amp; forbrug'!$A$4:$A$291,'Produktion &amp; forbrug'!$A77,'Resultat-Produktion &amp; forbrug'!$E$4:$E$291,'Produktion &amp; forbrug'!$F77)</f>
        <v>0</v>
      </c>
      <c r="M77" s="94">
        <f>SUMIFS('Resultat-Produktion &amp; forbrug'!M$4:M$291,'Resultat-Produktion &amp; forbrug'!$A$4:$A$291,'Produktion &amp; forbrug'!$A77,'Resultat-Produktion &amp; forbrug'!$E$4:$E$291,'Produktion &amp; forbrug'!$F77)</f>
        <v>0</v>
      </c>
      <c r="N77" s="94">
        <f>SUMIFS('Resultat-Produktion &amp; forbrug'!N$4:N$291,'Resultat-Produktion &amp; forbrug'!$A$4:$A$291,'Produktion &amp; forbrug'!$A77,'Resultat-Produktion &amp; forbrug'!$E$4:$E$291,'Produktion &amp; forbrug'!$F77)</f>
        <v>0</v>
      </c>
      <c r="O77" s="179">
        <f t="shared" si="17"/>
        <v>-121218.25849421718</v>
      </c>
      <c r="P77" s="94">
        <f t="shared" si="18"/>
        <v>0</v>
      </c>
      <c r="Q77" s="180">
        <f t="shared" si="19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IF(A77&lt;&gt;"Biogas",IFERROR(VLOOKUP(A77,[1]Biogasudbytte!$A$2:$B$18,2,FALSE)*[1]Energiindhold!$C$10,0)*K77*IFERROR(VLOOKUP(A77,Biogasanlæg!$F$3:$G$8,2,FALSE),1)+IFERROR(VLOOKUP(A77,[1]Energiindhold!$A$2:$C$11,3,FALSE),0)*M77+IF(F77&lt;&gt;År1,R77,0),0)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20"/>
        <v>0</v>
      </c>
      <c r="V77" s="169">
        <f>P77*IFERROR(VLOOKUP(A77,[1]Tørstofindhold!A$2:B$24,2,FALSE),0)</f>
        <v>0</v>
      </c>
      <c r="W77">
        <f>IF(F77=År1,Q77,SUM(P77,Q77))*IFERROR(VLOOKUP(A77,[1]Tørstofindhold!A$2:B$24,2,FALSE),0)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21"/>
        <v>0</v>
      </c>
      <c r="Z77">
        <f t="shared" si="15"/>
        <v>1</v>
      </c>
      <c r="AA77">
        <f t="shared" si="16"/>
        <v>0</v>
      </c>
      <c r="AC77" s="94">
        <f t="shared" si="22"/>
        <v>-121218.25849421718</v>
      </c>
      <c r="AD77">
        <f>AC77*E77*10000*VLOOKUP(A77,[1]kcal!$A$2:$C$49,3,FALSE)/1000000000000</f>
        <v>0</v>
      </c>
    </row>
    <row r="78" spans="1:30" x14ac:dyDescent="0.25">
      <c r="A78" s="171" t="str">
        <f t="shared" si="11"/>
        <v>Majs</v>
      </c>
      <c r="B78" s="171" t="str">
        <f t="shared" si="12"/>
        <v>Græs og urter</v>
      </c>
      <c r="C78" s="171" t="str">
        <f>IFERROR(VLOOKUP(A78,'Kategorisering af kcal'!$J$2:$K$18,2,FALSE),"")</f>
        <v>Korn</v>
      </c>
      <c r="D78" s="171">
        <f>IF(COUNTIFS('Resultater - Danmark'!$D$3:$D$504,'Produktion &amp; forbrug'!A78,'Resultater - Danmark'!$A$3:$A$504,"Til energi")+COUNTIFS('Resultater - Danmark'!$D$3:$D$504,'Produktion &amp; forbrug'!A78,'Resultater - Danmark'!$A$3:$A$504,"Biogasanlæg")&gt;0,1,0)</f>
        <v>1</v>
      </c>
      <c r="E78" s="171">
        <f t="shared" si="14"/>
        <v>1</v>
      </c>
      <c r="F78" s="171">
        <f t="shared" si="13"/>
        <v>2030</v>
      </c>
      <c r="G78" s="94">
        <f>SUMIFS('Resultat-Produktion &amp; forbrug'!G$4:G$291,'Resultat-Produktion &amp; forbrug'!$A$4:$A$291,'Produktion &amp; forbrug'!$A78,'Resultat-Produktion &amp; forbrug'!$E$4:$E$291,'Produktion &amp; forbrug'!$F78)</f>
        <v>5993677.9656667151</v>
      </c>
      <c r="H78" s="94">
        <f>SUMIFS('Resultat-Produktion &amp; forbrug'!H$4:H$291,'Resultat-Produktion &amp; forbrug'!$A$4:$A$291,'Produktion &amp; forbrug'!$A78,'Resultat-Produktion &amp; forbrug'!$E$4:$E$291,'Produktion &amp; forbrug'!$F78)</f>
        <v>4289846.7146913484</v>
      </c>
      <c r="I78" s="94">
        <f>SUMIFS('Resultat-Produktion &amp; forbrug'!I$4:I$291,'Resultat-Produktion &amp; forbrug'!$A$4:$A$291,'Produktion &amp; forbrug'!$A78,'Resultat-Produktion &amp; forbrug'!$E$4:$E$291,'Produktion &amp; forbrug'!$F78)</f>
        <v>0</v>
      </c>
      <c r="J78" s="94">
        <f>SUMIFS('Resultat-Produktion &amp; forbrug'!J$4:J$291,'Resultat-Produktion &amp; forbrug'!$A$4:$A$291,'Produktion &amp; forbrug'!$A78,'Resultat-Produktion &amp; forbrug'!$E$4:$E$291,'Produktion &amp; forbrug'!$F78)</f>
        <v>0</v>
      </c>
      <c r="K78" s="94">
        <f>SUMIFS('Resultat-Produktion &amp; forbrug'!K$4:K$291,'Resultat-Produktion &amp; forbrug'!$A$4:$A$291,'Produktion &amp; forbrug'!$A78,'Resultat-Produktion &amp; forbrug'!$E$4:$E$291,'Produktion &amp; forbrug'!$F78)</f>
        <v>0</v>
      </c>
      <c r="L78" s="94">
        <f>SUMIFS('Resultat-Produktion &amp; forbrug'!L$4:L$291,'Resultat-Produktion &amp; forbrug'!$A$4:$A$291,'Produktion &amp; forbrug'!$A78,'Resultat-Produktion &amp; forbrug'!$E$4:$E$291,'Produktion &amp; forbrug'!$F78)</f>
        <v>0</v>
      </c>
      <c r="M78" s="94">
        <f>SUMIFS('Resultat-Produktion &amp; forbrug'!M$4:M$291,'Resultat-Produktion &amp; forbrug'!$A$4:$A$291,'Produktion &amp; forbrug'!$A78,'Resultat-Produktion &amp; forbrug'!$E$4:$E$291,'Produktion &amp; forbrug'!$F78)</f>
        <v>0</v>
      </c>
      <c r="N78" s="94">
        <f>SUMIFS('Resultat-Produktion &amp; forbrug'!N$4:N$291,'Resultat-Produktion &amp; forbrug'!$A$4:$A$291,'Produktion &amp; forbrug'!$A78,'Resultat-Produktion &amp; forbrug'!$E$4:$E$291,'Produktion &amp; forbrug'!$F78)</f>
        <v>0</v>
      </c>
      <c r="O78" s="179">
        <f t="shared" si="17"/>
        <v>1703831.2509753667</v>
      </c>
      <c r="P78" s="94">
        <f t="shared" si="18"/>
        <v>1703831.2509753667</v>
      </c>
      <c r="Q78" s="180">
        <f t="shared" si="19"/>
        <v>0</v>
      </c>
      <c r="R78">
        <f>IFERROR(VLOOKUP(A78,[1]Energiindhold!$A$2:$C$11,3,FALSE),IFERROR(VLOOKUP(A78,[1]Biogasudbytte!$A$2:$B$18,2,FALSE)*[1]Energiindhold!$C$10,0))*P78</f>
        <v>6.1167541910015668</v>
      </c>
      <c r="S78">
        <f>IF(A78&lt;&gt;"Biogas",IFERROR(VLOOKUP(A78,[1]Biogasudbytte!$A$2:$B$18,2,FALSE)*[1]Energiindhold!$C$10,0)*K78*IFERROR(VLOOKUP(A78,Biogasanlæg!$F$3:$G$8,2,FALSE),1)+IFERROR(VLOOKUP(A78,[1]Energiindhold!$A$2:$C$11,3,FALSE),0)*M78+IF(F78&lt;&gt;År1,R78,0),0)</f>
        <v>6.1167541910015668</v>
      </c>
      <c r="T78">
        <f>IFERROR(VLOOKUP(A78,[1]Biogasudbytte!$A$2:$B$18,2,FALSE)*[1]Energiindhold!$C$10,0)*K78*IFERROR(VLOOKUP(A78,Biogasanlæg!$F$3:$G$8,2,FALSE),1)</f>
        <v>0</v>
      </c>
      <c r="U78" s="170">
        <f t="shared" si="20"/>
        <v>6.1167541910015668</v>
      </c>
      <c r="V78" s="169">
        <f>P78*IFERROR(VLOOKUP(A78,[1]Tørstofindhold!A$2:B$24,2,FALSE),0)</f>
        <v>511149.37529260997</v>
      </c>
      <c r="W78">
        <f>IF(F78=År1,Q78,SUM(P78,Q78))*IFERROR(VLOOKUP(A78,[1]Tørstofindhold!A$2:B$24,2,FALSE),0)</f>
        <v>511149.37529260997</v>
      </c>
      <c r="X78">
        <f>K78*IFERROR(VLOOKUP(A78,[1]Tørstofindhold!A$2:B$24,2,FALSE),0)</f>
        <v>0</v>
      </c>
      <c r="Y78" s="170">
        <f t="shared" si="21"/>
        <v>511149.37529260997</v>
      </c>
      <c r="Z78">
        <f t="shared" si="15"/>
        <v>0</v>
      </c>
      <c r="AA78">
        <f t="shared" si="16"/>
        <v>1</v>
      </c>
      <c r="AC78" s="94">
        <f t="shared" si="22"/>
        <v>1703831.2509753667</v>
      </c>
      <c r="AD78">
        <f>AC78*E78*10000*VLOOKUP(A78,[1]kcal!$A$2:$C$49,3,FALSE)/1000000000000</f>
        <v>1.5504864383875836</v>
      </c>
    </row>
    <row r="79" spans="1:30" x14ac:dyDescent="0.25">
      <c r="A79" s="171" t="str">
        <f t="shared" si="11"/>
        <v>Mejeriprodukter</v>
      </c>
      <c r="B79" s="171" t="str">
        <f t="shared" si="12"/>
        <v/>
      </c>
      <c r="C79" s="171" t="str">
        <f>IFERROR(VLOOKUP(A79,'Kategorisering af kcal'!$J$2:$K$18,2,FALSE),"")</f>
        <v>Mejeriprodukter</v>
      </c>
      <c r="D79" s="171">
        <f>IF(COUNTIFS('Resultater - Danmark'!$D$3:$D$504,'Produktion &amp; forbrug'!A79,'Resultater - Danmark'!$A$3:$A$504,"Til energi")+COUNTIFS('Resultater - Danmark'!$D$3:$D$504,'Produktion &amp; forbrug'!A79,'Resultater - Danmark'!$A$3:$A$504,"Biogasanlæg")&gt;0,1,0)</f>
        <v>0</v>
      </c>
      <c r="E79" s="171">
        <f t="shared" si="14"/>
        <v>1</v>
      </c>
      <c r="F79" s="171">
        <f t="shared" si="13"/>
        <v>2030</v>
      </c>
      <c r="G79" s="94">
        <f>SUMIFS('Resultat-Produktion &amp; forbrug'!G$4:G$291,'Resultat-Produktion &amp; forbrug'!$A$4:$A$291,'Produktion &amp; forbrug'!$A79,'Resultat-Produktion &amp; forbrug'!$E$4:$E$291,'Produktion &amp; forbrug'!$F79)</f>
        <v>1983844.8145560268</v>
      </c>
      <c r="H79" s="94">
        <f>SUMIFS('Resultat-Produktion &amp; forbrug'!H$4:H$291,'Resultat-Produktion &amp; forbrug'!$A$4:$A$291,'Produktion &amp; forbrug'!$A79,'Resultat-Produktion &amp; forbrug'!$E$4:$E$291,'Produktion &amp; forbrug'!$F79)</f>
        <v>0</v>
      </c>
      <c r="I79" s="94">
        <f>SUMIFS('Resultat-Produktion &amp; forbrug'!I$4:I$291,'Resultat-Produktion &amp; forbrug'!$A$4:$A$291,'Produktion &amp; forbrug'!$A79,'Resultat-Produktion &amp; forbrug'!$E$4:$E$291,'Produktion &amp; forbrug'!$F79)</f>
        <v>0</v>
      </c>
      <c r="J79" s="94">
        <f>SUMIFS('Resultat-Produktion &amp; forbrug'!J$4:J$291,'Resultat-Produktion &amp; forbrug'!$A$4:$A$291,'Produktion &amp; forbrug'!$A79,'Resultat-Produktion &amp; forbrug'!$E$4:$E$291,'Produktion &amp; forbrug'!$F79)</f>
        <v>881442.3078256119</v>
      </c>
      <c r="K79" s="94">
        <f>SUMIFS('Resultat-Produktion &amp; forbrug'!K$4:K$291,'Resultat-Produktion &amp; forbrug'!$A$4:$A$291,'Produktion &amp; forbrug'!$A79,'Resultat-Produktion &amp; forbrug'!$E$4:$E$291,'Produktion &amp; forbrug'!$F79)</f>
        <v>0</v>
      </c>
      <c r="L79" s="94">
        <f>SUMIFS('Resultat-Produktion &amp; forbrug'!L$4:L$291,'Resultat-Produktion &amp; forbrug'!$A$4:$A$291,'Produktion &amp; forbrug'!$A79,'Resultat-Produktion &amp; forbrug'!$E$4:$E$291,'Produktion &amp; forbrug'!$F79)</f>
        <v>0</v>
      </c>
      <c r="M79" s="94">
        <f>SUMIFS('Resultat-Produktion &amp; forbrug'!M$4:M$291,'Resultat-Produktion &amp; forbrug'!$A$4:$A$291,'Produktion &amp; forbrug'!$A79,'Resultat-Produktion &amp; forbrug'!$E$4:$E$291,'Produktion &amp; forbrug'!$F79)</f>
        <v>0</v>
      </c>
      <c r="N79" s="94">
        <f>SUMIFS('Resultat-Produktion &amp; forbrug'!N$4:N$291,'Resultat-Produktion &amp; forbrug'!$A$4:$A$291,'Produktion &amp; forbrug'!$A79,'Resultat-Produktion &amp; forbrug'!$E$4:$E$291,'Produktion &amp; forbrug'!$F79)</f>
        <v>0</v>
      </c>
      <c r="O79" s="179">
        <f t="shared" si="17"/>
        <v>1102402.5067304149</v>
      </c>
      <c r="P79" s="94">
        <f t="shared" si="18"/>
        <v>0</v>
      </c>
      <c r="Q79" s="180">
        <f t="shared" si="19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IF(A79&lt;&gt;"Biogas",IFERROR(VLOOKUP(A79,[1]Biogasudbytte!$A$2:$B$18,2,FALSE)*[1]Energiindhold!$C$10,0)*K79*IFERROR(VLOOKUP(A79,Biogasanlæg!$F$3:$G$8,2,FALSE),1)+IFERROR(VLOOKUP(A79,[1]Energiindhold!$A$2:$C$11,3,FALSE),0)*M79+IF(F79&lt;&gt;År1,R79,0),0)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20"/>
        <v>0</v>
      </c>
      <c r="V79" s="169">
        <f>P79*IFERROR(VLOOKUP(A79,[1]Tørstofindhold!A$2:B$24,2,FALSE),0)</f>
        <v>0</v>
      </c>
      <c r="W79">
        <f>IF(F79=År1,Q79,SUM(P79,Q79))*IFERROR(VLOOKUP(A79,[1]Tørstofindhold!A$2:B$24,2,FALSE),0)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21"/>
        <v>0</v>
      </c>
      <c r="Z79">
        <f t="shared" si="15"/>
        <v>0</v>
      </c>
      <c r="AA79">
        <f t="shared" si="16"/>
        <v>1</v>
      </c>
      <c r="AC79" s="94">
        <f t="shared" si="22"/>
        <v>1983844.8145560268</v>
      </c>
      <c r="AD79">
        <f>AC79*E79*10000*VLOOKUP(A79,[1]kcal!$A$2:$C$49,3,FALSE)/1000000000000</f>
        <v>1.2498222331702968</v>
      </c>
    </row>
    <row r="80" spans="1:30" x14ac:dyDescent="0.25">
      <c r="A80" s="171" t="str">
        <f t="shared" si="11"/>
        <v>Muslinger</v>
      </c>
      <c r="B80" s="171" t="str">
        <f t="shared" si="12"/>
        <v>Havbiomasse</v>
      </c>
      <c r="C80" s="171" t="str">
        <f>IFERROR(VLOOKUP(A80,'Kategorisering af kcal'!$J$2:$K$18,2,FALSE),"")</f>
        <v>Fisk mm</v>
      </c>
      <c r="D80" s="171">
        <f>IF(COUNTIFS('Resultater - Danmark'!$D$3:$D$504,'Produktion &amp; forbrug'!A80,'Resultater - Danmark'!$A$3:$A$504,"Til energi")+COUNTIFS('Resultater - Danmark'!$D$3:$D$504,'Produktion &amp; forbrug'!A80,'Resultater - Danmark'!$A$3:$A$504,"Biogasanlæg")&gt;0,1,0)</f>
        <v>1</v>
      </c>
      <c r="E80" s="171">
        <f t="shared" si="14"/>
        <v>1</v>
      </c>
      <c r="F80" s="171">
        <f t="shared" si="13"/>
        <v>2030</v>
      </c>
      <c r="G80" s="94">
        <f>SUMIFS('Resultat-Produktion &amp; forbrug'!G$4:G$291,'Resultat-Produktion &amp; forbrug'!$A$4:$A$291,'Produktion &amp; forbrug'!$A80,'Resultat-Produktion &amp; forbrug'!$E$4:$E$291,'Produktion &amp; forbrug'!$F80)</f>
        <v>880.09999999999991</v>
      </c>
      <c r="H80" s="94">
        <f>SUMIFS('Resultat-Produktion &amp; forbrug'!H$4:H$291,'Resultat-Produktion &amp; forbrug'!$A$4:$A$291,'Produktion &amp; forbrug'!$A80,'Resultat-Produktion &amp; forbrug'!$E$4:$E$291,'Produktion &amp; forbrug'!$F80)</f>
        <v>0</v>
      </c>
      <c r="I80" s="94">
        <f>SUMIFS('Resultat-Produktion &amp; forbrug'!I$4:I$291,'Resultat-Produktion &amp; forbrug'!$A$4:$A$291,'Produktion &amp; forbrug'!$A80,'Resultat-Produktion &amp; forbrug'!$E$4:$E$291,'Produktion &amp; forbrug'!$F80)</f>
        <v>0</v>
      </c>
      <c r="J80" s="94">
        <f>SUMIFS('Resultat-Produktion &amp; forbrug'!J$4:J$291,'Resultat-Produktion &amp; forbrug'!$A$4:$A$291,'Produktion &amp; forbrug'!$A80,'Resultat-Produktion &amp; forbrug'!$E$4:$E$291,'Produktion &amp; forbrug'!$F80)</f>
        <v>0</v>
      </c>
      <c r="K80" s="94">
        <f>SUMIFS('Resultat-Produktion &amp; forbrug'!K$4:K$291,'Resultat-Produktion &amp; forbrug'!$A$4:$A$291,'Produktion &amp; forbrug'!$A80,'Resultat-Produktion &amp; forbrug'!$E$4:$E$291,'Produktion &amp; forbrug'!$F80)</f>
        <v>0</v>
      </c>
      <c r="L80" s="94">
        <f>SUMIFS('Resultat-Produktion &amp; forbrug'!L$4:L$291,'Resultat-Produktion &amp; forbrug'!$A$4:$A$291,'Produktion &amp; forbrug'!$A80,'Resultat-Produktion &amp; forbrug'!$E$4:$E$291,'Produktion &amp; forbrug'!$F80)</f>
        <v>0</v>
      </c>
      <c r="M80" s="94">
        <f>SUMIFS('Resultat-Produktion &amp; forbrug'!M$4:M$291,'Resultat-Produktion &amp; forbrug'!$A$4:$A$291,'Produktion &amp; forbrug'!$A80,'Resultat-Produktion &amp; forbrug'!$E$4:$E$291,'Produktion &amp; forbrug'!$F80)</f>
        <v>0</v>
      </c>
      <c r="N80" s="94">
        <f>SUMIFS('Resultat-Produktion &amp; forbrug'!N$4:N$291,'Resultat-Produktion &amp; forbrug'!$A$4:$A$291,'Produktion &amp; forbrug'!$A80,'Resultat-Produktion &amp; forbrug'!$E$4:$E$291,'Produktion &amp; forbrug'!$F80)</f>
        <v>0</v>
      </c>
      <c r="O80" s="179">
        <f t="shared" si="17"/>
        <v>880.09999999999991</v>
      </c>
      <c r="P80" s="94">
        <f t="shared" si="18"/>
        <v>880.09999999999991</v>
      </c>
      <c r="Q80" s="180">
        <f t="shared" si="19"/>
        <v>0</v>
      </c>
      <c r="R80">
        <f>IFERROR(VLOOKUP(A80,[1]Energiindhold!$A$2:$C$11,3,FALSE),IFERROR(VLOOKUP(A80,[1]Biogasudbytte!$A$2:$B$18,2,FALSE)*[1]Energiindhold!$C$10,0))*P80</f>
        <v>7.8988975000000004E-4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IF(A80&lt;&gt;"Biogas",IFERROR(VLOOKUP(A80,[1]Biogasudbytte!$A$2:$B$18,2,FALSE)*[1]Energiindhold!$C$10,0)*K80*IFERROR(VLOOKUP(A80,Biogasanlæg!$F$3:$G$8,2,FALSE),1)+IFERROR(VLOOKUP(A80,[1]Energiindhold!$A$2:$C$11,3,FALSE),0)*M80+IF(F80&lt;&gt;År1,R80,0),0)</f>
        <v>7.8988975000000004E-4</v>
      </c>
      <c r="T80">
        <f>IFERROR(VLOOKUP(A80,[1]Biogasudbytte!$A$2:$B$18,2,FALSE)*[1]Energiindhold!$C$10,0)*K80*IFERROR(VLOOKUP(A80,Biogasanlæg!$F$3:$G$8,2,FALSE),1)</f>
        <v>0</v>
      </c>
      <c r="U80" s="170">
        <f t="shared" si="20"/>
        <v>7.8988975000000004E-4</v>
      </c>
      <c r="V80" s="169">
        <f>P80*IFERROR(VLOOKUP(A80,[1]Tørstofindhold!A$2:B$24,2,FALSE),0)</f>
        <v>132.01499999999999</v>
      </c>
      <c r="W80">
        <f>IF(F80=År1,Q80,SUM(P80,Q80))*IFERROR(VLOOKUP(A80,[1]Tørstofindhold!A$2:B$24,2,FALSE),0)</f>
        <v>132.01499999999999</v>
      </c>
      <c r="X80">
        <f>K80*IFERROR(VLOOKUP(A80,[1]Tørstofindhold!A$2:B$24,2,FALSE),0)</f>
        <v>0</v>
      </c>
      <c r="Y80" s="170">
        <f t="shared" si="21"/>
        <v>132.01499999999999</v>
      </c>
      <c r="Z80">
        <f t="shared" si="15"/>
        <v>0</v>
      </c>
      <c r="AA80">
        <f t="shared" si="16"/>
        <v>1</v>
      </c>
      <c r="AC80" s="94">
        <f t="shared" si="22"/>
        <v>880.09999999999991</v>
      </c>
      <c r="AD80">
        <f>AC80*E80*10000*VLOOKUP(A80,[1]kcal!$A$2:$C$49,3,FALSE)/1000000000000</f>
        <v>7.3048299999999998E-4</v>
      </c>
    </row>
    <row r="81" spans="1:30" x14ac:dyDescent="0.25">
      <c r="A81" s="171" t="str">
        <f t="shared" si="11"/>
        <v>Oksekød</v>
      </c>
      <c r="B81" s="171" t="str">
        <f t="shared" si="12"/>
        <v/>
      </c>
      <c r="C81" s="171" t="str">
        <f>IFERROR(VLOOKUP(A81,'Kategorisering af kcal'!$J$2:$K$18,2,FALSE),"")</f>
        <v>Kød</v>
      </c>
      <c r="D81" s="171">
        <f>IF(COUNTIFS('Resultater - Danmark'!$D$3:$D$504,'Produktion &amp; forbrug'!A81,'Resultater - Danmark'!$A$3:$A$504,"Til energi")+COUNTIFS('Resultater - Danmark'!$D$3:$D$504,'Produktion &amp; forbrug'!A81,'Resultater - Danmark'!$A$3:$A$504,"Biogasanlæg")&gt;0,1,0)</f>
        <v>0</v>
      </c>
      <c r="E81" s="171">
        <f t="shared" si="14"/>
        <v>1</v>
      </c>
      <c r="F81" s="171">
        <f t="shared" si="13"/>
        <v>2030</v>
      </c>
      <c r="G81" s="94">
        <f>SUMIFS('Resultat-Produktion &amp; forbrug'!G$4:G$291,'Resultat-Produktion &amp; forbrug'!$A$4:$A$291,'Produktion &amp; forbrug'!$A81,'Resultat-Produktion &amp; forbrug'!$E$4:$E$291,'Produktion &amp; forbrug'!$F81)</f>
        <v>60160.637598397458</v>
      </c>
      <c r="H81" s="94">
        <f>SUMIFS('Resultat-Produktion &amp; forbrug'!H$4:H$291,'Resultat-Produktion &amp; forbrug'!$A$4:$A$291,'Produktion &amp; forbrug'!$A81,'Resultat-Produktion &amp; forbrug'!$E$4:$E$291,'Produktion &amp; forbrug'!$F81)</f>
        <v>0</v>
      </c>
      <c r="I81" s="94">
        <f>SUMIFS('Resultat-Produktion &amp; forbrug'!I$4:I$291,'Resultat-Produktion &amp; forbrug'!$A$4:$A$291,'Produktion &amp; forbrug'!$A81,'Resultat-Produktion &amp; forbrug'!$E$4:$E$291,'Produktion &amp; forbrug'!$F81)</f>
        <v>0</v>
      </c>
      <c r="J81" s="94">
        <f>SUMIFS('Resultat-Produktion &amp; forbrug'!J$4:J$291,'Resultat-Produktion &amp; forbrug'!$A$4:$A$291,'Produktion &amp; forbrug'!$A81,'Resultat-Produktion &amp; forbrug'!$E$4:$E$291,'Produktion &amp; forbrug'!$F81)</f>
        <v>112003.96221853035</v>
      </c>
      <c r="K81" s="94">
        <f>SUMIFS('Resultat-Produktion &amp; forbrug'!K$4:K$291,'Resultat-Produktion &amp; forbrug'!$A$4:$A$291,'Produktion &amp; forbrug'!$A81,'Resultat-Produktion &amp; forbrug'!$E$4:$E$291,'Produktion &amp; forbrug'!$F81)</f>
        <v>0</v>
      </c>
      <c r="L81" s="94">
        <f>SUMIFS('Resultat-Produktion &amp; forbrug'!L$4:L$291,'Resultat-Produktion &amp; forbrug'!$A$4:$A$291,'Produktion &amp; forbrug'!$A81,'Resultat-Produktion &amp; forbrug'!$E$4:$E$291,'Produktion &amp; forbrug'!$F81)</f>
        <v>0</v>
      </c>
      <c r="M81" s="94">
        <f>SUMIFS('Resultat-Produktion &amp; forbrug'!M$4:M$291,'Resultat-Produktion &amp; forbrug'!$A$4:$A$291,'Produktion &amp; forbrug'!$A81,'Resultat-Produktion &amp; forbrug'!$E$4:$E$291,'Produktion &amp; forbrug'!$F81)</f>
        <v>0</v>
      </c>
      <c r="N81" s="94">
        <f>SUMIFS('Resultat-Produktion &amp; forbrug'!N$4:N$291,'Resultat-Produktion &amp; forbrug'!$A$4:$A$291,'Produktion &amp; forbrug'!$A81,'Resultat-Produktion &amp; forbrug'!$E$4:$E$291,'Produktion &amp; forbrug'!$F81)</f>
        <v>0</v>
      </c>
      <c r="O81" s="179">
        <f t="shared" si="17"/>
        <v>-51843.324620132888</v>
      </c>
      <c r="P81" s="94">
        <f t="shared" si="18"/>
        <v>0</v>
      </c>
      <c r="Q81" s="180">
        <f t="shared" si="19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IF(A81&lt;&gt;"Biogas",IFERROR(VLOOKUP(A81,[1]Biogasudbytte!$A$2:$B$18,2,FALSE)*[1]Energiindhold!$C$10,0)*K81*IFERROR(VLOOKUP(A81,Biogasanlæg!$F$3:$G$8,2,FALSE),1)+IFERROR(VLOOKUP(A81,[1]Energiindhold!$A$2:$C$11,3,FALSE),0)*M81+IF(F81&lt;&gt;År1,R81,0),0)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20"/>
        <v>0</v>
      </c>
      <c r="V81" s="169">
        <f>P81*IFERROR(VLOOKUP(A81,[1]Tørstofindhold!A$2:B$24,2,FALSE),0)</f>
        <v>0</v>
      </c>
      <c r="W81">
        <f>IF(F81=År1,Q81,SUM(P81,Q81))*IFERROR(VLOOKUP(A81,[1]Tørstofindhold!A$2:B$24,2,FALSE),0)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21"/>
        <v>0</v>
      </c>
      <c r="Z81">
        <f t="shared" si="15"/>
        <v>1</v>
      </c>
      <c r="AA81">
        <f t="shared" si="16"/>
        <v>0</v>
      </c>
      <c r="AC81" s="94">
        <f t="shared" si="22"/>
        <v>60160.637598397458</v>
      </c>
      <c r="AD81">
        <f>AC81*E81*10000*VLOOKUP(A81,[1]kcal!$A$2:$C$49,3,FALSE)/1000000000000</f>
        <v>0.11731324331687505</v>
      </c>
    </row>
    <row r="82" spans="1:30" x14ac:dyDescent="0.25">
      <c r="A82" s="171" t="str">
        <f t="shared" si="11"/>
        <v>Øvrige</v>
      </c>
      <c r="B82" s="171" t="str">
        <f t="shared" si="12"/>
        <v/>
      </c>
      <c r="C82" s="171" t="str">
        <f>IFERROR(VLOOKUP(A82,'Kategorisering af kcal'!$J$2:$K$18,2,FALSE),"")</f>
        <v>Øvrige</v>
      </c>
      <c r="D82" s="171">
        <f>IF(COUNTIFS('Resultater - Danmark'!$D$3:$D$504,'Produktion &amp; forbrug'!A82,'Resultater - Danmark'!$A$3:$A$504,"Til energi")+COUNTIFS('Resultater - Danmark'!$D$3:$D$504,'Produktion &amp; forbrug'!A82,'Resultater - Danmark'!$A$3:$A$504,"Biogasanlæg")&gt;0,1,0)</f>
        <v>0</v>
      </c>
      <c r="E82" s="171">
        <f t="shared" si="14"/>
        <v>1</v>
      </c>
      <c r="F82" s="171">
        <f t="shared" si="13"/>
        <v>2030</v>
      </c>
      <c r="G82" s="94">
        <f>SUMIFS('Resultat-Produktion &amp; forbrug'!G$4:G$291,'Resultat-Produktion &amp; forbrug'!$A$4:$A$291,'Produktion &amp; forbrug'!$A82,'Resultat-Produktion &amp; forbrug'!$E$4:$E$291,'Produktion &amp; forbrug'!$F82)</f>
        <v>1912360.1390352619</v>
      </c>
      <c r="H82" s="94">
        <f>SUMIFS('Resultat-Produktion &amp; forbrug'!H$4:H$291,'Resultat-Produktion &amp; forbrug'!$A$4:$A$291,'Produktion &amp; forbrug'!$A82,'Resultat-Produktion &amp; forbrug'!$E$4:$E$291,'Produktion &amp; forbrug'!$F82)</f>
        <v>0</v>
      </c>
      <c r="I82" s="94">
        <f>SUMIFS('Resultat-Produktion &amp; forbrug'!I$4:I$291,'Resultat-Produktion &amp; forbrug'!$A$4:$A$291,'Produktion &amp; forbrug'!$A82,'Resultat-Produktion &amp; forbrug'!$E$4:$E$291,'Produktion &amp; forbrug'!$F82)</f>
        <v>0</v>
      </c>
      <c r="J82" s="94">
        <f>SUMIFS('Resultat-Produktion &amp; forbrug'!J$4:J$291,'Resultat-Produktion &amp; forbrug'!$A$4:$A$291,'Produktion &amp; forbrug'!$A82,'Resultat-Produktion &amp; forbrug'!$E$4:$E$291,'Produktion &amp; forbrug'!$F82)</f>
        <v>0</v>
      </c>
      <c r="K82" s="94">
        <f>SUMIFS('Resultat-Produktion &amp; forbrug'!K$4:K$291,'Resultat-Produktion &amp; forbrug'!$A$4:$A$291,'Produktion &amp; forbrug'!$A82,'Resultat-Produktion &amp; forbrug'!$E$4:$E$291,'Produktion &amp; forbrug'!$F82)</f>
        <v>0</v>
      </c>
      <c r="L82" s="94">
        <f>SUMIFS('Resultat-Produktion &amp; forbrug'!L$4:L$291,'Resultat-Produktion &amp; forbrug'!$A$4:$A$291,'Produktion &amp; forbrug'!$A82,'Resultat-Produktion &amp; forbrug'!$E$4:$E$291,'Produktion &amp; forbrug'!$F82)</f>
        <v>0</v>
      </c>
      <c r="M82" s="94">
        <f>SUMIFS('Resultat-Produktion &amp; forbrug'!M$4:M$291,'Resultat-Produktion &amp; forbrug'!$A$4:$A$291,'Produktion &amp; forbrug'!$A82,'Resultat-Produktion &amp; forbrug'!$E$4:$E$291,'Produktion &amp; forbrug'!$F82)</f>
        <v>0</v>
      </c>
      <c r="N82" s="94">
        <f>SUMIFS('Resultat-Produktion &amp; forbrug'!N$4:N$291,'Resultat-Produktion &amp; forbrug'!$A$4:$A$291,'Produktion &amp; forbrug'!$A82,'Resultat-Produktion &amp; forbrug'!$E$4:$E$291,'Produktion &amp; forbrug'!$F82)</f>
        <v>0</v>
      </c>
      <c r="O82" s="179">
        <f t="shared" si="17"/>
        <v>1912360.1390352619</v>
      </c>
      <c r="P82" s="94">
        <f t="shared" si="18"/>
        <v>0</v>
      </c>
      <c r="Q82" s="180">
        <f t="shared" si="19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IF(A82&lt;&gt;"Biogas",IFERROR(VLOOKUP(A82,[1]Biogasudbytte!$A$2:$B$18,2,FALSE)*[1]Energiindhold!$C$10,0)*K82*IFERROR(VLOOKUP(A82,Biogasanlæg!$F$3:$G$8,2,FALSE),1)+IFERROR(VLOOKUP(A82,[1]Energiindhold!$A$2:$C$11,3,FALSE),0)*M82+IF(F82&lt;&gt;År1,R82,0),0)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20"/>
        <v>0</v>
      </c>
      <c r="V82" s="169">
        <f>P82*IFERROR(VLOOKUP(A82,[1]Tørstofindhold!A$2:B$24,2,FALSE),0)</f>
        <v>0</v>
      </c>
      <c r="W82">
        <f>IF(F82=År1,Q82,SUM(P82,Q82))*IFERROR(VLOOKUP(A82,[1]Tørstofindhold!A$2:B$24,2,FALSE),0)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21"/>
        <v>0</v>
      </c>
      <c r="Z82">
        <f t="shared" si="15"/>
        <v>0</v>
      </c>
      <c r="AA82">
        <f t="shared" si="16"/>
        <v>1</v>
      </c>
      <c r="AC82" s="94">
        <f t="shared" si="22"/>
        <v>1912360.1390352619</v>
      </c>
      <c r="AD82">
        <f>AC82*E82*10000*VLOOKUP(A82,[1]kcal!$A$2:$C$49,3,FALSE)/1000000000000</f>
        <v>0.74582045422375221</v>
      </c>
    </row>
    <row r="83" spans="1:30" x14ac:dyDescent="0.25">
      <c r="A83" s="171" t="str">
        <f t="shared" si="11"/>
        <v>Pil &amp; poppel</v>
      </c>
      <c r="B83" s="171" t="str">
        <f t="shared" si="12"/>
        <v>Vedmasse</v>
      </c>
      <c r="C83" s="171" t="str">
        <f>IFERROR(VLOOKUP(A83,'Kategorisering af kcal'!$J$2:$K$18,2,FALSE),"")</f>
        <v/>
      </c>
      <c r="D83" s="171">
        <f>IF(COUNTIFS('Resultater - Danmark'!$D$3:$D$504,'Produktion &amp; forbrug'!A83,'Resultater - Danmark'!$A$3:$A$504,"Til energi")+COUNTIFS('Resultater - Danmark'!$D$3:$D$504,'Produktion &amp; forbrug'!A83,'Resultater - Danmark'!$A$3:$A$504,"Biogasanlæg")&gt;0,1,0)</f>
        <v>1</v>
      </c>
      <c r="E83" s="171">
        <f t="shared" si="14"/>
        <v>0</v>
      </c>
      <c r="F83" s="171">
        <f t="shared" si="13"/>
        <v>2030</v>
      </c>
      <c r="G83" s="94">
        <f>SUMIFS('Resultat-Produktion &amp; forbrug'!G$4:G$291,'Resultat-Produktion &amp; forbrug'!$A$4:$A$291,'Produktion &amp; forbrug'!$A83,'Resultat-Produktion &amp; forbrug'!$E$4:$E$291,'Produktion &amp; forbrug'!$F83)</f>
        <v>192072.11069021252</v>
      </c>
      <c r="H83" s="94">
        <f>SUMIFS('Resultat-Produktion &amp; forbrug'!H$4:H$291,'Resultat-Produktion &amp; forbrug'!$A$4:$A$291,'Produktion &amp; forbrug'!$A83,'Resultat-Produktion &amp; forbrug'!$E$4:$E$291,'Produktion &amp; forbrug'!$F83)</f>
        <v>0</v>
      </c>
      <c r="I83" s="94">
        <f>SUMIFS('Resultat-Produktion &amp; forbrug'!I$4:I$291,'Resultat-Produktion &amp; forbrug'!$A$4:$A$291,'Produktion &amp; forbrug'!$A83,'Resultat-Produktion &amp; forbrug'!$E$4:$E$291,'Produktion &amp; forbrug'!$F83)</f>
        <v>0</v>
      </c>
      <c r="J83" s="94">
        <f>SUMIFS('Resultat-Produktion &amp; forbrug'!J$4:J$291,'Resultat-Produktion &amp; forbrug'!$A$4:$A$291,'Produktion &amp; forbrug'!$A83,'Resultat-Produktion &amp; forbrug'!$E$4:$E$291,'Produktion &amp; forbrug'!$F83)</f>
        <v>0</v>
      </c>
      <c r="K83" s="94">
        <f>SUMIFS('Resultat-Produktion &amp; forbrug'!K$4:K$291,'Resultat-Produktion &amp; forbrug'!$A$4:$A$291,'Produktion &amp; forbrug'!$A83,'Resultat-Produktion &amp; forbrug'!$E$4:$E$291,'Produktion &amp; forbrug'!$F83)</f>
        <v>0</v>
      </c>
      <c r="L83" s="94">
        <f>SUMIFS('Resultat-Produktion &amp; forbrug'!L$4:L$291,'Resultat-Produktion &amp; forbrug'!$A$4:$A$291,'Produktion &amp; forbrug'!$A83,'Resultat-Produktion &amp; forbrug'!$E$4:$E$291,'Produktion &amp; forbrug'!$F83)</f>
        <v>0</v>
      </c>
      <c r="M83" s="94">
        <f>SUMIFS('Resultat-Produktion &amp; forbrug'!M$4:M$291,'Resultat-Produktion &amp; forbrug'!$A$4:$A$291,'Produktion &amp; forbrug'!$A83,'Resultat-Produktion &amp; forbrug'!$E$4:$E$291,'Produktion &amp; forbrug'!$F83)</f>
        <v>192072.11069021252</v>
      </c>
      <c r="N83" s="94">
        <f>SUMIFS('Resultat-Produktion &amp; forbrug'!N$4:N$291,'Resultat-Produktion &amp; forbrug'!$A$4:$A$291,'Produktion &amp; forbrug'!$A83,'Resultat-Produktion &amp; forbrug'!$E$4:$E$291,'Produktion &amp; forbrug'!$F83)</f>
        <v>0</v>
      </c>
      <c r="O83" s="179">
        <f t="shared" si="17"/>
        <v>0</v>
      </c>
      <c r="P83" s="94">
        <f t="shared" si="18"/>
        <v>0</v>
      </c>
      <c r="Q83" s="180">
        <f t="shared" si="19"/>
        <v>192072.11069021252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IF(A83&lt;&gt;"Biogas",IFERROR(VLOOKUP(A83,[1]Biogasudbytte!$A$2:$B$18,2,FALSE)*[1]Energiindhold!$C$10,0)*K83*IFERROR(VLOOKUP(A83,Biogasanlæg!$F$3:$G$8,2,FALSE),1)+IFERROR(VLOOKUP(A83,[1]Energiindhold!$A$2:$C$11,3,FALSE),0)*M83+IF(F83&lt;&gt;År1,R83,0),0)</f>
        <v>3.5341268366999095</v>
      </c>
      <c r="T83">
        <f>IFERROR(VLOOKUP(A83,[1]Biogasudbytte!$A$2:$B$18,2,FALSE)*[1]Energiindhold!$C$10,0)*K83*IFERROR(VLOOKUP(A83,Biogasanlæg!$F$3:$G$8,2,FALSE),1)</f>
        <v>0</v>
      </c>
      <c r="U83" s="170">
        <f t="shared" si="20"/>
        <v>3.5341268366999095</v>
      </c>
      <c r="V83" s="169">
        <f>P83*IFERROR(VLOOKUP(A83,[1]Tørstofindhold!A$2:B$24,2,FALSE),0)</f>
        <v>0</v>
      </c>
      <c r="W83">
        <f>IF(F83=År1,Q83,SUM(P83,Q83))*IFERROR(VLOOKUP(A83,[1]Tørstofindhold!A$2:B$24,2,FALSE),0)</f>
        <v>79709.925936438201</v>
      </c>
      <c r="X83">
        <f>K83*IFERROR(VLOOKUP(A83,[1]Tørstofindhold!A$2:B$24,2,FALSE),0)</f>
        <v>0</v>
      </c>
      <c r="Y83" s="170">
        <f t="shared" si="21"/>
        <v>79709.925936438201</v>
      </c>
      <c r="Z83">
        <f t="shared" si="15"/>
        <v>0</v>
      </c>
      <c r="AA83">
        <f t="shared" si="16"/>
        <v>0</v>
      </c>
      <c r="AC83" s="94">
        <f t="shared" si="22"/>
        <v>192072.11069021252</v>
      </c>
      <c r="AD83">
        <f>AC83*E83*10000*VLOOKUP(A83,[1]kcal!$A$2:$C$49,3,FALSE)/1000000000000</f>
        <v>0</v>
      </c>
    </row>
    <row r="84" spans="1:30" x14ac:dyDescent="0.25">
      <c r="A84" s="171" t="str">
        <f t="shared" si="11"/>
        <v>Pyrolysegas</v>
      </c>
      <c r="B84" s="171" t="str">
        <f t="shared" si="12"/>
        <v>Pyrolyseprodukter</v>
      </c>
      <c r="C84" s="171" t="str">
        <f>IFERROR(VLOOKUP(A84,'Kategorisering af kcal'!$J$2:$K$18,2,FALSE),"")</f>
        <v/>
      </c>
      <c r="D84" s="171">
        <f>IF(COUNTIFS('Resultater - Danmark'!$D$3:$D$504,'Produktion &amp; forbrug'!A84,'Resultater - Danmark'!$A$3:$A$504,"Til energi")+COUNTIFS('Resultater - Danmark'!$D$3:$D$504,'Produktion &amp; forbrug'!A84,'Resultater - Danmark'!$A$3:$A$504,"Biogasanlæg")&gt;0,1,0)</f>
        <v>1</v>
      </c>
      <c r="E84" s="171">
        <f t="shared" si="14"/>
        <v>0</v>
      </c>
      <c r="F84" s="171">
        <f t="shared" si="13"/>
        <v>2030</v>
      </c>
      <c r="G84" s="94">
        <f>SUMIFS('Resultat-Produktion &amp; forbrug'!G$4:G$291,'Resultat-Produktion &amp; forbrug'!$A$4:$A$291,'Produktion &amp; forbrug'!$A84,'Resultat-Produktion &amp; forbrug'!$E$4:$E$291,'Produktion &amp; forbrug'!$F84)</f>
        <v>0</v>
      </c>
      <c r="H84" s="94">
        <f>SUMIFS('Resultat-Produktion &amp; forbrug'!H$4:H$291,'Resultat-Produktion &amp; forbrug'!$A$4:$A$291,'Produktion &amp; forbrug'!$A84,'Resultat-Produktion &amp; forbrug'!$E$4:$E$291,'Produktion &amp; forbrug'!$F84)</f>
        <v>0</v>
      </c>
      <c r="I84" s="94">
        <f>SUMIFS('Resultat-Produktion &amp; forbrug'!I$4:I$291,'Resultat-Produktion &amp; forbrug'!$A$4:$A$291,'Produktion &amp; forbrug'!$A84,'Resultat-Produktion &amp; forbrug'!$E$4:$E$291,'Produktion &amp; forbrug'!$F84)</f>
        <v>0</v>
      </c>
      <c r="J84" s="94">
        <f>SUMIFS('Resultat-Produktion &amp; forbrug'!J$4:J$291,'Resultat-Produktion &amp; forbrug'!$A$4:$A$291,'Produktion &amp; forbrug'!$A84,'Resultat-Produktion &amp; forbrug'!$E$4:$E$291,'Produktion &amp; forbrug'!$F84)</f>
        <v>0</v>
      </c>
      <c r="K84" s="94">
        <f>SUMIFS('Resultat-Produktion &amp; forbrug'!K$4:K$291,'Resultat-Produktion &amp; forbrug'!$A$4:$A$291,'Produktion &amp; forbrug'!$A84,'Resultat-Produktion &amp; forbrug'!$E$4:$E$291,'Produktion &amp; forbrug'!$F84)</f>
        <v>0</v>
      </c>
      <c r="L84" s="94">
        <f>SUMIFS('Resultat-Produktion &amp; forbrug'!L$4:L$291,'Resultat-Produktion &amp; forbrug'!$A$4:$A$291,'Produktion &amp; forbrug'!$A84,'Resultat-Produktion &amp; forbrug'!$E$4:$E$291,'Produktion &amp; forbrug'!$F84)</f>
        <v>0</v>
      </c>
      <c r="M84" s="94">
        <f>SUMIFS('Resultat-Produktion &amp; forbrug'!M$4:M$291,'Resultat-Produktion &amp; forbrug'!$A$4:$A$291,'Produktion &amp; forbrug'!$A84,'Resultat-Produktion &amp; forbrug'!$E$4:$E$291,'Produktion &amp; forbrug'!$F84)</f>
        <v>0</v>
      </c>
      <c r="N84" s="94">
        <f>SUMIFS('Resultat-Produktion &amp; forbrug'!N$4:N$291,'Resultat-Produktion &amp; forbrug'!$A$4:$A$291,'Produktion &amp; forbrug'!$A84,'Resultat-Produktion &amp; forbrug'!$E$4:$E$291,'Produktion &amp; forbrug'!$F84)</f>
        <v>0</v>
      </c>
      <c r="O84" s="179">
        <f t="shared" si="17"/>
        <v>0</v>
      </c>
      <c r="P84" s="94">
        <f t="shared" si="18"/>
        <v>0</v>
      </c>
      <c r="Q84" s="180">
        <f t="shared" si="19"/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IF(A84&lt;&gt;"Biogas",IFERROR(VLOOKUP(A84,[1]Biogasudbytte!$A$2:$B$18,2,FALSE)*[1]Energiindhold!$C$10,0)*K84*IFERROR(VLOOKUP(A84,Biogasanlæg!$F$3:$G$8,2,FALSE),1)+IFERROR(VLOOKUP(A84,[1]Energiindhold!$A$2:$C$11,3,FALSE),0)*M84+IF(F84&lt;&gt;År1,R84,0),0)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si="20"/>
        <v>0</v>
      </c>
      <c r="V84" s="169">
        <f>P84*IFERROR(VLOOKUP(A84,[1]Tørstofindhold!A$2:B$24,2,FALSE),0)</f>
        <v>0</v>
      </c>
      <c r="W84">
        <f>IF(F84=År1,Q84,SUM(P84,Q84))*IFERROR(VLOOKUP(A84,[1]Tørstofindhold!A$2:B$24,2,FALSE),0)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si="21"/>
        <v>0</v>
      </c>
      <c r="Z84">
        <f t="shared" si="15"/>
        <v>0</v>
      </c>
      <c r="AA84">
        <f t="shared" si="16"/>
        <v>0</v>
      </c>
      <c r="AC84" s="94">
        <f t="shared" si="22"/>
        <v>0</v>
      </c>
      <c r="AD84">
        <f>AC84*E84*10000*VLOOKUP(A84,[1]kcal!$A$2:$C$49,3,FALSE)/1000000000000</f>
        <v>0</v>
      </c>
    </row>
    <row r="85" spans="1:30" x14ac:dyDescent="0.25">
      <c r="A85" s="171" t="str">
        <f t="shared" si="11"/>
        <v>Pyrolyseolie</v>
      </c>
      <c r="B85" s="171" t="str">
        <f t="shared" si="12"/>
        <v>Pyrolyseprodukter</v>
      </c>
      <c r="C85" s="171" t="str">
        <f>IFERROR(VLOOKUP(A85,'Kategorisering af kcal'!$J$2:$K$18,2,FALSE),"")</f>
        <v/>
      </c>
      <c r="D85" s="171">
        <f>IF(COUNTIFS('Resultater - Danmark'!$D$3:$D$504,'Produktion &amp; forbrug'!A85,'Resultater - Danmark'!$A$3:$A$504,"Til energi")+COUNTIFS('Resultater - Danmark'!$D$3:$D$504,'Produktion &amp; forbrug'!A85,'Resultater - Danmark'!$A$3:$A$504,"Biogasanlæg")&gt;0,1,0)</f>
        <v>1</v>
      </c>
      <c r="E85" s="171">
        <f t="shared" si="14"/>
        <v>0</v>
      </c>
      <c r="F85" s="171">
        <f t="shared" si="13"/>
        <v>2030</v>
      </c>
      <c r="G85" s="94">
        <f>SUMIFS('Resultat-Produktion &amp; forbrug'!G$4:G$291,'Resultat-Produktion &amp; forbrug'!$A$4:$A$291,'Produktion &amp; forbrug'!$A85,'Resultat-Produktion &amp; forbrug'!$E$4:$E$291,'Produktion &amp; forbrug'!$F85)</f>
        <v>0</v>
      </c>
      <c r="H85" s="94">
        <f>SUMIFS('Resultat-Produktion &amp; forbrug'!H$4:H$291,'Resultat-Produktion &amp; forbrug'!$A$4:$A$291,'Produktion &amp; forbrug'!$A85,'Resultat-Produktion &amp; forbrug'!$E$4:$E$291,'Produktion &amp; forbrug'!$F85)</f>
        <v>0</v>
      </c>
      <c r="I85" s="94">
        <f>SUMIFS('Resultat-Produktion &amp; forbrug'!I$4:I$291,'Resultat-Produktion &amp; forbrug'!$A$4:$A$291,'Produktion &amp; forbrug'!$A85,'Resultat-Produktion &amp; forbrug'!$E$4:$E$291,'Produktion &amp; forbrug'!$F85)</f>
        <v>0</v>
      </c>
      <c r="J85" s="94">
        <f>SUMIFS('Resultat-Produktion &amp; forbrug'!J$4:J$291,'Resultat-Produktion &amp; forbrug'!$A$4:$A$291,'Produktion &amp; forbrug'!$A85,'Resultat-Produktion &amp; forbrug'!$E$4:$E$291,'Produktion &amp; forbrug'!$F85)</f>
        <v>0</v>
      </c>
      <c r="K85" s="94">
        <f>SUMIFS('Resultat-Produktion &amp; forbrug'!K$4:K$291,'Resultat-Produktion &amp; forbrug'!$A$4:$A$291,'Produktion &amp; forbrug'!$A85,'Resultat-Produktion &amp; forbrug'!$E$4:$E$291,'Produktion &amp; forbrug'!$F85)</f>
        <v>0</v>
      </c>
      <c r="L85" s="94">
        <f>SUMIFS('Resultat-Produktion &amp; forbrug'!L$4:L$291,'Resultat-Produktion &amp; forbrug'!$A$4:$A$291,'Produktion &amp; forbrug'!$A85,'Resultat-Produktion &amp; forbrug'!$E$4:$E$291,'Produktion &amp; forbrug'!$F85)</f>
        <v>0</v>
      </c>
      <c r="M85" s="94">
        <f>SUMIFS('Resultat-Produktion &amp; forbrug'!M$4:M$291,'Resultat-Produktion &amp; forbrug'!$A$4:$A$291,'Produktion &amp; forbrug'!$A85,'Resultat-Produktion &amp; forbrug'!$E$4:$E$291,'Produktion &amp; forbrug'!$F85)</f>
        <v>0</v>
      </c>
      <c r="N85" s="94">
        <f>SUMIFS('Resultat-Produktion &amp; forbrug'!N$4:N$291,'Resultat-Produktion &amp; forbrug'!$A$4:$A$291,'Produktion &amp; forbrug'!$A85,'Resultat-Produktion &amp; forbrug'!$E$4:$E$291,'Produktion &amp; forbrug'!$F85)</f>
        <v>0</v>
      </c>
      <c r="O85" s="179">
        <f t="shared" si="17"/>
        <v>0</v>
      </c>
      <c r="P85" s="94">
        <f t="shared" si="18"/>
        <v>0</v>
      </c>
      <c r="Q85" s="180">
        <f t="shared" si="19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IF(A85&lt;&gt;"Biogas",IFERROR(VLOOKUP(A85,[1]Biogasudbytte!$A$2:$B$18,2,FALSE)*[1]Energiindhold!$C$10,0)*K85*IFERROR(VLOOKUP(A85,Biogasanlæg!$F$3:$G$8,2,FALSE),1)+IFERROR(VLOOKUP(A85,[1]Energiindhold!$A$2:$C$11,3,FALSE),0)*M85+IF(F85&lt;&gt;År1,R85,0),0)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20"/>
        <v>0</v>
      </c>
      <c r="V85" s="169">
        <f>P85*IFERROR(VLOOKUP(A85,[1]Tørstofindhold!A$2:B$24,2,FALSE),0)</f>
        <v>0</v>
      </c>
      <c r="W85">
        <f>IF(F85=År1,Q85,SUM(P85,Q85))*IFERROR(VLOOKUP(A85,[1]Tørstofindhold!A$2:B$24,2,FALSE),0)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si="21"/>
        <v>0</v>
      </c>
      <c r="Z85">
        <f t="shared" si="15"/>
        <v>0</v>
      </c>
      <c r="AA85">
        <f t="shared" si="16"/>
        <v>0</v>
      </c>
      <c r="AC85" s="94">
        <f t="shared" si="22"/>
        <v>0</v>
      </c>
      <c r="AD85">
        <f>AC85*E85*10000*VLOOKUP(A85,[1]kcal!$A$2:$C$49,3,FALSE)/1000000000000</f>
        <v>0</v>
      </c>
    </row>
    <row r="86" spans="1:30" x14ac:dyDescent="0.25">
      <c r="A86" s="171" t="str">
        <f t="shared" si="11"/>
        <v>Råmælk</v>
      </c>
      <c r="B86" s="171" t="str">
        <f t="shared" si="12"/>
        <v/>
      </c>
      <c r="C86" s="171" t="str">
        <f>IFERROR(VLOOKUP(A86,'Kategorisering af kcal'!$J$2:$K$18,2,FALSE),"")</f>
        <v/>
      </c>
      <c r="D86" s="171">
        <f>IF(COUNTIFS('Resultater - Danmark'!$D$3:$D$504,'Produktion &amp; forbrug'!A86,'Resultater - Danmark'!$A$3:$A$504,"Til energi")+COUNTIFS('Resultater - Danmark'!$D$3:$D$504,'Produktion &amp; forbrug'!A86,'Resultater - Danmark'!$A$3:$A$504,"Biogasanlæg")&gt;0,1,0)</f>
        <v>0</v>
      </c>
      <c r="E86" s="171">
        <f t="shared" si="14"/>
        <v>0</v>
      </c>
      <c r="F86" s="171">
        <f t="shared" si="13"/>
        <v>2030</v>
      </c>
      <c r="G86" s="94">
        <f>SUMIFS('Resultat-Produktion &amp; forbrug'!G$4:G$291,'Resultat-Produktion &amp; forbrug'!$A$4:$A$291,'Produktion &amp; forbrug'!$A86,'Resultat-Produktion &amp; forbrug'!$E$4:$E$291,'Produktion &amp; forbrug'!$F86)</f>
        <v>3089251.4514141078</v>
      </c>
      <c r="H86" s="94">
        <f>SUMIFS('Resultat-Produktion &amp; forbrug'!H$4:H$291,'Resultat-Produktion &amp; forbrug'!$A$4:$A$291,'Produktion &amp; forbrug'!$A86,'Resultat-Produktion &amp; forbrug'!$E$4:$E$291,'Produktion &amp; forbrug'!$F86)</f>
        <v>0</v>
      </c>
      <c r="I86" s="94">
        <f>SUMIFS('Resultat-Produktion &amp; forbrug'!I$4:I$291,'Resultat-Produktion &amp; forbrug'!$A$4:$A$291,'Produktion &amp; forbrug'!$A86,'Resultat-Produktion &amp; forbrug'!$E$4:$E$291,'Produktion &amp; forbrug'!$F86)</f>
        <v>0</v>
      </c>
      <c r="J86" s="94">
        <f>SUMIFS('Resultat-Produktion &amp; forbrug'!J$4:J$291,'Resultat-Produktion &amp; forbrug'!$A$4:$A$291,'Produktion &amp; forbrug'!$A86,'Resultat-Produktion &amp; forbrug'!$E$4:$E$291,'Produktion &amp; forbrug'!$F86)</f>
        <v>0</v>
      </c>
      <c r="K86" s="94">
        <f>SUMIFS('Resultat-Produktion &amp; forbrug'!K$4:K$291,'Resultat-Produktion &amp; forbrug'!$A$4:$A$291,'Produktion &amp; forbrug'!$A86,'Resultat-Produktion &amp; forbrug'!$E$4:$E$291,'Produktion &amp; forbrug'!$F86)</f>
        <v>0</v>
      </c>
      <c r="L86" s="94">
        <f>SUMIFS('Resultat-Produktion &amp; forbrug'!L$4:L$291,'Resultat-Produktion &amp; forbrug'!$A$4:$A$291,'Produktion &amp; forbrug'!$A86,'Resultat-Produktion &amp; forbrug'!$E$4:$E$291,'Produktion &amp; forbrug'!$F86)</f>
        <v>0</v>
      </c>
      <c r="M86" s="94">
        <f>SUMIFS('Resultat-Produktion &amp; forbrug'!M$4:M$291,'Resultat-Produktion &amp; forbrug'!$A$4:$A$291,'Produktion &amp; forbrug'!$A86,'Resultat-Produktion &amp; forbrug'!$E$4:$E$291,'Produktion &amp; forbrug'!$F86)</f>
        <v>0</v>
      </c>
      <c r="N86" s="94">
        <f>SUMIFS('Resultat-Produktion &amp; forbrug'!N$4:N$291,'Resultat-Produktion &amp; forbrug'!$A$4:$A$291,'Produktion &amp; forbrug'!$A86,'Resultat-Produktion &amp; forbrug'!$E$4:$E$291,'Produktion &amp; forbrug'!$F86)</f>
        <v>0</v>
      </c>
      <c r="O86" s="179">
        <f t="shared" si="17"/>
        <v>3089251.4514141078</v>
      </c>
      <c r="P86" s="94">
        <f t="shared" si="18"/>
        <v>0</v>
      </c>
      <c r="Q86" s="180">
        <f t="shared" si="19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IF(A86&lt;&gt;"Biogas",IFERROR(VLOOKUP(A86,[1]Biogasudbytte!$A$2:$B$18,2,FALSE)*[1]Energiindhold!$C$10,0)*K86*IFERROR(VLOOKUP(A86,Biogasanlæg!$F$3:$G$8,2,FALSE),1)+IFERROR(VLOOKUP(A86,[1]Energiindhold!$A$2:$C$11,3,FALSE),0)*M86+IF(F86&lt;&gt;År1,R86,0),0)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0"/>
        <v>0</v>
      </c>
      <c r="V86" s="169">
        <f>P86*IFERROR(VLOOKUP(A86,[1]Tørstofindhold!A$2:B$24,2,FALSE),0)</f>
        <v>0</v>
      </c>
      <c r="W86">
        <f>IF(F86=År1,Q86,SUM(P86,Q86))*IFERROR(VLOOKUP(A86,[1]Tørstofindhold!A$2:B$24,2,FALSE),0)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1"/>
        <v>0</v>
      </c>
      <c r="Z86">
        <f t="shared" si="15"/>
        <v>0</v>
      </c>
      <c r="AA86">
        <f t="shared" si="16"/>
        <v>1</v>
      </c>
      <c r="AC86" s="94">
        <f t="shared" si="22"/>
        <v>3089251.4514141078</v>
      </c>
      <c r="AD86">
        <f>AC86*E86*10000*VLOOKUP(A86,[1]kcal!$A$2:$C$49,3,FALSE)/1000000000000</f>
        <v>0</v>
      </c>
    </row>
    <row r="87" spans="1:30" x14ac:dyDescent="0.25">
      <c r="A87" s="171" t="str">
        <f t="shared" si="11"/>
        <v>Raps</v>
      </c>
      <c r="B87" s="171" t="str">
        <f t="shared" si="12"/>
        <v/>
      </c>
      <c r="C87" s="171" t="str">
        <f>IFERROR(VLOOKUP(A87,'Kategorisering af kcal'!$J$2:$K$18,2,FALSE),"")</f>
        <v/>
      </c>
      <c r="D87" s="171">
        <f>IF(COUNTIFS('Resultater - Danmark'!$D$3:$D$504,'Produktion &amp; forbrug'!A87,'Resultater - Danmark'!$A$3:$A$504,"Til energi")+COUNTIFS('Resultater - Danmark'!$D$3:$D$504,'Produktion &amp; forbrug'!A87,'Resultater - Danmark'!$A$3:$A$504,"Biogasanlæg")&gt;0,1,0)</f>
        <v>0</v>
      </c>
      <c r="E87" s="171">
        <f t="shared" si="14"/>
        <v>0</v>
      </c>
      <c r="F87" s="171">
        <f t="shared" si="13"/>
        <v>2030</v>
      </c>
      <c r="G87" s="94">
        <f>SUMIFS('Resultat-Produktion &amp; forbrug'!G$4:G$291,'Resultat-Produktion &amp; forbrug'!$A$4:$A$291,'Produktion &amp; forbrug'!$A87,'Resultat-Produktion &amp; forbrug'!$E$4:$E$291,'Produktion &amp; forbrug'!$F87)</f>
        <v>646545.44394551869</v>
      </c>
      <c r="H87" s="94">
        <f>SUMIFS('Resultat-Produktion &amp; forbrug'!H$4:H$291,'Resultat-Produktion &amp; forbrug'!$A$4:$A$291,'Produktion &amp; forbrug'!$A87,'Resultat-Produktion &amp; forbrug'!$E$4:$E$291,'Produktion &amp; forbrug'!$F87)</f>
        <v>0</v>
      </c>
      <c r="I87" s="94">
        <f>SUMIFS('Resultat-Produktion &amp; forbrug'!I$4:I$291,'Resultat-Produktion &amp; forbrug'!$A$4:$A$291,'Produktion &amp; forbrug'!$A87,'Resultat-Produktion &amp; forbrug'!$E$4:$E$291,'Produktion &amp; forbrug'!$F87)</f>
        <v>0</v>
      </c>
      <c r="J87" s="94">
        <f>SUMIFS('Resultat-Produktion &amp; forbrug'!J$4:J$291,'Resultat-Produktion &amp; forbrug'!$A$4:$A$291,'Produktion &amp; forbrug'!$A87,'Resultat-Produktion &amp; forbrug'!$E$4:$E$291,'Produktion &amp; forbrug'!$F87)</f>
        <v>0</v>
      </c>
      <c r="K87" s="94">
        <f>SUMIFS('Resultat-Produktion &amp; forbrug'!K$4:K$291,'Resultat-Produktion &amp; forbrug'!$A$4:$A$291,'Produktion &amp; forbrug'!$A87,'Resultat-Produktion &amp; forbrug'!$E$4:$E$291,'Produktion &amp; forbrug'!$F87)</f>
        <v>0</v>
      </c>
      <c r="L87" s="94">
        <f>SUMIFS('Resultat-Produktion &amp; forbrug'!L$4:L$291,'Resultat-Produktion &amp; forbrug'!$A$4:$A$291,'Produktion &amp; forbrug'!$A87,'Resultat-Produktion &amp; forbrug'!$E$4:$E$291,'Produktion &amp; forbrug'!$F87)</f>
        <v>0</v>
      </c>
      <c r="M87" s="94">
        <f>SUMIFS('Resultat-Produktion &amp; forbrug'!M$4:M$291,'Resultat-Produktion &amp; forbrug'!$A$4:$A$291,'Produktion &amp; forbrug'!$A87,'Resultat-Produktion &amp; forbrug'!$E$4:$E$291,'Produktion &amp; forbrug'!$F87)</f>
        <v>0</v>
      </c>
      <c r="N87" s="94">
        <f>SUMIFS('Resultat-Produktion &amp; forbrug'!N$4:N$291,'Resultat-Produktion &amp; forbrug'!$A$4:$A$291,'Produktion &amp; forbrug'!$A87,'Resultat-Produktion &amp; forbrug'!$E$4:$E$291,'Produktion &amp; forbrug'!$F87)</f>
        <v>646545.44394551869</v>
      </c>
      <c r="O87" s="179">
        <f t="shared" si="17"/>
        <v>0</v>
      </c>
      <c r="P87" s="94">
        <f t="shared" si="18"/>
        <v>0</v>
      </c>
      <c r="Q87" s="180">
        <f t="shared" si="19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IF(A87&lt;&gt;"Biogas",IFERROR(VLOOKUP(A87,[1]Biogasudbytte!$A$2:$B$18,2,FALSE)*[1]Energiindhold!$C$10,0)*K87*IFERROR(VLOOKUP(A87,Biogasanlæg!$F$3:$G$8,2,FALSE),1)+IFERROR(VLOOKUP(A87,[1]Energiindhold!$A$2:$C$11,3,FALSE),0)*M87+IF(F87&lt;&gt;År1,R87,0),0)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0"/>
        <v>0</v>
      </c>
      <c r="V87" s="169">
        <f>P87*IFERROR(VLOOKUP(A87,[1]Tørstofindhold!A$2:B$24,2,FALSE),0)</f>
        <v>0</v>
      </c>
      <c r="W87">
        <f>IF(F87=År1,Q87,SUM(P87,Q87))*IFERROR(VLOOKUP(A87,[1]Tørstofindhold!A$2:B$24,2,FALSE),0)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1"/>
        <v>0</v>
      </c>
      <c r="Z87">
        <f t="shared" si="15"/>
        <v>0</v>
      </c>
      <c r="AA87">
        <f t="shared" si="16"/>
        <v>0</v>
      </c>
      <c r="AC87" s="94">
        <f t="shared" si="22"/>
        <v>646545.44394551869</v>
      </c>
      <c r="AD87">
        <f>AC87*E87*10000*VLOOKUP(A87,[1]kcal!$A$2:$C$49,3,FALSE)/1000000000000</f>
        <v>0</v>
      </c>
    </row>
    <row r="88" spans="1:30" x14ac:dyDescent="0.25">
      <c r="A88" s="171" t="str">
        <f t="shared" si="11"/>
        <v>Rapskage</v>
      </c>
      <c r="B88" s="171" t="str">
        <f t="shared" si="12"/>
        <v/>
      </c>
      <c r="C88" s="171" t="str">
        <f>IFERROR(VLOOKUP(A88,'Kategorisering af kcal'!$J$2:$K$18,2,FALSE),"")</f>
        <v/>
      </c>
      <c r="D88" s="171">
        <f>IF(COUNTIFS('Resultater - Danmark'!$D$3:$D$504,'Produktion &amp; forbrug'!A88,'Resultater - Danmark'!$A$3:$A$504,"Til energi")+COUNTIFS('Resultater - Danmark'!$D$3:$D$504,'Produktion &amp; forbrug'!A88,'Resultater - Danmark'!$A$3:$A$504,"Biogasanlæg")&gt;0,1,0)</f>
        <v>0</v>
      </c>
      <c r="E88" s="171">
        <f t="shared" si="14"/>
        <v>0</v>
      </c>
      <c r="F88" s="171">
        <f t="shared" si="13"/>
        <v>2030</v>
      </c>
      <c r="G88" s="94">
        <f>SUMIFS('Resultat-Produktion &amp; forbrug'!G$4:G$291,'Resultat-Produktion &amp; forbrug'!$A$4:$A$291,'Produktion &amp; forbrug'!$A88,'Resultat-Produktion &amp; forbrug'!$E$4:$E$291,'Produktion &amp; forbrug'!$F88)</f>
        <v>323272.72197275935</v>
      </c>
      <c r="H88" s="94">
        <f>SUMIFS('Resultat-Produktion &amp; forbrug'!H$4:H$291,'Resultat-Produktion &amp; forbrug'!$A$4:$A$291,'Produktion &amp; forbrug'!$A88,'Resultat-Produktion &amp; forbrug'!$E$4:$E$291,'Produktion &amp; forbrug'!$F88)</f>
        <v>162355.24383392438</v>
      </c>
      <c r="I88" s="94">
        <f>SUMIFS('Resultat-Produktion &amp; forbrug'!I$4:I$291,'Resultat-Produktion &amp; forbrug'!$A$4:$A$291,'Produktion &amp; forbrug'!$A88,'Resultat-Produktion &amp; forbrug'!$E$4:$E$291,'Produktion &amp; forbrug'!$F88)</f>
        <v>0</v>
      </c>
      <c r="J88" s="94">
        <f>SUMIFS('Resultat-Produktion &amp; forbrug'!J$4:J$291,'Resultat-Produktion &amp; forbrug'!$A$4:$A$291,'Produktion &amp; forbrug'!$A88,'Resultat-Produktion &amp; forbrug'!$E$4:$E$291,'Produktion &amp; forbrug'!$F88)</f>
        <v>0</v>
      </c>
      <c r="K88" s="94">
        <f>SUMIFS('Resultat-Produktion &amp; forbrug'!K$4:K$291,'Resultat-Produktion &amp; forbrug'!$A$4:$A$291,'Produktion &amp; forbrug'!$A88,'Resultat-Produktion &amp; forbrug'!$E$4:$E$291,'Produktion &amp; forbrug'!$F88)</f>
        <v>0</v>
      </c>
      <c r="L88" s="94">
        <f>SUMIFS('Resultat-Produktion &amp; forbrug'!L$4:L$291,'Resultat-Produktion &amp; forbrug'!$A$4:$A$291,'Produktion &amp; forbrug'!$A88,'Resultat-Produktion &amp; forbrug'!$E$4:$E$291,'Produktion &amp; forbrug'!$F88)</f>
        <v>0</v>
      </c>
      <c r="M88" s="94">
        <f>SUMIFS('Resultat-Produktion &amp; forbrug'!M$4:M$291,'Resultat-Produktion &amp; forbrug'!$A$4:$A$291,'Produktion &amp; forbrug'!$A88,'Resultat-Produktion &amp; forbrug'!$E$4:$E$291,'Produktion &amp; forbrug'!$F88)</f>
        <v>0</v>
      </c>
      <c r="N88" s="94">
        <f>SUMIFS('Resultat-Produktion &amp; forbrug'!N$4:N$291,'Resultat-Produktion &amp; forbrug'!$A$4:$A$291,'Produktion &amp; forbrug'!$A88,'Resultat-Produktion &amp; forbrug'!$E$4:$E$291,'Produktion &amp; forbrug'!$F88)</f>
        <v>0</v>
      </c>
      <c r="O88" s="179">
        <f t="shared" si="17"/>
        <v>160917.47813883497</v>
      </c>
      <c r="P88" s="94">
        <f t="shared" si="18"/>
        <v>0</v>
      </c>
      <c r="Q88" s="180">
        <f t="shared" si="19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IF(A88&lt;&gt;"Biogas",IFERROR(VLOOKUP(A88,[1]Biogasudbytte!$A$2:$B$18,2,FALSE)*[1]Energiindhold!$C$10,0)*K88*IFERROR(VLOOKUP(A88,Biogasanlæg!$F$3:$G$8,2,FALSE),1)+IFERROR(VLOOKUP(A88,[1]Energiindhold!$A$2:$C$11,3,FALSE),0)*M88+IF(F88&lt;&gt;År1,R88,0),0)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0"/>
        <v>0</v>
      </c>
      <c r="V88" s="169">
        <f>P88*IFERROR(VLOOKUP(A88,[1]Tørstofindhold!A$2:B$24,2,FALSE),0)</f>
        <v>0</v>
      </c>
      <c r="W88">
        <f>IF(F88=År1,Q88,SUM(P88,Q88))*IFERROR(VLOOKUP(A88,[1]Tørstofindhold!A$2:B$24,2,FALSE),0)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1"/>
        <v>0</v>
      </c>
      <c r="Z88">
        <f t="shared" si="15"/>
        <v>0</v>
      </c>
      <c r="AA88">
        <f t="shared" si="16"/>
        <v>1</v>
      </c>
      <c r="AC88" s="94">
        <f t="shared" si="22"/>
        <v>160917.47813883497</v>
      </c>
      <c r="AD88">
        <f>AC88*E88*10000*VLOOKUP(A88,[1]kcal!$A$2:$C$49,3,FALSE)/1000000000000</f>
        <v>0</v>
      </c>
    </row>
    <row r="89" spans="1:30" x14ac:dyDescent="0.25">
      <c r="A89" s="171" t="str">
        <f t="shared" si="11"/>
        <v>Rapsolie</v>
      </c>
      <c r="B89" s="171" t="str">
        <f t="shared" si="12"/>
        <v>Rapsolie</v>
      </c>
      <c r="C89" s="171" t="str">
        <f>IFERROR(VLOOKUP(A89,'Kategorisering af kcal'!$J$2:$K$18,2,FALSE),"")</f>
        <v>Olieafgrøder</v>
      </c>
      <c r="D89" s="171">
        <f>IF(COUNTIFS('Resultater - Danmark'!$D$3:$D$504,'Produktion &amp; forbrug'!A89,'Resultater - Danmark'!$A$3:$A$504,"Til energi")+COUNTIFS('Resultater - Danmark'!$D$3:$D$504,'Produktion &amp; forbrug'!A89,'Resultater - Danmark'!$A$3:$A$504,"Biogasanlæg")&gt;0,1,0)</f>
        <v>1</v>
      </c>
      <c r="E89" s="171">
        <f t="shared" si="14"/>
        <v>1</v>
      </c>
      <c r="F89" s="171">
        <f t="shared" si="13"/>
        <v>2030</v>
      </c>
      <c r="G89" s="94">
        <f>SUMIFS('Resultat-Produktion &amp; forbrug'!G$4:G$291,'Resultat-Produktion &amp; forbrug'!$A$4:$A$291,'Produktion &amp; forbrug'!$A89,'Resultat-Produktion &amp; forbrug'!$E$4:$E$291,'Produktion &amp; forbrug'!$F89)</f>
        <v>206894.54206256595</v>
      </c>
      <c r="H89" s="94">
        <f>SUMIFS('Resultat-Produktion &amp; forbrug'!H$4:H$291,'Resultat-Produktion &amp; forbrug'!$A$4:$A$291,'Produktion &amp; forbrug'!$A89,'Resultat-Produktion &amp; forbrug'!$E$4:$E$291,'Produktion &amp; forbrug'!$F89)</f>
        <v>0</v>
      </c>
      <c r="I89" s="94">
        <f>SUMIFS('Resultat-Produktion &amp; forbrug'!I$4:I$291,'Resultat-Produktion &amp; forbrug'!$A$4:$A$291,'Produktion &amp; forbrug'!$A89,'Resultat-Produktion &amp; forbrug'!$E$4:$E$291,'Produktion &amp; forbrug'!$F89)</f>
        <v>0</v>
      </c>
      <c r="J89" s="94">
        <f>SUMIFS('Resultat-Produktion &amp; forbrug'!J$4:J$291,'Resultat-Produktion &amp; forbrug'!$A$4:$A$291,'Produktion &amp; forbrug'!$A89,'Resultat-Produktion &amp; forbrug'!$E$4:$E$291,'Produktion &amp; forbrug'!$F89)</f>
        <v>0</v>
      </c>
      <c r="K89" s="94">
        <f>SUMIFS('Resultat-Produktion &amp; forbrug'!K$4:K$291,'Resultat-Produktion &amp; forbrug'!$A$4:$A$291,'Produktion &amp; forbrug'!$A89,'Resultat-Produktion &amp; forbrug'!$E$4:$E$291,'Produktion &amp; forbrug'!$F89)</f>
        <v>0</v>
      </c>
      <c r="L89" s="94">
        <f>SUMIFS('Resultat-Produktion &amp; forbrug'!L$4:L$291,'Resultat-Produktion &amp; forbrug'!$A$4:$A$291,'Produktion &amp; forbrug'!$A89,'Resultat-Produktion &amp; forbrug'!$E$4:$E$291,'Produktion &amp; forbrug'!$F89)</f>
        <v>0</v>
      </c>
      <c r="M89" s="94">
        <f>SUMIFS('Resultat-Produktion &amp; forbrug'!M$4:M$291,'Resultat-Produktion &amp; forbrug'!$A$4:$A$291,'Produktion &amp; forbrug'!$A89,'Resultat-Produktion &amp; forbrug'!$E$4:$E$291,'Produktion &amp; forbrug'!$F89)</f>
        <v>206894.54206256595</v>
      </c>
      <c r="N89" s="94">
        <f>SUMIFS('Resultat-Produktion &amp; forbrug'!N$4:N$291,'Resultat-Produktion &amp; forbrug'!$A$4:$A$291,'Produktion &amp; forbrug'!$A89,'Resultat-Produktion &amp; forbrug'!$E$4:$E$291,'Produktion &amp; forbrug'!$F89)</f>
        <v>0</v>
      </c>
      <c r="O89" s="179">
        <f t="shared" si="17"/>
        <v>0</v>
      </c>
      <c r="P89" s="94">
        <f t="shared" si="18"/>
        <v>0</v>
      </c>
      <c r="Q89" s="180">
        <f t="shared" si="19"/>
        <v>206894.54206256595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IF(A89&lt;&gt;"Biogas",IFERROR(VLOOKUP(A89,[1]Biogasudbytte!$A$2:$B$18,2,FALSE)*[1]Energiindhold!$C$10,0)*K89*IFERROR(VLOOKUP(A89,Biogasanlæg!$F$3:$G$8,2,FALSE),1)+IFERROR(VLOOKUP(A89,[1]Energiindhold!$A$2:$C$11,3,FALSE),0)*M89+IF(F89&lt;&gt;År1,R89,0),0)</f>
        <v>7.2413089721898078</v>
      </c>
      <c r="T89">
        <f>IFERROR(VLOOKUP(A89,[1]Biogasudbytte!$A$2:$B$18,2,FALSE)*[1]Energiindhold!$C$10,0)*K89*IFERROR(VLOOKUP(A89,Biogasanlæg!$F$3:$G$8,2,FALSE),1)</f>
        <v>0</v>
      </c>
      <c r="U89" s="170">
        <f t="shared" si="20"/>
        <v>7.2413089721898078</v>
      </c>
      <c r="V89" s="169">
        <f>P89*IFERROR(VLOOKUP(A89,[1]Tørstofindhold!A$2:B$24,2,FALSE),0)</f>
        <v>0</v>
      </c>
      <c r="W89">
        <f>IF(F89=År1,Q89,SUM(P89,Q89))*IFERROR(VLOOKUP(A89,[1]Tørstofindhold!A$2:B$24,2,FALSE),0)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1"/>
        <v>0</v>
      </c>
      <c r="Z89">
        <f t="shared" si="15"/>
        <v>0</v>
      </c>
      <c r="AA89">
        <f t="shared" si="16"/>
        <v>0</v>
      </c>
      <c r="AC89" s="94">
        <f t="shared" si="22"/>
        <v>206894.54206256595</v>
      </c>
      <c r="AD89">
        <f>AC89*E89*10000*VLOOKUP(A89,[1]kcal!$A$2:$C$49,3,FALSE)/1000000000000</f>
        <v>1.8620508785630936</v>
      </c>
    </row>
    <row r="90" spans="1:30" x14ac:dyDescent="0.25">
      <c r="A90" s="171" t="str">
        <f t="shared" si="11"/>
        <v>Roer</v>
      </c>
      <c r="B90" s="171" t="str">
        <f t="shared" si="12"/>
        <v>Græs og urter</v>
      </c>
      <c r="C90" s="171" t="str">
        <f>IFERROR(VLOOKUP(A90,'Kategorisering af kcal'!$J$2:$K$18,2,FALSE),"")</f>
        <v>Roer</v>
      </c>
      <c r="D90" s="171">
        <f>IF(COUNTIFS('Resultater - Danmark'!$D$3:$D$504,'Produktion &amp; forbrug'!A90,'Resultater - Danmark'!$A$3:$A$504,"Til energi")+COUNTIFS('Resultater - Danmark'!$D$3:$D$504,'Produktion &amp; forbrug'!A90,'Resultater - Danmark'!$A$3:$A$504,"Biogasanlæg")&gt;0,1,0)</f>
        <v>1</v>
      </c>
      <c r="E90" s="171">
        <f t="shared" si="14"/>
        <v>1</v>
      </c>
      <c r="F90" s="171">
        <f t="shared" si="13"/>
        <v>2030</v>
      </c>
      <c r="G90" s="94">
        <f>SUMIFS('Resultat-Produktion &amp; forbrug'!G$4:G$291,'Resultat-Produktion &amp; forbrug'!$A$4:$A$291,'Produktion &amp; forbrug'!$A90,'Resultat-Produktion &amp; forbrug'!$E$4:$E$291,'Produktion &amp; forbrug'!$F90)</f>
        <v>2425479.9560970063</v>
      </c>
      <c r="H90" s="94">
        <f>SUMIFS('Resultat-Produktion &amp; forbrug'!H$4:H$291,'Resultat-Produktion &amp; forbrug'!$A$4:$A$291,'Produktion &amp; forbrug'!$A90,'Resultat-Produktion &amp; forbrug'!$E$4:$E$291,'Produktion &amp; forbrug'!$F90)</f>
        <v>637872.69439353561</v>
      </c>
      <c r="I90" s="94">
        <f>SUMIFS('Resultat-Produktion &amp; forbrug'!I$4:I$291,'Resultat-Produktion &amp; forbrug'!$A$4:$A$291,'Produktion &amp; forbrug'!$A90,'Resultat-Produktion &amp; forbrug'!$E$4:$E$291,'Produktion &amp; forbrug'!$F90)</f>
        <v>0</v>
      </c>
      <c r="J90" s="94">
        <f>SUMIFS('Resultat-Produktion &amp; forbrug'!J$4:J$291,'Resultat-Produktion &amp; forbrug'!$A$4:$A$291,'Produktion &amp; forbrug'!$A90,'Resultat-Produktion &amp; forbrug'!$E$4:$E$291,'Produktion &amp; forbrug'!$F90)</f>
        <v>0</v>
      </c>
      <c r="K90" s="94">
        <f>SUMIFS('Resultat-Produktion &amp; forbrug'!K$4:K$291,'Resultat-Produktion &amp; forbrug'!$A$4:$A$291,'Produktion &amp; forbrug'!$A90,'Resultat-Produktion &amp; forbrug'!$E$4:$E$291,'Produktion &amp; forbrug'!$F90)</f>
        <v>0</v>
      </c>
      <c r="L90" s="94">
        <f>SUMIFS('Resultat-Produktion &amp; forbrug'!L$4:L$291,'Resultat-Produktion &amp; forbrug'!$A$4:$A$291,'Produktion &amp; forbrug'!$A90,'Resultat-Produktion &amp; forbrug'!$E$4:$E$291,'Produktion &amp; forbrug'!$F90)</f>
        <v>0</v>
      </c>
      <c r="M90" s="94">
        <f>SUMIFS('Resultat-Produktion &amp; forbrug'!M$4:M$291,'Resultat-Produktion &amp; forbrug'!$A$4:$A$291,'Produktion &amp; forbrug'!$A90,'Resultat-Produktion &amp; forbrug'!$E$4:$E$291,'Produktion &amp; forbrug'!$F90)</f>
        <v>0</v>
      </c>
      <c r="N90" s="94">
        <f>SUMIFS('Resultat-Produktion &amp; forbrug'!N$4:N$291,'Resultat-Produktion &amp; forbrug'!$A$4:$A$291,'Produktion &amp; forbrug'!$A90,'Resultat-Produktion &amp; forbrug'!$E$4:$E$291,'Produktion &amp; forbrug'!$F90)</f>
        <v>0</v>
      </c>
      <c r="O90" s="179">
        <f t="shared" si="17"/>
        <v>1787607.2617034707</v>
      </c>
      <c r="P90" s="94">
        <f t="shared" si="18"/>
        <v>1787607.2617034707</v>
      </c>
      <c r="Q90" s="180">
        <f t="shared" si="19"/>
        <v>0</v>
      </c>
      <c r="R90">
        <f>IFERROR(VLOOKUP(A90,[1]Energiindhold!$A$2:$C$11,3,FALSE),IFERROR(VLOOKUP(A90,[1]Biogasudbytte!$A$2:$B$18,2,FALSE)*[1]Energiindhold!$C$10,0))*P90</f>
        <v>4.851637612553688</v>
      </c>
      <c r="S90">
        <f>IF(A90&lt;&gt;"Biogas",IFERROR(VLOOKUP(A90,[1]Biogasudbytte!$A$2:$B$18,2,FALSE)*[1]Energiindhold!$C$10,0)*K90*IFERROR(VLOOKUP(A90,Biogasanlæg!$F$3:$G$8,2,FALSE),1)+IFERROR(VLOOKUP(A90,[1]Energiindhold!$A$2:$C$11,3,FALSE),0)*M90+IF(F90&lt;&gt;År1,R90,0),0)</f>
        <v>4.851637612553688</v>
      </c>
      <c r="T90">
        <f>IFERROR(VLOOKUP(A90,[1]Biogasudbytte!$A$2:$B$18,2,FALSE)*[1]Energiindhold!$C$10,0)*K90*IFERROR(VLOOKUP(A90,Biogasanlæg!$F$3:$G$8,2,FALSE),1)</f>
        <v>0</v>
      </c>
      <c r="U90" s="170">
        <f t="shared" si="20"/>
        <v>4.851637612553688</v>
      </c>
      <c r="V90" s="169">
        <f>P90*IFERROR(VLOOKUP(A90,[1]Tørstofindhold!A$2:B$24,2,FALSE),0)</f>
        <v>357521.45234069414</v>
      </c>
      <c r="W90">
        <f>IF(F90=År1,Q90,SUM(P90,Q90))*IFERROR(VLOOKUP(A90,[1]Tørstofindhold!A$2:B$24,2,FALSE),0)</f>
        <v>357521.45234069414</v>
      </c>
      <c r="X90">
        <f>K90*IFERROR(VLOOKUP(A90,[1]Tørstofindhold!A$2:B$24,2,FALSE),0)</f>
        <v>0</v>
      </c>
      <c r="Y90" s="170">
        <f t="shared" si="21"/>
        <v>357521.45234069414</v>
      </c>
      <c r="Z90">
        <f t="shared" si="15"/>
        <v>0</v>
      </c>
      <c r="AA90">
        <f t="shared" si="16"/>
        <v>1</v>
      </c>
      <c r="AC90" s="94">
        <f t="shared" si="22"/>
        <v>1787607.2617034707</v>
      </c>
      <c r="AD90">
        <f>AC90*E90*10000*VLOOKUP(A90,[1]kcal!$A$2:$C$49,3,FALSE)/1000000000000</f>
        <v>0.53628217851104121</v>
      </c>
    </row>
    <row r="91" spans="1:30" x14ac:dyDescent="0.25">
      <c r="A91" s="171" t="str">
        <f t="shared" si="11"/>
        <v>Slagteriaffald til andet</v>
      </c>
      <c r="B91" s="171" t="str">
        <f t="shared" si="12"/>
        <v/>
      </c>
      <c r="C91" s="171" t="str">
        <f>IFERROR(VLOOKUP(A91,'Kategorisering af kcal'!$J$2:$K$18,2,FALSE),"")</f>
        <v/>
      </c>
      <c r="D91" s="171">
        <f>IF(COUNTIFS('Resultater - Danmark'!$D$3:$D$504,'Produktion &amp; forbrug'!A91,'Resultater - Danmark'!$A$3:$A$504,"Til energi")+COUNTIFS('Resultater - Danmark'!$D$3:$D$504,'Produktion &amp; forbrug'!A91,'Resultater - Danmark'!$A$3:$A$504,"Biogasanlæg")&gt;0,1,0)</f>
        <v>0</v>
      </c>
      <c r="E91" s="171">
        <f t="shared" si="14"/>
        <v>0</v>
      </c>
      <c r="F91" s="171">
        <f t="shared" si="13"/>
        <v>2030</v>
      </c>
      <c r="G91" s="94">
        <f>SUMIFS('Resultat-Produktion &amp; forbrug'!G$4:G$291,'Resultat-Produktion &amp; forbrug'!$A$4:$A$291,'Produktion &amp; forbrug'!$A91,'Resultat-Produktion &amp; forbrug'!$E$4:$E$291,'Produktion &amp; forbrug'!$F91)</f>
        <v>112106.64759676083</v>
      </c>
      <c r="H91" s="94">
        <f>SUMIFS('Resultat-Produktion &amp; forbrug'!H$4:H$291,'Resultat-Produktion &amp; forbrug'!$A$4:$A$291,'Produktion &amp; forbrug'!$A91,'Resultat-Produktion &amp; forbrug'!$E$4:$E$291,'Produktion &amp; forbrug'!$F91)</f>
        <v>0</v>
      </c>
      <c r="I91" s="94">
        <f>SUMIFS('Resultat-Produktion &amp; forbrug'!I$4:I$291,'Resultat-Produktion &amp; forbrug'!$A$4:$A$291,'Produktion &amp; forbrug'!$A91,'Resultat-Produktion &amp; forbrug'!$E$4:$E$291,'Produktion &amp; forbrug'!$F91)</f>
        <v>0</v>
      </c>
      <c r="J91" s="94">
        <f>SUMIFS('Resultat-Produktion &amp; forbrug'!J$4:J$291,'Resultat-Produktion &amp; forbrug'!$A$4:$A$291,'Produktion &amp; forbrug'!$A91,'Resultat-Produktion &amp; forbrug'!$E$4:$E$291,'Produktion &amp; forbrug'!$F91)</f>
        <v>0</v>
      </c>
      <c r="K91" s="94">
        <f>SUMIFS('Resultat-Produktion &amp; forbrug'!K$4:K$291,'Resultat-Produktion &amp; forbrug'!$A$4:$A$291,'Produktion &amp; forbrug'!$A91,'Resultat-Produktion &amp; forbrug'!$E$4:$E$291,'Produktion &amp; forbrug'!$F91)</f>
        <v>0</v>
      </c>
      <c r="L91" s="94">
        <f>SUMIFS('Resultat-Produktion &amp; forbrug'!L$4:L$291,'Resultat-Produktion &amp; forbrug'!$A$4:$A$291,'Produktion &amp; forbrug'!$A91,'Resultat-Produktion &amp; forbrug'!$E$4:$E$291,'Produktion &amp; forbrug'!$F91)</f>
        <v>0</v>
      </c>
      <c r="M91" s="94">
        <f>SUMIFS('Resultat-Produktion &amp; forbrug'!M$4:M$291,'Resultat-Produktion &amp; forbrug'!$A$4:$A$291,'Produktion &amp; forbrug'!$A91,'Resultat-Produktion &amp; forbrug'!$E$4:$E$291,'Produktion &amp; forbrug'!$F91)</f>
        <v>0</v>
      </c>
      <c r="N91" s="94">
        <f>SUMIFS('Resultat-Produktion &amp; forbrug'!N$4:N$291,'Resultat-Produktion &amp; forbrug'!$A$4:$A$291,'Produktion &amp; forbrug'!$A91,'Resultat-Produktion &amp; forbrug'!$E$4:$E$291,'Produktion &amp; forbrug'!$F91)</f>
        <v>0</v>
      </c>
      <c r="O91" s="179">
        <f t="shared" si="17"/>
        <v>112106.64759676083</v>
      </c>
      <c r="P91" s="94">
        <f t="shared" si="18"/>
        <v>0</v>
      </c>
      <c r="Q91" s="180">
        <f t="shared" si="19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IF(A91&lt;&gt;"Biogas",IFERROR(VLOOKUP(A91,[1]Biogasudbytte!$A$2:$B$18,2,FALSE)*[1]Energiindhold!$C$10,0)*K91*IFERROR(VLOOKUP(A91,Biogasanlæg!$F$3:$G$8,2,FALSE),1)+IFERROR(VLOOKUP(A91,[1]Energiindhold!$A$2:$C$11,3,FALSE),0)*M91+IF(F91&lt;&gt;År1,R91,0),0)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0"/>
        <v>0</v>
      </c>
      <c r="V91" s="169">
        <f>P91*IFERROR(VLOOKUP(A91,[1]Tørstofindhold!A$2:B$24,2,FALSE),0)</f>
        <v>0</v>
      </c>
      <c r="W91">
        <f>IF(F91=År1,Q91,SUM(P91,Q91))*IFERROR(VLOOKUP(A91,[1]Tørstofindhold!A$2:B$24,2,FALSE),0)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1"/>
        <v>0</v>
      </c>
      <c r="Z91">
        <f t="shared" si="15"/>
        <v>0</v>
      </c>
      <c r="AA91">
        <f t="shared" si="16"/>
        <v>1</v>
      </c>
      <c r="AC91" s="94">
        <f t="shared" si="22"/>
        <v>112106.64759676083</v>
      </c>
      <c r="AD91">
        <f>AC91*E91*10000*VLOOKUP(A91,[1]kcal!$A$2:$C$49,3,FALSE)/1000000000000</f>
        <v>0</v>
      </c>
    </row>
    <row r="92" spans="1:30" x14ac:dyDescent="0.25">
      <c r="A92" s="171" t="str">
        <f t="shared" si="11"/>
        <v>Slagteriaffald til foder</v>
      </c>
      <c r="B92" s="171" t="str">
        <f t="shared" si="12"/>
        <v/>
      </c>
      <c r="C92" s="171" t="str">
        <f>IFERROR(VLOOKUP(A92,'Kategorisering af kcal'!$J$2:$K$18,2,FALSE),"")</f>
        <v/>
      </c>
      <c r="D92" s="171">
        <f>IF(COUNTIFS('Resultater - Danmark'!$D$3:$D$504,'Produktion &amp; forbrug'!A92,'Resultater - Danmark'!$A$3:$A$504,"Til energi")+COUNTIFS('Resultater - Danmark'!$D$3:$D$504,'Produktion &amp; forbrug'!A92,'Resultater - Danmark'!$A$3:$A$504,"Biogasanlæg")&gt;0,1,0)</f>
        <v>0</v>
      </c>
      <c r="E92" s="171">
        <f t="shared" si="14"/>
        <v>0</v>
      </c>
      <c r="F92" s="171">
        <f t="shared" si="13"/>
        <v>2030</v>
      </c>
      <c r="G92" s="94">
        <f>SUMIFS('Resultat-Produktion &amp; forbrug'!G$4:G$291,'Resultat-Produktion &amp; forbrug'!$A$4:$A$291,'Produktion &amp; forbrug'!$A92,'Resultat-Produktion &amp; forbrug'!$E$4:$E$291,'Produktion &amp; forbrug'!$F92)</f>
        <v>77348.512186070526</v>
      </c>
      <c r="H92" s="94">
        <f>SUMIFS('Resultat-Produktion &amp; forbrug'!H$4:H$291,'Resultat-Produktion &amp; forbrug'!$A$4:$A$291,'Produktion &amp; forbrug'!$A92,'Resultat-Produktion &amp; forbrug'!$E$4:$E$291,'Produktion &amp; forbrug'!$F92)</f>
        <v>29889.668320889847</v>
      </c>
      <c r="I92" s="94">
        <f>SUMIFS('Resultat-Produktion &amp; forbrug'!I$4:I$291,'Resultat-Produktion &amp; forbrug'!$A$4:$A$291,'Produktion &amp; forbrug'!$A92,'Resultat-Produktion &amp; forbrug'!$E$4:$E$291,'Produktion &amp; forbrug'!$F92)</f>
        <v>0</v>
      </c>
      <c r="J92" s="94">
        <f>SUMIFS('Resultat-Produktion &amp; forbrug'!J$4:J$291,'Resultat-Produktion &amp; forbrug'!$A$4:$A$291,'Produktion &amp; forbrug'!$A92,'Resultat-Produktion &amp; forbrug'!$E$4:$E$291,'Produktion &amp; forbrug'!$F92)</f>
        <v>0</v>
      </c>
      <c r="K92" s="94">
        <f>SUMIFS('Resultat-Produktion &amp; forbrug'!K$4:K$291,'Resultat-Produktion &amp; forbrug'!$A$4:$A$291,'Produktion &amp; forbrug'!$A92,'Resultat-Produktion &amp; forbrug'!$E$4:$E$291,'Produktion &amp; forbrug'!$F92)</f>
        <v>0</v>
      </c>
      <c r="L92" s="94">
        <f>SUMIFS('Resultat-Produktion &amp; forbrug'!L$4:L$291,'Resultat-Produktion &amp; forbrug'!$A$4:$A$291,'Produktion &amp; forbrug'!$A92,'Resultat-Produktion &amp; forbrug'!$E$4:$E$291,'Produktion &amp; forbrug'!$F92)</f>
        <v>0</v>
      </c>
      <c r="M92" s="94">
        <f>SUMIFS('Resultat-Produktion &amp; forbrug'!M$4:M$291,'Resultat-Produktion &amp; forbrug'!$A$4:$A$291,'Produktion &amp; forbrug'!$A92,'Resultat-Produktion &amp; forbrug'!$E$4:$E$291,'Produktion &amp; forbrug'!$F92)</f>
        <v>0</v>
      </c>
      <c r="N92" s="94">
        <f>SUMIFS('Resultat-Produktion &amp; forbrug'!N$4:N$291,'Resultat-Produktion &amp; forbrug'!$A$4:$A$291,'Produktion &amp; forbrug'!$A92,'Resultat-Produktion &amp; forbrug'!$E$4:$E$291,'Produktion &amp; forbrug'!$F92)</f>
        <v>0</v>
      </c>
      <c r="O92" s="179">
        <f t="shared" si="17"/>
        <v>47458.843865180679</v>
      </c>
      <c r="P92" s="94">
        <f t="shared" si="18"/>
        <v>0</v>
      </c>
      <c r="Q92" s="180">
        <f t="shared" si="19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IF(A92&lt;&gt;"Biogas",IFERROR(VLOOKUP(A92,[1]Biogasudbytte!$A$2:$B$18,2,FALSE)*[1]Energiindhold!$C$10,0)*K92*IFERROR(VLOOKUP(A92,Biogasanlæg!$F$3:$G$8,2,FALSE),1)+IFERROR(VLOOKUP(A92,[1]Energiindhold!$A$2:$C$11,3,FALSE),0)*M92+IF(F92&lt;&gt;År1,R92,0),0)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0"/>
        <v>0</v>
      </c>
      <c r="V92" s="169">
        <f>P92*IFERROR(VLOOKUP(A92,[1]Tørstofindhold!A$2:B$24,2,FALSE),0)</f>
        <v>0</v>
      </c>
      <c r="W92">
        <f>IF(F92=År1,Q92,SUM(P92,Q92))*IFERROR(VLOOKUP(A92,[1]Tørstofindhold!A$2:B$24,2,FALSE),0)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1"/>
        <v>0</v>
      </c>
      <c r="Z92">
        <f t="shared" si="15"/>
        <v>0</v>
      </c>
      <c r="AA92">
        <f t="shared" si="16"/>
        <v>1</v>
      </c>
      <c r="AC92" s="94">
        <f t="shared" si="22"/>
        <v>47458.843865180679</v>
      </c>
      <c r="AD92">
        <f>AC92*E92*10000*VLOOKUP(A92,[1]kcal!$A$2:$C$49,3,FALSE)/1000000000000</f>
        <v>0</v>
      </c>
    </row>
    <row r="93" spans="1:30" x14ac:dyDescent="0.25">
      <c r="A93" s="171" t="str">
        <f t="shared" si="11"/>
        <v>Spildevandsslam</v>
      </c>
      <c r="B93" s="171" t="str">
        <f t="shared" si="12"/>
        <v>Bionedbrydeligt affald</v>
      </c>
      <c r="C93" s="171" t="str">
        <f>IFERROR(VLOOKUP(A93,'Kategorisering af kcal'!$J$2:$K$18,2,FALSE),"")</f>
        <v/>
      </c>
      <c r="D93" s="171">
        <f>IF(COUNTIFS('Resultater - Danmark'!$D$3:$D$504,'Produktion &amp; forbrug'!A93,'Resultater - Danmark'!$A$3:$A$504,"Til energi")+COUNTIFS('Resultater - Danmark'!$D$3:$D$504,'Produktion &amp; forbrug'!A93,'Resultater - Danmark'!$A$3:$A$504,"Biogasanlæg")&gt;0,1,0)</f>
        <v>1</v>
      </c>
      <c r="E93" s="171">
        <f t="shared" si="14"/>
        <v>0</v>
      </c>
      <c r="F93" s="171">
        <f t="shared" si="13"/>
        <v>2030</v>
      </c>
      <c r="G93" s="94">
        <f>SUMIFS('Resultat-Produktion &amp; forbrug'!G$4:G$291,'Resultat-Produktion &amp; forbrug'!$A$4:$A$291,'Produktion &amp; forbrug'!$A93,'Resultat-Produktion &amp; forbrug'!$E$4:$E$291,'Produktion &amp; forbrug'!$F93)</f>
        <v>7264781.5587016549</v>
      </c>
      <c r="H93" s="94">
        <f>SUMIFS('Resultat-Produktion &amp; forbrug'!H$4:H$291,'Resultat-Produktion &amp; forbrug'!$A$4:$A$291,'Produktion &amp; forbrug'!$A93,'Resultat-Produktion &amp; forbrug'!$E$4:$E$291,'Produktion &amp; forbrug'!$F93)</f>
        <v>0</v>
      </c>
      <c r="I93" s="94">
        <f>SUMIFS('Resultat-Produktion &amp; forbrug'!I$4:I$291,'Resultat-Produktion &amp; forbrug'!$A$4:$A$291,'Produktion &amp; forbrug'!$A93,'Resultat-Produktion &amp; forbrug'!$E$4:$E$291,'Produktion &amp; forbrug'!$F93)</f>
        <v>0</v>
      </c>
      <c r="J93" s="94">
        <f>SUMIFS('Resultat-Produktion &amp; forbrug'!J$4:J$291,'Resultat-Produktion &amp; forbrug'!$A$4:$A$291,'Produktion &amp; forbrug'!$A93,'Resultat-Produktion &amp; forbrug'!$E$4:$E$291,'Produktion &amp; forbrug'!$F93)</f>
        <v>0</v>
      </c>
      <c r="K93" s="94">
        <f>SUMIFS('Resultat-Produktion &amp; forbrug'!K$4:K$291,'Resultat-Produktion &amp; forbrug'!$A$4:$A$291,'Produktion &amp; forbrug'!$A93,'Resultat-Produktion &amp; forbrug'!$E$4:$E$291,'Produktion &amp; forbrug'!$F93)</f>
        <v>5448586.1690262407</v>
      </c>
      <c r="L93" s="94">
        <f>SUMIFS('Resultat-Produktion &amp; forbrug'!L$4:L$291,'Resultat-Produktion &amp; forbrug'!$A$4:$A$291,'Produktion &amp; forbrug'!$A93,'Resultat-Produktion &amp; forbrug'!$E$4:$E$291,'Produktion &amp; forbrug'!$F93)</f>
        <v>0</v>
      </c>
      <c r="M93" s="94">
        <f>SUMIFS('Resultat-Produktion &amp; forbrug'!M$4:M$291,'Resultat-Produktion &amp; forbrug'!$A$4:$A$291,'Produktion &amp; forbrug'!$A93,'Resultat-Produktion &amp; forbrug'!$E$4:$E$291,'Produktion &amp; forbrug'!$F93)</f>
        <v>0</v>
      </c>
      <c r="N93" s="94">
        <f>SUMIFS('Resultat-Produktion &amp; forbrug'!N$4:N$291,'Resultat-Produktion &amp; forbrug'!$A$4:$A$291,'Produktion &amp; forbrug'!$A93,'Resultat-Produktion &amp; forbrug'!$E$4:$E$291,'Produktion &amp; forbrug'!$F93)</f>
        <v>0</v>
      </c>
      <c r="O93" s="179">
        <f t="shared" si="17"/>
        <v>1816195.3896754142</v>
      </c>
      <c r="P93" s="94">
        <f t="shared" si="18"/>
        <v>1816195.3896754142</v>
      </c>
      <c r="Q93" s="180">
        <f t="shared" si="19"/>
        <v>5448586.1690262407</v>
      </c>
      <c r="R93">
        <f>IFERROR(VLOOKUP(A93,[1]Energiindhold!$A$2:$C$11,3,FALSE),IFERROR(VLOOKUP(A93,[1]Biogasudbytte!$A$2:$B$18,2,FALSE)*[1]Energiindhold!$C$10,0))*P93</f>
        <v>0.90629966140192852</v>
      </c>
      <c r="S93">
        <f>IF(A93&lt;&gt;"Biogas",IFERROR(VLOOKUP(A93,[1]Biogasudbytte!$A$2:$B$18,2,FALSE)*[1]Energiindhold!$C$10,0)*K93*IFERROR(VLOOKUP(A93,Biogasanlæg!$F$3:$G$8,2,FALSE),1)+IFERROR(VLOOKUP(A93,[1]Energiindhold!$A$2:$C$11,3,FALSE),0)*M93+IF(F93&lt;&gt;År1,R93,0),0)</f>
        <v>3.6251986456077132</v>
      </c>
      <c r="T93">
        <f>IFERROR(VLOOKUP(A93,[1]Biogasudbytte!$A$2:$B$18,2,FALSE)*[1]Energiindhold!$C$10,0)*K93*IFERROR(VLOOKUP(A93,Biogasanlæg!$F$3:$G$8,2,FALSE),1)</f>
        <v>2.7188989842057847</v>
      </c>
      <c r="U93" s="170">
        <f t="shared" si="20"/>
        <v>0.90629966140192852</v>
      </c>
      <c r="V93" s="169">
        <f>P93*IFERROR(VLOOKUP(A93,[1]Tørstofindhold!A$2:B$24,2,FALSE),0)</f>
        <v>108971.72338052485</v>
      </c>
      <c r="W93">
        <f>IF(F93=År1,Q93,SUM(P93,Q93))*IFERROR(VLOOKUP(A93,[1]Tørstofindhold!A$2:B$24,2,FALSE),0)</f>
        <v>435886.8935220993</v>
      </c>
      <c r="X93">
        <f>K93*IFERROR(VLOOKUP(A93,[1]Tørstofindhold!A$2:B$24,2,FALSE),0)</f>
        <v>326915.1701415744</v>
      </c>
      <c r="Y93" s="170">
        <f t="shared" si="21"/>
        <v>108971.7233805249</v>
      </c>
      <c r="Z93">
        <f t="shared" si="15"/>
        <v>0</v>
      </c>
      <c r="AA93">
        <f t="shared" si="16"/>
        <v>1</v>
      </c>
      <c r="AC93" s="94">
        <f t="shared" si="22"/>
        <v>1816195.3896754142</v>
      </c>
      <c r="AD93">
        <f>AC93*E93*10000*VLOOKUP(A93,[1]kcal!$A$2:$C$49,3,FALSE)/1000000000000</f>
        <v>0</v>
      </c>
    </row>
    <row r="94" spans="1:30" x14ac:dyDescent="0.25">
      <c r="A94" s="171" t="str">
        <f t="shared" si="11"/>
        <v>Svinegylle</v>
      </c>
      <c r="B94" s="171" t="str">
        <f t="shared" si="12"/>
        <v>Husdyrgødning</v>
      </c>
      <c r="C94" s="171" t="str">
        <f>IFERROR(VLOOKUP(A94,'Kategorisering af kcal'!$J$2:$K$18,2,FALSE),"")</f>
        <v/>
      </c>
      <c r="D94" s="171">
        <f>IF(COUNTIFS('Resultater - Danmark'!$D$3:$D$504,'Produktion &amp; forbrug'!A94,'Resultater - Danmark'!$A$3:$A$504,"Til energi")+COUNTIFS('Resultater - Danmark'!$D$3:$D$504,'Produktion &amp; forbrug'!A94,'Resultater - Danmark'!$A$3:$A$504,"Biogasanlæg")&gt;0,1,0)</f>
        <v>1</v>
      </c>
      <c r="E94" s="171">
        <f t="shared" si="14"/>
        <v>0</v>
      </c>
      <c r="F94" s="171">
        <f t="shared" si="13"/>
        <v>2030</v>
      </c>
      <c r="G94" s="94">
        <f>SUMIFS('Resultat-Produktion &amp; forbrug'!G$4:G$291,'Resultat-Produktion &amp; forbrug'!$A$4:$A$291,'Produktion &amp; forbrug'!$A94,'Resultat-Produktion &amp; forbrug'!$E$4:$E$291,'Produktion &amp; forbrug'!$F94)</f>
        <v>7620454.8013354614</v>
      </c>
      <c r="H94" s="94">
        <f>SUMIFS('Resultat-Produktion &amp; forbrug'!H$4:H$291,'Resultat-Produktion &amp; forbrug'!$A$4:$A$291,'Produktion &amp; forbrug'!$A94,'Resultat-Produktion &amp; forbrug'!$E$4:$E$291,'Produktion &amp; forbrug'!$F94)</f>
        <v>0</v>
      </c>
      <c r="I94" s="94">
        <f>SUMIFS('Resultat-Produktion &amp; forbrug'!I$4:I$291,'Resultat-Produktion &amp; forbrug'!$A$4:$A$291,'Produktion &amp; forbrug'!$A94,'Resultat-Produktion &amp; forbrug'!$E$4:$E$291,'Produktion &amp; forbrug'!$F94)</f>
        <v>0</v>
      </c>
      <c r="J94" s="94">
        <f>SUMIFS('Resultat-Produktion &amp; forbrug'!J$4:J$291,'Resultat-Produktion &amp; forbrug'!$A$4:$A$291,'Produktion &amp; forbrug'!$A94,'Resultat-Produktion &amp; forbrug'!$E$4:$E$291,'Produktion &amp; forbrug'!$F94)</f>
        <v>0</v>
      </c>
      <c r="K94" s="94">
        <f>SUMIFS('Resultat-Produktion &amp; forbrug'!K$4:K$291,'Resultat-Produktion &amp; forbrug'!$A$4:$A$291,'Produktion &amp; forbrug'!$A94,'Resultat-Produktion &amp; forbrug'!$E$4:$E$291,'Produktion &amp; forbrug'!$F94)</f>
        <v>5715341.1010015961</v>
      </c>
      <c r="L94" s="94">
        <f>SUMIFS('Resultat-Produktion &amp; forbrug'!L$4:L$291,'Resultat-Produktion &amp; forbrug'!$A$4:$A$291,'Produktion &amp; forbrug'!$A94,'Resultat-Produktion &amp; forbrug'!$E$4:$E$291,'Produktion &amp; forbrug'!$F94)</f>
        <v>1905113.7003338654</v>
      </c>
      <c r="M94" s="94">
        <f>SUMIFS('Resultat-Produktion &amp; forbrug'!M$4:M$291,'Resultat-Produktion &amp; forbrug'!$A$4:$A$291,'Produktion &amp; forbrug'!$A94,'Resultat-Produktion &amp; forbrug'!$E$4:$E$291,'Produktion &amp; forbrug'!$F94)</f>
        <v>0</v>
      </c>
      <c r="N94" s="94">
        <f>SUMIFS('Resultat-Produktion &amp; forbrug'!N$4:N$291,'Resultat-Produktion &amp; forbrug'!$A$4:$A$291,'Produktion &amp; forbrug'!$A94,'Resultat-Produktion &amp; forbrug'!$E$4:$E$291,'Produktion &amp; forbrug'!$F94)</f>
        <v>0</v>
      </c>
      <c r="O94" s="179">
        <f t="shared" si="17"/>
        <v>0</v>
      </c>
      <c r="P94" s="94">
        <f t="shared" si="18"/>
        <v>0</v>
      </c>
      <c r="Q94" s="180">
        <f t="shared" si="19"/>
        <v>5715341.1010015961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IF(A94&lt;&gt;"Biogas",IFERROR(VLOOKUP(A94,[1]Biogasudbytte!$A$2:$B$18,2,FALSE)*[1]Energiindhold!$C$10,0)*K94*IFERROR(VLOOKUP(A94,Biogasanlæg!$F$3:$G$8,2,FALSE),1)+IFERROR(VLOOKUP(A94,[1]Energiindhold!$A$2:$C$11,3,FALSE),0)*M94+IF(F94&lt;&gt;År1,R94,0),0)</f>
        <v>2.462168946311488</v>
      </c>
      <c r="T94">
        <f>IFERROR(VLOOKUP(A94,[1]Biogasudbytte!$A$2:$B$18,2,FALSE)*[1]Energiindhold!$C$10,0)*K94*IFERROR(VLOOKUP(A94,Biogasanlæg!$F$3:$G$8,2,FALSE),1)</f>
        <v>2.462168946311488</v>
      </c>
      <c r="U94" s="170">
        <f t="shared" si="20"/>
        <v>0</v>
      </c>
      <c r="V94" s="169">
        <f>P94*IFERROR(VLOOKUP(A94,[1]Tørstofindhold!A$2:B$24,2,FALSE),0)</f>
        <v>0</v>
      </c>
      <c r="W94">
        <f>IF(F94=År1,Q94,SUM(P94,Q94))*IFERROR(VLOOKUP(A94,[1]Tørstofindhold!A$2:B$24,2,FALSE),0)</f>
        <v>285767.05505007983</v>
      </c>
      <c r="X94">
        <f>K94*IFERROR(VLOOKUP(A94,[1]Tørstofindhold!A$2:B$24,2,FALSE),0)</f>
        <v>285767.05505007983</v>
      </c>
      <c r="Y94" s="170">
        <f t="shared" si="21"/>
        <v>0</v>
      </c>
      <c r="Z94">
        <f t="shared" si="15"/>
        <v>0</v>
      </c>
      <c r="AA94">
        <f t="shared" si="16"/>
        <v>0</v>
      </c>
      <c r="AC94" s="94">
        <f t="shared" si="22"/>
        <v>0</v>
      </c>
      <c r="AD94">
        <f>AC94*E94*10000*VLOOKUP(A94,[1]kcal!$A$2:$C$49,3,FALSE)/1000000000000</f>
        <v>0</v>
      </c>
    </row>
    <row r="95" spans="1:30" x14ac:dyDescent="0.25">
      <c r="A95" s="171" t="str">
        <f t="shared" si="11"/>
        <v>Svinekød</v>
      </c>
      <c r="B95" s="171" t="str">
        <f t="shared" si="12"/>
        <v/>
      </c>
      <c r="C95" s="171" t="str">
        <f>IFERROR(VLOOKUP(A95,'Kategorisering af kcal'!$J$2:$K$18,2,FALSE),"")</f>
        <v>Kød</v>
      </c>
      <c r="D95" s="171">
        <f>IF(COUNTIFS('Resultater - Danmark'!$D$3:$D$504,'Produktion &amp; forbrug'!A95,'Resultater - Danmark'!$A$3:$A$504,"Til energi")+COUNTIFS('Resultater - Danmark'!$D$3:$D$504,'Produktion &amp; forbrug'!A95,'Resultater - Danmark'!$A$3:$A$504,"Biogasanlæg")&gt;0,1,0)</f>
        <v>0</v>
      </c>
      <c r="E95" s="171">
        <f t="shared" si="14"/>
        <v>1</v>
      </c>
      <c r="F95" s="171">
        <f t="shared" si="13"/>
        <v>2030</v>
      </c>
      <c r="G95" s="94">
        <f>SUMIFS('Resultat-Produktion &amp; forbrug'!G$4:G$291,'Resultat-Produktion &amp; forbrug'!$A$4:$A$291,'Produktion &amp; forbrug'!$A95,'Resultat-Produktion &amp; forbrug'!$E$4:$E$291,'Produktion &amp; forbrug'!$F95)</f>
        <v>824107.32783310371</v>
      </c>
      <c r="H95" s="94">
        <f>SUMIFS('Resultat-Produktion &amp; forbrug'!H$4:H$291,'Resultat-Produktion &amp; forbrug'!$A$4:$A$291,'Produktion &amp; forbrug'!$A95,'Resultat-Produktion &amp; forbrug'!$E$4:$E$291,'Produktion &amp; forbrug'!$F95)</f>
        <v>0</v>
      </c>
      <c r="I95" s="94">
        <f>SUMIFS('Resultat-Produktion &amp; forbrug'!I$4:I$291,'Resultat-Produktion &amp; forbrug'!$A$4:$A$291,'Produktion &amp; forbrug'!$A95,'Resultat-Produktion &amp; forbrug'!$E$4:$E$291,'Produktion &amp; forbrug'!$F95)</f>
        <v>0</v>
      </c>
      <c r="J95" s="94">
        <f>SUMIFS('Resultat-Produktion &amp; forbrug'!J$4:J$291,'Resultat-Produktion &amp; forbrug'!$A$4:$A$291,'Produktion &amp; forbrug'!$A95,'Resultat-Produktion &amp; forbrug'!$E$4:$E$291,'Produktion &amp; forbrug'!$F95)</f>
        <v>227401.98389822827</v>
      </c>
      <c r="K95" s="94">
        <f>SUMIFS('Resultat-Produktion &amp; forbrug'!K$4:K$291,'Resultat-Produktion &amp; forbrug'!$A$4:$A$291,'Produktion &amp; forbrug'!$A95,'Resultat-Produktion &amp; forbrug'!$E$4:$E$291,'Produktion &amp; forbrug'!$F95)</f>
        <v>0</v>
      </c>
      <c r="L95" s="94">
        <f>SUMIFS('Resultat-Produktion &amp; forbrug'!L$4:L$291,'Resultat-Produktion &amp; forbrug'!$A$4:$A$291,'Produktion &amp; forbrug'!$A95,'Resultat-Produktion &amp; forbrug'!$E$4:$E$291,'Produktion &amp; forbrug'!$F95)</f>
        <v>0</v>
      </c>
      <c r="M95" s="94">
        <f>SUMIFS('Resultat-Produktion &amp; forbrug'!M$4:M$291,'Resultat-Produktion &amp; forbrug'!$A$4:$A$291,'Produktion &amp; forbrug'!$A95,'Resultat-Produktion &amp; forbrug'!$E$4:$E$291,'Produktion &amp; forbrug'!$F95)</f>
        <v>0</v>
      </c>
      <c r="N95" s="94">
        <f>SUMIFS('Resultat-Produktion &amp; forbrug'!N$4:N$291,'Resultat-Produktion &amp; forbrug'!$A$4:$A$291,'Produktion &amp; forbrug'!$A95,'Resultat-Produktion &amp; forbrug'!$E$4:$E$291,'Produktion &amp; forbrug'!$F95)</f>
        <v>0</v>
      </c>
      <c r="O95" s="179">
        <f t="shared" si="17"/>
        <v>596705.34393487545</v>
      </c>
      <c r="P95" s="94">
        <f t="shared" si="18"/>
        <v>0</v>
      </c>
      <c r="Q95" s="180">
        <f t="shared" si="19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IF(A95&lt;&gt;"Biogas",IFERROR(VLOOKUP(A95,[1]Biogasudbytte!$A$2:$B$18,2,FALSE)*[1]Energiindhold!$C$10,0)*K95*IFERROR(VLOOKUP(A95,Biogasanlæg!$F$3:$G$8,2,FALSE),1)+IFERROR(VLOOKUP(A95,[1]Energiindhold!$A$2:$C$11,3,FALSE),0)*M95+IF(F95&lt;&gt;År1,R95,0),0)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0"/>
        <v>0</v>
      </c>
      <c r="V95" s="169">
        <f>P95*IFERROR(VLOOKUP(A95,[1]Tørstofindhold!A$2:B$24,2,FALSE),0)</f>
        <v>0</v>
      </c>
      <c r="W95">
        <f>IF(F95=År1,Q95,SUM(P95,Q95))*IFERROR(VLOOKUP(A95,[1]Tørstofindhold!A$2:B$24,2,FALSE),0)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1"/>
        <v>0</v>
      </c>
      <c r="Z95">
        <f t="shared" si="15"/>
        <v>0</v>
      </c>
      <c r="AA95">
        <f t="shared" si="16"/>
        <v>1</v>
      </c>
      <c r="AC95" s="94">
        <f t="shared" si="22"/>
        <v>824107.32783310371</v>
      </c>
      <c r="AD95">
        <f>AC95*E95*10000*VLOOKUP(A95,[1]kcal!$A$2:$C$49,3,FALSE)/1000000000000</f>
        <v>1.6070092892745522</v>
      </c>
    </row>
    <row r="96" spans="1:30" x14ac:dyDescent="0.25">
      <c r="A96" s="171" t="str">
        <f t="shared" si="11"/>
        <v>Tang</v>
      </c>
      <c r="B96" s="171" t="str">
        <f t="shared" si="12"/>
        <v>Havbiomasse</v>
      </c>
      <c r="C96" s="171" t="str">
        <f>IFERROR(VLOOKUP(A96,'Kategorisering af kcal'!$J$2:$K$18,2,FALSE),"")</f>
        <v>Fisk mm</v>
      </c>
      <c r="D96" s="171">
        <f>IF(COUNTIFS('Resultater - Danmark'!$D$3:$D$504,'Produktion &amp; forbrug'!A96,'Resultater - Danmark'!$A$3:$A$504,"Til energi")+COUNTIFS('Resultater - Danmark'!$D$3:$D$504,'Produktion &amp; forbrug'!A96,'Resultater - Danmark'!$A$3:$A$504,"Biogasanlæg")&gt;0,1,0)</f>
        <v>1</v>
      </c>
      <c r="E96" s="171">
        <f t="shared" si="14"/>
        <v>1</v>
      </c>
      <c r="F96" s="171">
        <f t="shared" si="13"/>
        <v>2030</v>
      </c>
      <c r="G96" s="94">
        <f>SUMIFS('Resultat-Produktion &amp; forbrug'!G$4:G$291,'Resultat-Produktion &amp; forbrug'!$A$4:$A$291,'Produktion &amp; forbrug'!$A96,'Resultat-Produktion &amp; forbrug'!$E$4:$E$291,'Produktion &amp; forbrug'!$F96)</f>
        <v>382.5</v>
      </c>
      <c r="H96" s="94">
        <f>SUMIFS('Resultat-Produktion &amp; forbrug'!H$4:H$291,'Resultat-Produktion &amp; forbrug'!$A$4:$A$291,'Produktion &amp; forbrug'!$A96,'Resultat-Produktion &amp; forbrug'!$E$4:$E$291,'Produktion &amp; forbrug'!$F96)</f>
        <v>0</v>
      </c>
      <c r="I96" s="94">
        <f>SUMIFS('Resultat-Produktion &amp; forbrug'!I$4:I$291,'Resultat-Produktion &amp; forbrug'!$A$4:$A$291,'Produktion &amp; forbrug'!$A96,'Resultat-Produktion &amp; forbrug'!$E$4:$E$291,'Produktion &amp; forbrug'!$F96)</f>
        <v>0</v>
      </c>
      <c r="J96" s="94">
        <f>SUMIFS('Resultat-Produktion &amp; forbrug'!J$4:J$291,'Resultat-Produktion &amp; forbrug'!$A$4:$A$291,'Produktion &amp; forbrug'!$A96,'Resultat-Produktion &amp; forbrug'!$E$4:$E$291,'Produktion &amp; forbrug'!$F96)</f>
        <v>0</v>
      </c>
      <c r="K96" s="94">
        <f>SUMIFS('Resultat-Produktion &amp; forbrug'!K$4:K$291,'Resultat-Produktion &amp; forbrug'!$A$4:$A$291,'Produktion &amp; forbrug'!$A96,'Resultat-Produktion &amp; forbrug'!$E$4:$E$291,'Produktion &amp; forbrug'!$F96)</f>
        <v>0</v>
      </c>
      <c r="L96" s="94">
        <f>SUMIFS('Resultat-Produktion &amp; forbrug'!L$4:L$291,'Resultat-Produktion &amp; forbrug'!$A$4:$A$291,'Produktion &amp; forbrug'!$A96,'Resultat-Produktion &amp; forbrug'!$E$4:$E$291,'Produktion &amp; forbrug'!$F96)</f>
        <v>0</v>
      </c>
      <c r="M96" s="94">
        <f>SUMIFS('Resultat-Produktion &amp; forbrug'!M$4:M$291,'Resultat-Produktion &amp; forbrug'!$A$4:$A$291,'Produktion &amp; forbrug'!$A96,'Resultat-Produktion &amp; forbrug'!$E$4:$E$291,'Produktion &amp; forbrug'!$F96)</f>
        <v>0</v>
      </c>
      <c r="N96" s="94">
        <f>SUMIFS('Resultat-Produktion &amp; forbrug'!N$4:N$291,'Resultat-Produktion &amp; forbrug'!$A$4:$A$291,'Produktion &amp; forbrug'!$A96,'Resultat-Produktion &amp; forbrug'!$E$4:$E$291,'Produktion &amp; forbrug'!$F96)</f>
        <v>0</v>
      </c>
      <c r="O96" s="179">
        <f t="shared" si="17"/>
        <v>382.5</v>
      </c>
      <c r="P96" s="94">
        <f t="shared" si="18"/>
        <v>382.5</v>
      </c>
      <c r="Q96" s="180">
        <f t="shared" si="19"/>
        <v>0</v>
      </c>
      <c r="R96">
        <f>IFERROR(VLOOKUP(A96,[1]Energiindhold!$A$2:$C$11,3,FALSE),IFERROR(VLOOKUP(A96,[1]Biogasudbytte!$A$2:$B$18,2,FALSE)*[1]Energiindhold!$C$10,0))*P96</f>
        <v>3.4329375000000003E-4</v>
      </c>
      <c r="S96">
        <f>IF(A96&lt;&gt;"Biogas",IFERROR(VLOOKUP(A96,[1]Biogasudbytte!$A$2:$B$18,2,FALSE)*[1]Energiindhold!$C$10,0)*K96*IFERROR(VLOOKUP(A96,Biogasanlæg!$F$3:$G$8,2,FALSE),1)+IFERROR(VLOOKUP(A96,[1]Energiindhold!$A$2:$C$11,3,FALSE),0)*M96+IF(F96&lt;&gt;År1,R96,0),0)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si="20"/>
        <v>3.4329375000000003E-4</v>
      </c>
      <c r="V96" s="169">
        <f>P96*IFERROR(VLOOKUP(A96,[1]Tørstofindhold!A$2:B$24,2,FALSE),0)</f>
        <v>57.375</v>
      </c>
      <c r="W96">
        <f>IF(F96=År1,Q96,SUM(P96,Q96))*IFERROR(VLOOKUP(A96,[1]Tørstofindhold!A$2:B$24,2,FALSE),0)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si="21"/>
        <v>57.375</v>
      </c>
      <c r="Z96">
        <f t="shared" si="15"/>
        <v>0</v>
      </c>
      <c r="AA96">
        <f t="shared" si="16"/>
        <v>1</v>
      </c>
      <c r="AC96" s="94">
        <f t="shared" si="22"/>
        <v>382.5</v>
      </c>
      <c r="AD96">
        <f>AC96*E96*10000*VLOOKUP(A96,[1]kcal!$A$2:$C$49,3,FALSE)/1000000000000</f>
        <v>1.5605999999999999E-4</v>
      </c>
    </row>
    <row r="97" spans="1:30" x14ac:dyDescent="0.25">
      <c r="A97" s="171" t="str">
        <f t="shared" si="11"/>
        <v>Total til biogas</v>
      </c>
      <c r="B97" s="171" t="str">
        <f t="shared" si="12"/>
        <v/>
      </c>
      <c r="C97" s="171" t="str">
        <f>IFERROR(VLOOKUP(A97,'Kategorisering af kcal'!$J$2:$K$18,2,FALSE),"")</f>
        <v/>
      </c>
      <c r="D97" s="171">
        <f>IF(COUNTIFS('Resultater - Danmark'!$D$3:$D$504,'Produktion &amp; forbrug'!A97,'Resultater - Danmark'!$A$3:$A$504,"Til energi")+COUNTIFS('Resultater - Danmark'!$D$3:$D$504,'Produktion &amp; forbrug'!A97,'Resultater - Danmark'!$A$3:$A$504,"Biogasanlæg")&gt;0,1,0)</f>
        <v>1</v>
      </c>
      <c r="E97" s="171">
        <f t="shared" si="14"/>
        <v>0</v>
      </c>
      <c r="F97" s="171">
        <f t="shared" si="13"/>
        <v>2030</v>
      </c>
      <c r="G97" s="94">
        <f>SUMIFS('Resultat-Produktion &amp; forbrug'!G$4:G$291,'Resultat-Produktion &amp; forbrug'!$A$4:$A$291,'Produktion &amp; forbrug'!$A97,'Resultat-Produktion &amp; forbrug'!$E$4:$E$291,'Produktion &amp; forbrug'!$F97)</f>
        <v>0</v>
      </c>
      <c r="H97" s="94">
        <f>SUMIFS('Resultat-Produktion &amp; forbrug'!H$4:H$291,'Resultat-Produktion &amp; forbrug'!$A$4:$A$291,'Produktion &amp; forbrug'!$A97,'Resultat-Produktion &amp; forbrug'!$E$4:$E$291,'Produktion &amp; forbrug'!$F97)</f>
        <v>0</v>
      </c>
      <c r="I97" s="94">
        <f>SUMIFS('Resultat-Produktion &amp; forbrug'!I$4:I$291,'Resultat-Produktion &amp; forbrug'!$A$4:$A$291,'Produktion &amp; forbrug'!$A97,'Resultat-Produktion &amp; forbrug'!$E$4:$E$291,'Produktion &amp; forbrug'!$F97)</f>
        <v>0</v>
      </c>
      <c r="J97" s="94">
        <f>SUMIFS('Resultat-Produktion &amp; forbrug'!J$4:J$291,'Resultat-Produktion &amp; forbrug'!$A$4:$A$291,'Produktion &amp; forbrug'!$A97,'Resultat-Produktion &amp; forbrug'!$E$4:$E$291,'Produktion &amp; forbrug'!$F97)</f>
        <v>0</v>
      </c>
      <c r="K97" s="94">
        <f>SUMIFS('Resultat-Produktion &amp; forbrug'!K$4:K$291,'Resultat-Produktion &amp; forbrug'!$A$4:$A$291,'Produktion &amp; forbrug'!$A97,'Resultat-Produktion &amp; forbrug'!$E$4:$E$291,'Produktion &amp; forbrug'!$F97)</f>
        <v>0</v>
      </c>
      <c r="L97" s="94">
        <f>SUMIFS('Resultat-Produktion &amp; forbrug'!L$4:L$291,'Resultat-Produktion &amp; forbrug'!$A$4:$A$291,'Produktion &amp; forbrug'!$A97,'Resultat-Produktion &amp; forbrug'!$E$4:$E$291,'Produktion &amp; forbrug'!$F97)</f>
        <v>0</v>
      </c>
      <c r="M97" s="94">
        <f>SUMIFS('Resultat-Produktion &amp; forbrug'!M$4:M$291,'Resultat-Produktion &amp; forbrug'!$A$4:$A$291,'Produktion &amp; forbrug'!$A97,'Resultat-Produktion &amp; forbrug'!$E$4:$E$291,'Produktion &amp; forbrug'!$F97)</f>
        <v>0</v>
      </c>
      <c r="N97" s="94">
        <f>SUMIFS('Resultat-Produktion &amp; forbrug'!N$4:N$291,'Resultat-Produktion &amp; forbrug'!$A$4:$A$291,'Produktion &amp; forbrug'!$A97,'Resultat-Produktion &amp; forbrug'!$E$4:$E$291,'Produktion &amp; forbrug'!$F97)</f>
        <v>0</v>
      </c>
      <c r="O97" s="179">
        <f t="shared" si="17"/>
        <v>0</v>
      </c>
      <c r="P97" s="94">
        <f t="shared" si="18"/>
        <v>0</v>
      </c>
      <c r="Q97" s="180">
        <f t="shared" si="19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IF(A97&lt;&gt;"Biogas",IFERROR(VLOOKUP(A97,[1]Biogasudbytte!$A$2:$B$18,2,FALSE)*[1]Energiindhold!$C$10,0)*K97*IFERROR(VLOOKUP(A97,Biogasanlæg!$F$3:$G$8,2,FALSE),1)+IFERROR(VLOOKUP(A97,[1]Energiindhold!$A$2:$C$11,3,FALSE),0)*M97+IF(F97&lt;&gt;År1,R97,0),0)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0"/>
        <v>0</v>
      </c>
      <c r="V97" s="169">
        <f>P97*IFERROR(VLOOKUP(A97,[1]Tørstofindhold!A$2:B$24,2,FALSE),0)</f>
        <v>0</v>
      </c>
      <c r="W97">
        <f>IF(F97=År1,Q97,SUM(P97,Q97))*IFERROR(VLOOKUP(A97,[1]Tørstofindhold!A$2:B$24,2,FALSE),0)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1"/>
        <v>0</v>
      </c>
      <c r="Z97">
        <f t="shared" si="15"/>
        <v>0</v>
      </c>
      <c r="AA97">
        <f t="shared" si="16"/>
        <v>0</v>
      </c>
      <c r="AC97" s="94">
        <f t="shared" si="22"/>
        <v>0</v>
      </c>
      <c r="AD97">
        <f>AC97*E97*10000*VLOOKUP(A97,[1]kcal!$A$2:$C$49,3,FALSE)/1000000000000</f>
        <v>0</v>
      </c>
    </row>
    <row r="98" spans="1:30" x14ac:dyDescent="0.25">
      <c r="A98" s="171" t="str">
        <f t="shared" si="11"/>
        <v>Træ til energi</v>
      </c>
      <c r="B98" s="171" t="str">
        <f t="shared" si="12"/>
        <v>Vedmasse</v>
      </c>
      <c r="C98" s="171" t="str">
        <f>IFERROR(VLOOKUP(A98,'Kategorisering af kcal'!$J$2:$K$18,2,FALSE),"")</f>
        <v/>
      </c>
      <c r="D98" s="171">
        <f>IF(COUNTIFS('Resultater - Danmark'!$D$3:$D$504,'Produktion &amp; forbrug'!A98,'Resultater - Danmark'!$A$3:$A$504,"Til energi")+COUNTIFS('Resultater - Danmark'!$D$3:$D$504,'Produktion &amp; forbrug'!A98,'Resultater - Danmark'!$A$3:$A$504,"Biogasanlæg")&gt;0,1,0)</f>
        <v>1</v>
      </c>
      <c r="E98" s="171">
        <f t="shared" si="14"/>
        <v>0</v>
      </c>
      <c r="F98" s="171">
        <f t="shared" si="13"/>
        <v>2030</v>
      </c>
      <c r="G98" s="94">
        <f ca="1">SUMIFS('Resultat-Produktion &amp; forbrug'!G$4:G$291,'Resultat-Produktion &amp; forbrug'!$A$4:$A$291,'Produktion &amp; forbrug'!$A98,'Resultat-Produktion &amp; forbrug'!$E$4:$E$291,'Produktion &amp; forbrug'!$F98)</f>
        <v>2864790.7596825948</v>
      </c>
      <c r="H98" s="94">
        <f>SUMIFS('Resultat-Produktion &amp; forbrug'!H$4:H$291,'Resultat-Produktion &amp; forbrug'!$A$4:$A$291,'Produktion &amp; forbrug'!$A98,'Resultat-Produktion &amp; forbrug'!$E$4:$E$291,'Produktion &amp; forbrug'!$F98)</f>
        <v>0</v>
      </c>
      <c r="I98" s="94">
        <f>SUMIFS('Resultat-Produktion &amp; forbrug'!I$4:I$291,'Resultat-Produktion &amp; forbrug'!$A$4:$A$291,'Produktion &amp; forbrug'!$A98,'Resultat-Produktion &amp; forbrug'!$E$4:$E$291,'Produktion &amp; forbrug'!$F98)</f>
        <v>0</v>
      </c>
      <c r="J98" s="94">
        <f>SUMIFS('Resultat-Produktion &amp; forbrug'!J$4:J$291,'Resultat-Produktion &amp; forbrug'!$A$4:$A$291,'Produktion &amp; forbrug'!$A98,'Resultat-Produktion &amp; forbrug'!$E$4:$E$291,'Produktion &amp; forbrug'!$F98)</f>
        <v>0</v>
      </c>
      <c r="K98" s="94">
        <f>SUMIFS('Resultat-Produktion &amp; forbrug'!K$4:K$291,'Resultat-Produktion &amp; forbrug'!$A$4:$A$291,'Produktion &amp; forbrug'!$A98,'Resultat-Produktion &amp; forbrug'!$E$4:$E$291,'Produktion &amp; forbrug'!$F98)</f>
        <v>0</v>
      </c>
      <c r="L98" s="94">
        <f>SUMIFS('Resultat-Produktion &amp; forbrug'!L$4:L$291,'Resultat-Produktion &amp; forbrug'!$A$4:$A$291,'Produktion &amp; forbrug'!$A98,'Resultat-Produktion &amp; forbrug'!$E$4:$E$291,'Produktion &amp; forbrug'!$F98)</f>
        <v>0</v>
      </c>
      <c r="M98" s="94">
        <f ca="1">SUMIFS('Resultat-Produktion &amp; forbrug'!M$4:M$291,'Resultat-Produktion &amp; forbrug'!$A$4:$A$291,'Produktion &amp; forbrug'!$A98,'Resultat-Produktion &amp; forbrug'!$E$4:$E$291,'Produktion &amp; forbrug'!$F98)</f>
        <v>2864790.7596825948</v>
      </c>
      <c r="N98" s="94">
        <f>SUMIFS('Resultat-Produktion &amp; forbrug'!N$4:N$291,'Resultat-Produktion &amp; forbrug'!$A$4:$A$291,'Produktion &amp; forbrug'!$A98,'Resultat-Produktion &amp; forbrug'!$E$4:$E$291,'Produktion &amp; forbrug'!$F98)</f>
        <v>0</v>
      </c>
      <c r="O98" s="179">
        <f t="shared" ca="1" si="17"/>
        <v>0</v>
      </c>
      <c r="P98" s="94">
        <f t="shared" ca="1" si="18"/>
        <v>0</v>
      </c>
      <c r="Q98" s="180">
        <f t="shared" ca="1" si="19"/>
        <v>2864790.7596825948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IF(A98&lt;&gt;"Biogas",IFERROR(VLOOKUP(A98,[1]Biogasudbytte!$A$2:$B$18,2,FALSE)*[1]Energiindhold!$C$10,0)*K98*IFERROR(VLOOKUP(A98,Biogasanlæg!$F$3:$G$8,2,FALSE),1)+IFERROR(VLOOKUP(A98,[1]Energiindhold!$A$2:$C$11,3,FALSE),0)*M98+IF(F98&lt;&gt;År1,R98,0),0)</f>
        <v>41.521042261764158</v>
      </c>
      <c r="T98">
        <f>IFERROR(VLOOKUP(A98,[1]Biogasudbytte!$A$2:$B$18,2,FALSE)*[1]Energiindhold!$C$10,0)*K98*IFERROR(VLOOKUP(A98,Biogasanlæg!$F$3:$G$8,2,FALSE),1)</f>
        <v>0</v>
      </c>
      <c r="U98" s="170">
        <f t="shared" ca="1" si="20"/>
        <v>41.521042261764158</v>
      </c>
      <c r="V98" s="169">
        <f ca="1">P98*IFERROR(VLOOKUP(A98,[1]Tørstofindhold!A$2:B$24,2,FALSE),0)</f>
        <v>0</v>
      </c>
      <c r="W98">
        <f ca="1">IF(F98=År1,Q98,SUM(P98,Q98))*IFERROR(VLOOKUP(A98,[1]Tørstofindhold!A$2:B$24,2,FALSE),0)</f>
        <v>1416877.7632263501</v>
      </c>
      <c r="X98">
        <f>K98*IFERROR(VLOOKUP(A98,[1]Tørstofindhold!A$2:B$24,2,FALSE),0)</f>
        <v>0</v>
      </c>
      <c r="Y98" s="170">
        <f t="shared" ca="1" si="21"/>
        <v>1416877.7632263501</v>
      </c>
      <c r="Z98">
        <f t="shared" ca="1" si="15"/>
        <v>0</v>
      </c>
      <c r="AA98">
        <f t="shared" ca="1" si="16"/>
        <v>0</v>
      </c>
      <c r="AC98" s="94">
        <f t="shared" ca="1" si="22"/>
        <v>2864790.7596825948</v>
      </c>
      <c r="AD98">
        <f ca="1">AC98*E98*10000*VLOOKUP(A98,[1]kcal!$A$2:$C$49,3,FALSE)/1000000000000</f>
        <v>0</v>
      </c>
    </row>
    <row r="99" spans="1:30" x14ac:dyDescent="0.25">
      <c r="A99" s="171" t="str">
        <f t="shared" si="11"/>
        <v>Træmaterialer</v>
      </c>
      <c r="B99" s="171" t="str">
        <f t="shared" si="12"/>
        <v/>
      </c>
      <c r="C99" s="171" t="str">
        <f>IFERROR(VLOOKUP(A99,'Kategorisering af kcal'!$J$2:$K$18,2,FALSE),"")</f>
        <v/>
      </c>
      <c r="D99" s="171">
        <f>IF(COUNTIFS('Resultater - Danmark'!$D$3:$D$504,'Produktion &amp; forbrug'!A99,'Resultater - Danmark'!$A$3:$A$504,"Til energi")+COUNTIFS('Resultater - Danmark'!$D$3:$D$504,'Produktion &amp; forbrug'!A99,'Resultater - Danmark'!$A$3:$A$504,"Biogasanlæg")&gt;0,1,0)</f>
        <v>0</v>
      </c>
      <c r="E99" s="171">
        <f t="shared" si="14"/>
        <v>0</v>
      </c>
      <c r="F99" s="171">
        <f t="shared" si="13"/>
        <v>2030</v>
      </c>
      <c r="G99" s="94">
        <f ca="1">SUMIFS('Resultat-Produktion &amp; forbrug'!G$4:G$291,'Resultat-Produktion &amp; forbrug'!$A$4:$A$291,'Produktion &amp; forbrug'!$A99,'Resultat-Produktion &amp; forbrug'!$E$4:$E$291,'Produktion &amp; forbrug'!$F99)</f>
        <v>788679.64758670493</v>
      </c>
      <c r="H99" s="94">
        <f>SUMIFS('Resultat-Produktion &amp; forbrug'!H$4:H$291,'Resultat-Produktion &amp; forbrug'!$A$4:$A$291,'Produktion &amp; forbrug'!$A99,'Resultat-Produktion &amp; forbrug'!$E$4:$E$291,'Produktion &amp; forbrug'!$F99)</f>
        <v>0</v>
      </c>
      <c r="I99" s="94">
        <f>SUMIFS('Resultat-Produktion &amp; forbrug'!I$4:I$291,'Resultat-Produktion &amp; forbrug'!$A$4:$A$291,'Produktion &amp; forbrug'!$A99,'Resultat-Produktion &amp; forbrug'!$E$4:$E$291,'Produktion &amp; forbrug'!$F99)</f>
        <v>0</v>
      </c>
      <c r="J99" s="94">
        <f>SUMIFS('Resultat-Produktion &amp; forbrug'!J$4:J$291,'Resultat-Produktion &amp; forbrug'!$A$4:$A$291,'Produktion &amp; forbrug'!$A99,'Resultat-Produktion &amp; forbrug'!$E$4:$E$291,'Produktion &amp; forbrug'!$F99)</f>
        <v>0</v>
      </c>
      <c r="K99" s="94">
        <f>SUMIFS('Resultat-Produktion &amp; forbrug'!K$4:K$291,'Resultat-Produktion &amp; forbrug'!$A$4:$A$291,'Produktion &amp; forbrug'!$A99,'Resultat-Produktion &amp; forbrug'!$E$4:$E$291,'Produktion &amp; forbrug'!$F99)</f>
        <v>0</v>
      </c>
      <c r="L99" s="94">
        <f>SUMIFS('Resultat-Produktion &amp; forbrug'!L$4:L$291,'Resultat-Produktion &amp; forbrug'!$A$4:$A$291,'Produktion &amp; forbrug'!$A99,'Resultat-Produktion &amp; forbrug'!$E$4:$E$291,'Produktion &amp; forbrug'!$F99)</f>
        <v>0</v>
      </c>
      <c r="M99" s="94">
        <f>SUMIFS('Resultat-Produktion &amp; forbrug'!M$4:M$291,'Resultat-Produktion &amp; forbrug'!$A$4:$A$291,'Produktion &amp; forbrug'!$A99,'Resultat-Produktion &amp; forbrug'!$E$4:$E$291,'Produktion &amp; forbrug'!$F99)</f>
        <v>0</v>
      </c>
      <c r="N99" s="94">
        <f ca="1">SUMIFS('Resultat-Produktion &amp; forbrug'!N$4:N$291,'Resultat-Produktion &amp; forbrug'!$A$4:$A$291,'Produktion &amp; forbrug'!$A99,'Resultat-Produktion &amp; forbrug'!$E$4:$E$291,'Produktion &amp; forbrug'!$F99)</f>
        <v>788679.64758670493</v>
      </c>
      <c r="O99" s="179">
        <f t="shared" ca="1" si="17"/>
        <v>0</v>
      </c>
      <c r="P99" s="94">
        <f t="shared" si="18"/>
        <v>0</v>
      </c>
      <c r="Q99" s="180">
        <f t="shared" si="19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IF(A99&lt;&gt;"Biogas",IFERROR(VLOOKUP(A99,[1]Biogasudbytte!$A$2:$B$18,2,FALSE)*[1]Energiindhold!$C$10,0)*K99*IFERROR(VLOOKUP(A99,Biogasanlæg!$F$3:$G$8,2,FALSE),1)+IFERROR(VLOOKUP(A99,[1]Energiindhold!$A$2:$C$11,3,FALSE),0)*M99+IF(F99&lt;&gt;År1,R99,0),0)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0"/>
        <v>0</v>
      </c>
      <c r="V99" s="169">
        <f>P99*IFERROR(VLOOKUP(A99,[1]Tørstofindhold!A$2:B$24,2,FALSE),0)</f>
        <v>0</v>
      </c>
      <c r="W99">
        <f>IF(F99=År1,Q99,SUM(P99,Q99))*IFERROR(VLOOKUP(A99,[1]Tørstofindhold!A$2:B$24,2,FALSE),0)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1"/>
        <v>0</v>
      </c>
      <c r="Z99">
        <f t="shared" ca="1" si="15"/>
        <v>0</v>
      </c>
      <c r="AA99">
        <f t="shared" ca="1" si="16"/>
        <v>0</v>
      </c>
      <c r="AC99" s="94">
        <f t="shared" ca="1" si="22"/>
        <v>788679.64758670493</v>
      </c>
      <c r="AD99">
        <f ca="1">AC99*E99*10000*VLOOKUP(A99,[1]kcal!$A$2:$C$49,3,FALSE)/1000000000000</f>
        <v>0</v>
      </c>
    </row>
    <row r="100" spans="1:30" x14ac:dyDescent="0.25">
      <c r="A100" s="171" t="str">
        <f t="shared" si="11"/>
        <v>Æg</v>
      </c>
      <c r="B100" s="171" t="str">
        <f t="shared" si="12"/>
        <v/>
      </c>
      <c r="C100" s="171" t="str">
        <f>IFERROR(VLOOKUP(A100,'Kategorisering af kcal'!$J$2:$K$18,2,FALSE),"")</f>
        <v>Æg</v>
      </c>
      <c r="D100" s="171">
        <f>IF(COUNTIFS('Resultater - Danmark'!$D$3:$D$504,'Produktion &amp; forbrug'!A100,'Resultater - Danmark'!$A$3:$A$504,"Til energi")+COUNTIFS('Resultater - Danmark'!$D$3:$D$504,'Produktion &amp; forbrug'!A100,'Resultater - Danmark'!$A$3:$A$504,"Biogasanlæg")&gt;0,1,0)</f>
        <v>0</v>
      </c>
      <c r="E100" s="171">
        <f t="shared" si="14"/>
        <v>1</v>
      </c>
      <c r="F100" s="171">
        <f t="shared" ref="F100:F147" si="23">År3</f>
        <v>2050</v>
      </c>
      <c r="G100" s="94">
        <f>SUMIFS('Resultat-Produktion &amp; forbrug'!G$4:G$291,'Resultat-Produktion &amp; forbrug'!$A$4:$A$291,'Produktion &amp; forbrug'!$A100,'Resultat-Produktion &amp; forbrug'!$E$4:$E$291,'Produktion &amp; forbrug'!$F100)</f>
        <v>42217.628788690155</v>
      </c>
      <c r="H100" s="94">
        <f>SUMIFS('Resultat-Produktion &amp; forbrug'!H$4:H$291,'Resultat-Produktion &amp; forbrug'!$A$4:$A$291,'Produktion &amp; forbrug'!$A100,'Resultat-Produktion &amp; forbrug'!$E$4:$E$291,'Produktion &amp; forbrug'!$F100)</f>
        <v>0</v>
      </c>
      <c r="I100" s="94">
        <f>SUMIFS('Resultat-Produktion &amp; forbrug'!I$4:I$291,'Resultat-Produktion &amp; forbrug'!$A$4:$A$291,'Produktion &amp; forbrug'!$A100,'Resultat-Produktion &amp; forbrug'!$E$4:$E$291,'Produktion &amp; forbrug'!$F100)</f>
        <v>0</v>
      </c>
      <c r="J100" s="94">
        <f>SUMIFS('Resultat-Produktion &amp; forbrug'!J$4:J$291,'Resultat-Produktion &amp; forbrug'!$A$4:$A$291,'Produktion &amp; forbrug'!$A100,'Resultat-Produktion &amp; forbrug'!$E$4:$E$291,'Produktion &amp; forbrug'!$F100)</f>
        <v>63381.970906546776</v>
      </c>
      <c r="K100" s="94">
        <f>SUMIFS('Resultat-Produktion &amp; forbrug'!K$4:K$291,'Resultat-Produktion &amp; forbrug'!$A$4:$A$291,'Produktion &amp; forbrug'!$A100,'Resultat-Produktion &amp; forbrug'!$E$4:$E$291,'Produktion &amp; forbrug'!$F100)</f>
        <v>0</v>
      </c>
      <c r="L100" s="94">
        <f>SUMIFS('Resultat-Produktion &amp; forbrug'!L$4:L$291,'Resultat-Produktion &amp; forbrug'!$A$4:$A$291,'Produktion &amp; forbrug'!$A100,'Resultat-Produktion &amp; forbrug'!$E$4:$E$291,'Produktion &amp; forbrug'!$F100)</f>
        <v>0</v>
      </c>
      <c r="M100" s="94">
        <f>SUMIFS('Resultat-Produktion &amp; forbrug'!M$4:M$291,'Resultat-Produktion &amp; forbrug'!$A$4:$A$291,'Produktion &amp; forbrug'!$A100,'Resultat-Produktion &amp; forbrug'!$E$4:$E$291,'Produktion &amp; forbrug'!$F100)</f>
        <v>0</v>
      </c>
      <c r="N100" s="94">
        <f>SUMIFS('Resultat-Produktion &amp; forbrug'!N$4:N$291,'Resultat-Produktion &amp; forbrug'!$A$4:$A$291,'Produktion &amp; forbrug'!$A100,'Resultat-Produktion &amp; forbrug'!$E$4:$E$291,'Produktion &amp; forbrug'!$F100)</f>
        <v>0</v>
      </c>
      <c r="O100" s="179">
        <f t="shared" si="17"/>
        <v>-21164.34211785662</v>
      </c>
      <c r="P100" s="94">
        <f t="shared" si="18"/>
        <v>0</v>
      </c>
      <c r="Q100" s="180">
        <f t="shared" si="19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IF(A100&lt;&gt;"Biogas",IFERROR(VLOOKUP(A100,[1]Biogasudbytte!$A$2:$B$18,2,FALSE)*[1]Energiindhold!$C$10,0)*K100*IFERROR(VLOOKUP(A100,Biogasanlæg!$F$3:$G$8,2,FALSE),1)+IFERROR(VLOOKUP(A100,[1]Energiindhold!$A$2:$C$11,3,FALSE),0)*M100+IF(F100&lt;&gt;År1,R100,0),0)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0"/>
        <v>0</v>
      </c>
      <c r="V100" s="169">
        <f>P100*IFERROR(VLOOKUP(A100,[1]Tørstofindhold!A$2:B$24,2,FALSE),0)</f>
        <v>0</v>
      </c>
      <c r="W100">
        <f>IF(F100=År1,Q100,SUM(P100,Q100))*IFERROR(VLOOKUP(A100,[1]Tørstofindhold!A$2:B$24,2,FALSE),0)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1"/>
        <v>0</v>
      </c>
      <c r="Z100">
        <f t="shared" ref="Z100:Z131" si="24">IF(SUMIFS($O$4:$O$147,$A$4:$A$147,A100,$F$4:$F$147,F100)&lt;0,1,0)</f>
        <v>1</v>
      </c>
      <c r="AA100">
        <f t="shared" ref="AA100:AA131" si="25">IF(SUMIFS($O$4:$O$147,$A$4:$A$147,A100,$F$4:$F$147,F100)&gt;0,1,0)</f>
        <v>0</v>
      </c>
      <c r="AC100" s="94">
        <f t="shared" si="22"/>
        <v>42217.628788690155</v>
      </c>
      <c r="AD100">
        <f>AC100*E100*10000*VLOOKUP(A100,[1]kcal!$A$2:$C$49,3,FALSE)/1000000000000</f>
        <v>5.8260327728392416E-2</v>
      </c>
    </row>
    <row r="101" spans="1:30" x14ac:dyDescent="0.25">
      <c r="A101" s="171" t="str">
        <f t="shared" si="11"/>
        <v>Bælgsæd</v>
      </c>
      <c r="B101" s="171" t="str">
        <f t="shared" si="12"/>
        <v/>
      </c>
      <c r="C101" s="171" t="str">
        <f>IFERROR(VLOOKUP(A101,'Kategorisering af kcal'!$J$2:$K$18,2,FALSE),"")</f>
        <v>Bælgsæd</v>
      </c>
      <c r="D101" s="171">
        <f>IF(COUNTIFS('Resultater - Danmark'!$D$3:$D$504,'Produktion &amp; forbrug'!A101,'Resultater - Danmark'!$A$3:$A$504,"Til energi")+COUNTIFS('Resultater - Danmark'!$D$3:$D$504,'Produktion &amp; forbrug'!A101,'Resultater - Danmark'!$A$3:$A$504,"Biogasanlæg")&gt;0,1,0)</f>
        <v>0</v>
      </c>
      <c r="E101" s="171">
        <f t="shared" si="14"/>
        <v>1</v>
      </c>
      <c r="F101" s="171">
        <f t="shared" si="23"/>
        <v>2050</v>
      </c>
      <c r="G101" s="94">
        <f>SUMIFS('Resultat-Produktion &amp; forbrug'!G$4:G$291,'Resultat-Produktion &amp; forbrug'!$A$4:$A$291,'Produktion &amp; forbrug'!$A101,'Resultat-Produktion &amp; forbrug'!$E$4:$E$291,'Produktion &amp; forbrug'!$F101)</f>
        <v>1919433.8379384452</v>
      </c>
      <c r="H101" s="94">
        <f>SUMIFS('Resultat-Produktion &amp; forbrug'!H$4:H$291,'Resultat-Produktion &amp; forbrug'!$A$4:$A$291,'Produktion &amp; forbrug'!$A101,'Resultat-Produktion &amp; forbrug'!$E$4:$E$291,'Produktion &amp; forbrug'!$F101)</f>
        <v>6174.5010966237514</v>
      </c>
      <c r="I101" s="94">
        <f>SUMIFS('Resultat-Produktion &amp; forbrug'!I$4:I$291,'Resultat-Produktion &amp; forbrug'!$A$4:$A$291,'Produktion &amp; forbrug'!$A101,'Resultat-Produktion &amp; forbrug'!$E$4:$E$291,'Produktion &amp; forbrug'!$F101)</f>
        <v>0</v>
      </c>
      <c r="J101" s="94">
        <f>SUMIFS('Resultat-Produktion &amp; forbrug'!J$4:J$291,'Resultat-Produktion &amp; forbrug'!$A$4:$A$291,'Produktion &amp; forbrug'!$A101,'Resultat-Produktion &amp; forbrug'!$E$4:$E$291,'Produktion &amp; forbrug'!$F101)</f>
        <v>0</v>
      </c>
      <c r="K101" s="94">
        <f>SUMIFS('Resultat-Produktion &amp; forbrug'!K$4:K$291,'Resultat-Produktion &amp; forbrug'!$A$4:$A$291,'Produktion &amp; forbrug'!$A101,'Resultat-Produktion &amp; forbrug'!$E$4:$E$291,'Produktion &amp; forbrug'!$F101)</f>
        <v>0</v>
      </c>
      <c r="L101" s="94">
        <f>SUMIFS('Resultat-Produktion &amp; forbrug'!L$4:L$291,'Resultat-Produktion &amp; forbrug'!$A$4:$A$291,'Produktion &amp; forbrug'!$A101,'Resultat-Produktion &amp; forbrug'!$E$4:$E$291,'Produktion &amp; forbrug'!$F101)</f>
        <v>0</v>
      </c>
      <c r="M101" s="94">
        <f>SUMIFS('Resultat-Produktion &amp; forbrug'!M$4:M$291,'Resultat-Produktion &amp; forbrug'!$A$4:$A$291,'Produktion &amp; forbrug'!$A101,'Resultat-Produktion &amp; forbrug'!$E$4:$E$291,'Produktion &amp; forbrug'!$F101)</f>
        <v>0</v>
      </c>
      <c r="N101" s="94">
        <f>SUMIFS('Resultat-Produktion &amp; forbrug'!N$4:N$291,'Resultat-Produktion &amp; forbrug'!$A$4:$A$291,'Produktion &amp; forbrug'!$A101,'Resultat-Produktion &amp; forbrug'!$E$4:$E$291,'Produktion &amp; forbrug'!$F101)</f>
        <v>0</v>
      </c>
      <c r="O101" s="179">
        <f t="shared" si="17"/>
        <v>1913259.3368418214</v>
      </c>
      <c r="P101" s="94">
        <f t="shared" si="18"/>
        <v>0</v>
      </c>
      <c r="Q101" s="180">
        <f t="shared" si="19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IF(A101&lt;&gt;"Biogas",IFERROR(VLOOKUP(A101,[1]Biogasudbytte!$A$2:$B$18,2,FALSE)*[1]Energiindhold!$C$10,0)*K101*IFERROR(VLOOKUP(A101,Biogasanlæg!$F$3:$G$8,2,FALSE),1)+IFERROR(VLOOKUP(A101,[1]Energiindhold!$A$2:$C$11,3,FALSE),0)*M101+IF(F101&lt;&gt;År1,R101,0),0)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0"/>
        <v>0</v>
      </c>
      <c r="V101" s="169">
        <f>P101*IFERROR(VLOOKUP(A101,[1]Tørstofindhold!A$2:B$24,2,FALSE),0)</f>
        <v>0</v>
      </c>
      <c r="W101">
        <f>IF(F101=År1,Q101,SUM(P101,Q101))*IFERROR(VLOOKUP(A101,[1]Tørstofindhold!A$2:B$24,2,FALSE),0)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1"/>
        <v>0</v>
      </c>
      <c r="Z101">
        <f t="shared" si="24"/>
        <v>0</v>
      </c>
      <c r="AA101">
        <f t="shared" si="25"/>
        <v>1</v>
      </c>
      <c r="AC101" s="94">
        <f t="shared" si="22"/>
        <v>1913259.3368418214</v>
      </c>
      <c r="AD101">
        <f>AC101*E101*10000*VLOOKUP(A101,[1]kcal!$A$2:$C$49,3,FALSE)/1000000000000</f>
        <v>13.28758609436645</v>
      </c>
    </row>
    <row r="102" spans="1:30" x14ac:dyDescent="0.25">
      <c r="A102" s="171" t="str">
        <f t="shared" si="11"/>
        <v>Bioaffald</v>
      </c>
      <c r="B102" s="171" t="str">
        <f t="shared" si="12"/>
        <v>Bionedbrydeligt affald</v>
      </c>
      <c r="C102" s="171" t="str">
        <f>IFERROR(VLOOKUP(A102,'Kategorisering af kcal'!$J$2:$K$18,2,FALSE),"")</f>
        <v/>
      </c>
      <c r="D102" s="171">
        <f>IF(COUNTIFS('Resultater - Danmark'!$D$3:$D$504,'Produktion &amp; forbrug'!A102,'Resultater - Danmark'!$A$3:$A$504,"Til energi")+COUNTIFS('Resultater - Danmark'!$D$3:$D$504,'Produktion &amp; forbrug'!A102,'Resultater - Danmark'!$A$3:$A$504,"Biogasanlæg")&gt;0,1,0)</f>
        <v>1</v>
      </c>
      <c r="E102" s="171">
        <f t="shared" si="14"/>
        <v>0</v>
      </c>
      <c r="F102" s="171">
        <f t="shared" si="23"/>
        <v>2050</v>
      </c>
      <c r="G102" s="94">
        <f ca="1">SUMIFS('Resultat-Produktion &amp; forbrug'!G$4:G$291,'Resultat-Produktion &amp; forbrug'!$A$4:$A$291,'Produktion &amp; forbrug'!$A102,'Resultat-Produktion &amp; forbrug'!$E$4:$E$291,'Produktion &amp; forbrug'!$F102)</f>
        <v>369776.8151095995</v>
      </c>
      <c r="H102" s="94">
        <f>SUMIFS('Resultat-Produktion &amp; forbrug'!H$4:H$291,'Resultat-Produktion &amp; forbrug'!$A$4:$A$291,'Produktion &amp; forbrug'!$A102,'Resultat-Produktion &amp; forbrug'!$E$4:$E$291,'Produktion &amp; forbrug'!$F102)</f>
        <v>0</v>
      </c>
      <c r="I102" s="94">
        <f>SUMIFS('Resultat-Produktion &amp; forbrug'!I$4:I$291,'Resultat-Produktion &amp; forbrug'!$A$4:$A$291,'Produktion &amp; forbrug'!$A102,'Resultat-Produktion &amp; forbrug'!$E$4:$E$291,'Produktion &amp; forbrug'!$F102)</f>
        <v>0</v>
      </c>
      <c r="J102" s="94">
        <f>SUMIFS('Resultat-Produktion &amp; forbrug'!J$4:J$291,'Resultat-Produktion &amp; forbrug'!$A$4:$A$291,'Produktion &amp; forbrug'!$A102,'Resultat-Produktion &amp; forbrug'!$E$4:$E$291,'Produktion &amp; forbrug'!$F102)</f>
        <v>0</v>
      </c>
      <c r="K102" s="94">
        <f ca="1">SUMIFS('Resultat-Produktion &amp; forbrug'!K$4:K$291,'Resultat-Produktion &amp; forbrug'!$A$4:$A$291,'Produktion &amp; forbrug'!$A102,'Resultat-Produktion &amp; forbrug'!$E$4:$E$291,'Produktion &amp; forbrug'!$F102)</f>
        <v>0</v>
      </c>
      <c r="L102" s="94">
        <f>SUMIFS('Resultat-Produktion &amp; forbrug'!L$4:L$291,'Resultat-Produktion &amp; forbrug'!$A$4:$A$291,'Produktion &amp; forbrug'!$A102,'Resultat-Produktion &amp; forbrug'!$E$4:$E$291,'Produktion &amp; forbrug'!$F102)</f>
        <v>0</v>
      </c>
      <c r="M102" s="94">
        <f ca="1">SUMIFS('Resultat-Produktion &amp; forbrug'!M$4:M$291,'Resultat-Produktion &amp; forbrug'!$A$4:$A$291,'Produktion &amp; forbrug'!$A102,'Resultat-Produktion &amp; forbrug'!$E$4:$E$291,'Produktion &amp; forbrug'!$F102)</f>
        <v>369776.8151095995</v>
      </c>
      <c r="N102" s="94">
        <f ca="1">SUMIFS('Resultat-Produktion &amp; forbrug'!N$4:N$291,'Resultat-Produktion &amp; forbrug'!$A$4:$A$291,'Produktion &amp; forbrug'!$A102,'Resultat-Produktion &amp; forbrug'!$E$4:$E$291,'Produktion &amp; forbrug'!$F102)</f>
        <v>0</v>
      </c>
      <c r="O102" s="179">
        <f t="shared" ca="1" si="17"/>
        <v>0</v>
      </c>
      <c r="P102" s="94">
        <f t="shared" ca="1" si="18"/>
        <v>0</v>
      </c>
      <c r="Q102" s="180">
        <f t="shared" ca="1" si="19"/>
        <v>369776.8151095995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IF(A102&lt;&gt;"Biogas",IFERROR(VLOOKUP(A102,[1]Biogasudbytte!$A$2:$B$18,2,FALSE)*[1]Energiindhold!$C$10,0)*K102*IFERROR(VLOOKUP(A102,Biogasanlæg!$F$3:$G$8,2,FALSE),1)+IFERROR(VLOOKUP(A102,[1]Energiindhold!$A$2:$C$11,3,FALSE),0)*M102+IF(F102&lt;&gt;År1,R102,0),0)</f>
        <v>6.6013372467689999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0"/>
        <v>6.6013372467689999</v>
      </c>
      <c r="V102" s="169">
        <f ca="1">P102*IFERROR(VLOOKUP(A102,[1]Tørstofindhold!A$2:B$24,2,FALSE),0)</f>
        <v>0</v>
      </c>
      <c r="W102">
        <f ca="1">IF(F102=År1,Q102,SUM(P102,Q102))*IFERROR(VLOOKUP(A102,[1]Tørstofindhold!A$2:B$24,2,FALSE),0)</f>
        <v>103537.50823068788</v>
      </c>
      <c r="X102">
        <f ca="1">K102*IFERROR(VLOOKUP(A102,[1]Tørstofindhold!A$2:B$24,2,FALSE),0)</f>
        <v>0</v>
      </c>
      <c r="Y102" s="170">
        <f t="shared" ca="1" si="21"/>
        <v>103537.50823068788</v>
      </c>
      <c r="Z102">
        <f t="shared" ca="1" si="24"/>
        <v>0</v>
      </c>
      <c r="AA102">
        <f t="shared" ca="1" si="25"/>
        <v>0</v>
      </c>
      <c r="AC102" s="94">
        <f t="shared" ca="1" si="22"/>
        <v>369776.8151095995</v>
      </c>
      <c r="AD102">
        <f ca="1">AC102*E102*10000*VLOOKUP(A102,[1]kcal!$A$2:$C$49,3,FALSE)/1000000000000</f>
        <v>0</v>
      </c>
    </row>
    <row r="103" spans="1:30" x14ac:dyDescent="0.25">
      <c r="A103" s="171" t="str">
        <f t="shared" si="11"/>
        <v>Biogas</v>
      </c>
      <c r="B103" s="171" t="str">
        <f t="shared" si="12"/>
        <v/>
      </c>
      <c r="C103" s="171" t="str">
        <f>IFERROR(VLOOKUP(A103,'Kategorisering af kcal'!$J$2:$K$18,2,FALSE),"")</f>
        <v/>
      </c>
      <c r="D103" s="171">
        <f>IF(COUNTIFS('Resultater - Danmark'!$D$3:$D$504,'Produktion &amp; forbrug'!A103,'Resultater - Danmark'!$A$3:$A$504,"Til energi")+COUNTIFS('Resultater - Danmark'!$D$3:$D$504,'Produktion &amp; forbrug'!A103,'Resultater - Danmark'!$A$3:$A$504,"Biogasanlæg")&gt;0,1,0)</f>
        <v>1</v>
      </c>
      <c r="E103" s="171">
        <f t="shared" si="14"/>
        <v>0</v>
      </c>
      <c r="F103" s="171">
        <f t="shared" si="23"/>
        <v>2050</v>
      </c>
      <c r="G103" s="94">
        <f ca="1">SUMIFS('Resultat-Produktion &amp; forbrug'!G$4:G$291,'Resultat-Produktion &amp; forbrug'!$A$4:$A$291,'Produktion &amp; forbrug'!$A103,'Resultat-Produktion &amp; forbrug'!$E$4:$E$291,'Produktion &amp; forbrug'!$F103)</f>
        <v>235802537.76724285</v>
      </c>
      <c r="H103" s="94">
        <f>SUMIFS('Resultat-Produktion &amp; forbrug'!H$4:H$291,'Resultat-Produktion &amp; forbrug'!$A$4:$A$291,'Produktion &amp; forbrug'!$A103,'Resultat-Produktion &amp; forbrug'!$E$4:$E$291,'Produktion &amp; forbrug'!$F103)</f>
        <v>0</v>
      </c>
      <c r="I103" s="94">
        <f>SUMIFS('Resultat-Produktion &amp; forbrug'!I$4:I$291,'Resultat-Produktion &amp; forbrug'!$A$4:$A$291,'Produktion &amp; forbrug'!$A103,'Resultat-Produktion &amp; forbrug'!$E$4:$E$291,'Produktion &amp; forbrug'!$F103)</f>
        <v>0</v>
      </c>
      <c r="J103" s="94">
        <f>SUMIFS('Resultat-Produktion &amp; forbrug'!J$4:J$291,'Resultat-Produktion &amp; forbrug'!$A$4:$A$291,'Produktion &amp; forbrug'!$A103,'Resultat-Produktion &amp; forbrug'!$E$4:$E$291,'Produktion &amp; forbrug'!$F103)</f>
        <v>0</v>
      </c>
      <c r="K103" s="94">
        <f>SUMIFS('Resultat-Produktion &amp; forbrug'!K$4:K$291,'Resultat-Produktion &amp; forbrug'!$A$4:$A$291,'Produktion &amp; forbrug'!$A103,'Resultat-Produktion &amp; forbrug'!$E$4:$E$291,'Produktion &amp; forbrug'!$F103)</f>
        <v>0</v>
      </c>
      <c r="L103" s="94">
        <f>SUMIFS('Resultat-Produktion &amp; forbrug'!L$4:L$291,'Resultat-Produktion &amp; forbrug'!$A$4:$A$291,'Produktion &amp; forbrug'!$A103,'Resultat-Produktion &amp; forbrug'!$E$4:$E$291,'Produktion &amp; forbrug'!$F103)</f>
        <v>0</v>
      </c>
      <c r="M103" s="94">
        <f ca="1">SUMIFS('Resultat-Produktion &amp; forbrug'!M$4:M$291,'Resultat-Produktion &amp; forbrug'!$A$4:$A$291,'Produktion &amp; forbrug'!$A103,'Resultat-Produktion &amp; forbrug'!$E$4:$E$291,'Produktion &amp; forbrug'!$F103)</f>
        <v>235802537.76724285</v>
      </c>
      <c r="N103" s="94">
        <f>SUMIFS('Resultat-Produktion &amp; forbrug'!N$4:N$291,'Resultat-Produktion &amp; forbrug'!$A$4:$A$291,'Produktion &amp; forbrug'!$A103,'Resultat-Produktion &amp; forbrug'!$E$4:$E$291,'Produktion &amp; forbrug'!$F103)</f>
        <v>0</v>
      </c>
      <c r="O103" s="179">
        <f t="shared" ca="1" si="17"/>
        <v>0</v>
      </c>
      <c r="P103" s="94">
        <f t="shared" ca="1" si="18"/>
        <v>0</v>
      </c>
      <c r="Q103" s="180">
        <f t="shared" ca="1" si="19"/>
        <v>235802537.76724285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IF(A103&lt;&gt;"Biogas",IFERROR(VLOOKUP(A103,[1]Biogasudbytte!$A$2:$B$18,2,FALSE)*[1]Energiindhold!$C$10,0)*K103*IFERROR(VLOOKUP(A103,Biogasanlæg!$F$3:$G$8,2,FALSE),1)+IFERROR(VLOOKUP(A103,[1]Energiindhold!$A$2:$C$11,3,FALSE),0)*M103+IF(F103&lt;&gt;År1,R103,0),0)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0"/>
        <v>0</v>
      </c>
      <c r="V103" s="169">
        <f ca="1">P103*IFERROR(VLOOKUP(A103,[1]Tørstofindhold!A$2:B$24,2,FALSE),0)</f>
        <v>0</v>
      </c>
      <c r="W103">
        <f ca="1">IF(F103=År1,Q103,SUM(P103,Q103))*IFERROR(VLOOKUP(A103,[1]Tørstofindhold!A$2:B$24,2,FALSE),0)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1"/>
        <v>0</v>
      </c>
      <c r="Z103">
        <f t="shared" ca="1" si="24"/>
        <v>0</v>
      </c>
      <c r="AA103">
        <f t="shared" ca="1" si="25"/>
        <v>0</v>
      </c>
      <c r="AC103" s="94">
        <f t="shared" ca="1" si="22"/>
        <v>235802537.76724285</v>
      </c>
      <c r="AD103">
        <f ca="1">AC103*E103*10000*VLOOKUP(A103,[1]kcal!$A$2:$C$49,3,FALSE)/1000000000000</f>
        <v>0</v>
      </c>
    </row>
    <row r="104" spans="1:30" x14ac:dyDescent="0.25">
      <c r="A104" s="171" t="str">
        <f t="shared" si="11"/>
        <v>Biogasgylle</v>
      </c>
      <c r="B104" s="171" t="str">
        <f t="shared" si="12"/>
        <v/>
      </c>
      <c r="C104" s="171" t="str">
        <f>IFERROR(VLOOKUP(A104,'Kategorisering af kcal'!$J$2:$K$18,2,FALSE),"")</f>
        <v/>
      </c>
      <c r="D104" s="171">
        <f>IF(COUNTIFS('Resultater - Danmark'!$D$3:$D$504,'Produktion &amp; forbrug'!A104,'Resultater - Danmark'!$A$3:$A$504,"Til energi")+COUNTIFS('Resultater - Danmark'!$D$3:$D$504,'Produktion &amp; forbrug'!A104,'Resultater - Danmark'!$A$3:$A$504,"Biogasanlæg")&gt;0,1,0)</f>
        <v>0</v>
      </c>
      <c r="E104" s="171">
        <f t="shared" si="14"/>
        <v>0</v>
      </c>
      <c r="F104" s="171">
        <f t="shared" si="23"/>
        <v>2050</v>
      </c>
      <c r="G104" s="94">
        <f ca="1">SUMIFS('Resultat-Produktion &amp; forbrug'!G$4:G$291,'Resultat-Produktion &amp; forbrug'!$A$4:$A$291,'Produktion &amp; forbrug'!$A104,'Resultat-Produktion &amp; forbrug'!$E$4:$E$291,'Produktion &amp; forbrug'!$F104)</f>
        <v>8313981.6995309032</v>
      </c>
      <c r="H104" s="94">
        <f>SUMIFS('Resultat-Produktion &amp; forbrug'!H$4:H$291,'Resultat-Produktion &amp; forbrug'!$A$4:$A$291,'Produktion &amp; forbrug'!$A104,'Resultat-Produktion &amp; forbrug'!$E$4:$E$291,'Produktion &amp; forbrug'!$F104)</f>
        <v>0</v>
      </c>
      <c r="I104" s="94">
        <f>SUMIFS('Resultat-Produktion &amp; forbrug'!I$4:I$291,'Resultat-Produktion &amp; forbrug'!$A$4:$A$291,'Produktion &amp; forbrug'!$A104,'Resultat-Produktion &amp; forbrug'!$E$4:$E$291,'Produktion &amp; forbrug'!$F104)</f>
        <v>0</v>
      </c>
      <c r="J104" s="94">
        <f>SUMIFS('Resultat-Produktion &amp; forbrug'!J$4:J$291,'Resultat-Produktion &amp; forbrug'!$A$4:$A$291,'Produktion &amp; forbrug'!$A104,'Resultat-Produktion &amp; forbrug'!$E$4:$E$291,'Produktion &amp; forbrug'!$F104)</f>
        <v>0</v>
      </c>
      <c r="K104" s="94">
        <f>SUMIFS('Resultat-Produktion &amp; forbrug'!K$4:K$291,'Resultat-Produktion &amp; forbrug'!$A$4:$A$291,'Produktion &amp; forbrug'!$A104,'Resultat-Produktion &amp; forbrug'!$E$4:$E$291,'Produktion &amp; forbrug'!$F104)</f>
        <v>0</v>
      </c>
      <c r="L104" s="94">
        <f ca="1">SUMIFS('Resultat-Produktion &amp; forbrug'!L$4:L$291,'Resultat-Produktion &amp; forbrug'!$A$4:$A$291,'Produktion &amp; forbrug'!$A104,'Resultat-Produktion &amp; forbrug'!$E$4:$E$291,'Produktion &amp; forbrug'!$F104)</f>
        <v>843173.48136747919</v>
      </c>
      <c r="M104" s="94">
        <f>SUMIFS('Resultat-Produktion &amp; forbrug'!M$4:M$291,'Resultat-Produktion &amp; forbrug'!$A$4:$A$291,'Produktion &amp; forbrug'!$A104,'Resultat-Produktion &amp; forbrug'!$E$4:$E$291,'Produktion &amp; forbrug'!$F104)</f>
        <v>0</v>
      </c>
      <c r="N104" s="94">
        <f>SUMIFS('Resultat-Produktion &amp; forbrug'!N$4:N$291,'Resultat-Produktion &amp; forbrug'!$A$4:$A$291,'Produktion &amp; forbrug'!$A104,'Resultat-Produktion &amp; forbrug'!$E$4:$E$291,'Produktion &amp; forbrug'!$F104)</f>
        <v>0</v>
      </c>
      <c r="O104" s="179">
        <f t="shared" ca="1" si="17"/>
        <v>7470808.2181634242</v>
      </c>
      <c r="P104" s="94">
        <f t="shared" si="18"/>
        <v>0</v>
      </c>
      <c r="Q104" s="180">
        <f t="shared" si="19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IF(A104&lt;&gt;"Biogas",IFERROR(VLOOKUP(A104,[1]Biogasudbytte!$A$2:$B$18,2,FALSE)*[1]Energiindhold!$C$10,0)*K104*IFERROR(VLOOKUP(A104,Biogasanlæg!$F$3:$G$8,2,FALSE),1)+IFERROR(VLOOKUP(A104,[1]Energiindhold!$A$2:$C$11,3,FALSE),0)*M104+IF(F104&lt;&gt;År1,R104,0),0)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0"/>
        <v>0</v>
      </c>
      <c r="V104" s="169">
        <f>P104*IFERROR(VLOOKUP(A104,[1]Tørstofindhold!A$2:B$24,2,FALSE),0)</f>
        <v>0</v>
      </c>
      <c r="W104">
        <f>IF(F104=År1,Q104,SUM(P104,Q104))*IFERROR(VLOOKUP(A104,[1]Tørstofindhold!A$2:B$24,2,FALSE),0)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1"/>
        <v>0</v>
      </c>
      <c r="Z104">
        <f t="shared" ca="1" si="24"/>
        <v>0</v>
      </c>
      <c r="AA104">
        <f t="shared" ca="1" si="25"/>
        <v>1</v>
      </c>
      <c r="AC104" s="94">
        <f t="shared" ca="1" si="22"/>
        <v>7470808.2181634242</v>
      </c>
      <c r="AD104">
        <f ca="1">AC104*E104*10000*VLOOKUP(A104,[1]kcal!$A$2:$C$49,3,FALSE)/1000000000000</f>
        <v>0</v>
      </c>
    </row>
    <row r="105" spans="1:30" x14ac:dyDescent="0.25">
      <c r="A105" s="171" t="str">
        <f t="shared" si="11"/>
        <v>Brun saft</v>
      </c>
      <c r="B105" s="171" t="str">
        <f t="shared" si="12"/>
        <v>Bionedbrydeligt affald</v>
      </c>
      <c r="C105" s="171" t="str">
        <f>IFERROR(VLOOKUP(A105,'Kategorisering af kcal'!$J$2:$K$18,2,FALSE),"")</f>
        <v/>
      </c>
      <c r="D105" s="171">
        <f>IF(COUNTIFS('Resultater - Danmark'!$D$3:$D$504,'Produktion &amp; forbrug'!A105,'Resultater - Danmark'!$A$3:$A$504,"Til energi")+COUNTIFS('Resultater - Danmark'!$D$3:$D$504,'Produktion &amp; forbrug'!A105,'Resultater - Danmark'!$A$3:$A$504,"Biogasanlæg")&gt;0,1,0)</f>
        <v>1</v>
      </c>
      <c r="E105" s="171">
        <f t="shared" si="14"/>
        <v>0</v>
      </c>
      <c r="F105" s="171">
        <f t="shared" si="23"/>
        <v>2050</v>
      </c>
      <c r="G105" s="94">
        <f>SUMIFS('Resultat-Produktion &amp; forbrug'!G$4:G$291,'Resultat-Produktion &amp; forbrug'!$A$4:$A$291,'Produktion &amp; forbrug'!$A105,'Resultat-Produktion &amp; forbrug'!$E$4:$E$291,'Produktion &amp; forbrug'!$F105)</f>
        <v>0</v>
      </c>
      <c r="H105" s="94">
        <f>SUMIFS('Resultat-Produktion &amp; forbrug'!H$4:H$291,'Resultat-Produktion &amp; forbrug'!$A$4:$A$291,'Produktion &amp; forbrug'!$A105,'Resultat-Produktion &amp; forbrug'!$E$4:$E$291,'Produktion &amp; forbrug'!$F105)</f>
        <v>0</v>
      </c>
      <c r="I105" s="94">
        <f>SUMIFS('Resultat-Produktion &amp; forbrug'!I$4:I$291,'Resultat-Produktion &amp; forbrug'!$A$4:$A$291,'Produktion &amp; forbrug'!$A105,'Resultat-Produktion &amp; forbrug'!$E$4:$E$291,'Produktion &amp; forbrug'!$F105)</f>
        <v>0</v>
      </c>
      <c r="J105" s="94">
        <f>SUMIFS('Resultat-Produktion &amp; forbrug'!J$4:J$291,'Resultat-Produktion &amp; forbrug'!$A$4:$A$291,'Produktion &amp; forbrug'!$A105,'Resultat-Produktion &amp; forbrug'!$E$4:$E$291,'Produktion &amp; forbrug'!$F105)</f>
        <v>0</v>
      </c>
      <c r="K105" s="94">
        <f>SUMIFS('Resultat-Produktion &amp; forbrug'!K$4:K$291,'Resultat-Produktion &amp; forbrug'!$A$4:$A$291,'Produktion &amp; forbrug'!$A105,'Resultat-Produktion &amp; forbrug'!$E$4:$E$291,'Produktion &amp; forbrug'!$F105)</f>
        <v>0</v>
      </c>
      <c r="L105" s="94">
        <f>SUMIFS('Resultat-Produktion &amp; forbrug'!L$4:L$291,'Resultat-Produktion &amp; forbrug'!$A$4:$A$291,'Produktion &amp; forbrug'!$A105,'Resultat-Produktion &amp; forbrug'!$E$4:$E$291,'Produktion &amp; forbrug'!$F105)</f>
        <v>0</v>
      </c>
      <c r="M105" s="94">
        <f>SUMIFS('Resultat-Produktion &amp; forbrug'!M$4:M$291,'Resultat-Produktion &amp; forbrug'!$A$4:$A$291,'Produktion &amp; forbrug'!$A105,'Resultat-Produktion &amp; forbrug'!$E$4:$E$291,'Produktion &amp; forbrug'!$F105)</f>
        <v>0</v>
      </c>
      <c r="N105" s="94">
        <f>SUMIFS('Resultat-Produktion &amp; forbrug'!N$4:N$291,'Resultat-Produktion &amp; forbrug'!$A$4:$A$291,'Produktion &amp; forbrug'!$A105,'Resultat-Produktion &amp; forbrug'!$E$4:$E$291,'Produktion &amp; forbrug'!$F105)</f>
        <v>0</v>
      </c>
      <c r="O105" s="179">
        <f t="shared" si="17"/>
        <v>0</v>
      </c>
      <c r="P105" s="94">
        <f t="shared" si="18"/>
        <v>0</v>
      </c>
      <c r="Q105" s="180">
        <f t="shared" si="19"/>
        <v>0</v>
      </c>
      <c r="R105">
        <f>IFERROR(VLOOKUP(A105,[1]Energiindhold!$A$2:$C$11,3,FALSE),IFERROR(VLOOKUP(A105,[1]Biogasudbytte!$A$2:$B$18,2,FALSE)*[1]Energiindhold!$C$10,0))*P105</f>
        <v>0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IF(A105&lt;&gt;"Biogas",IFERROR(VLOOKUP(A105,[1]Biogasudbytte!$A$2:$B$18,2,FALSE)*[1]Energiindhold!$C$10,0)*K105*IFERROR(VLOOKUP(A105,Biogasanlæg!$F$3:$G$8,2,FALSE),1)+IFERROR(VLOOKUP(A105,[1]Energiindhold!$A$2:$C$11,3,FALSE),0)*M105+IF(F105&lt;&gt;År1,R105,0),0)</f>
        <v>0</v>
      </c>
      <c r="T105">
        <f>IFERROR(VLOOKUP(A105,[1]Biogasudbytte!$A$2:$B$18,2,FALSE)*[1]Energiindhold!$C$10,0)*K105*IFERROR(VLOOKUP(A105,Biogasanlæg!$F$3:$G$8,2,FALSE),1)</f>
        <v>0</v>
      </c>
      <c r="U105" s="170">
        <f t="shared" si="20"/>
        <v>0</v>
      </c>
      <c r="V105" s="169">
        <f>P105*IFERROR(VLOOKUP(A105,[1]Tørstofindhold!A$2:B$24,2,FALSE),0)</f>
        <v>0</v>
      </c>
      <c r="W105">
        <f>IF(F105=År1,Q105,SUM(P105,Q105))*IFERROR(VLOOKUP(A105,[1]Tørstofindhold!A$2:B$24,2,FALSE),0)</f>
        <v>0</v>
      </c>
      <c r="X105">
        <f>K105*IFERROR(VLOOKUP(A105,[1]Tørstofindhold!A$2:B$24,2,FALSE),0)</f>
        <v>0</v>
      </c>
      <c r="Y105" s="170">
        <f t="shared" si="21"/>
        <v>0</v>
      </c>
      <c r="Z105">
        <f t="shared" si="24"/>
        <v>0</v>
      </c>
      <c r="AA105">
        <f t="shared" si="25"/>
        <v>0</v>
      </c>
      <c r="AC105" s="94">
        <f t="shared" si="22"/>
        <v>0</v>
      </c>
      <c r="AD105">
        <f>AC105*E105*10000*VLOOKUP(A105,[1]kcal!$A$2:$C$49,3,FALSE)/1000000000000</f>
        <v>0</v>
      </c>
    </row>
    <row r="106" spans="1:30" x14ac:dyDescent="0.25">
      <c r="A106" s="171" t="str">
        <f t="shared" si="11"/>
        <v>Dybstrøelse</v>
      </c>
      <c r="B106" s="171" t="str">
        <f t="shared" si="12"/>
        <v>Husdyrgødning</v>
      </c>
      <c r="C106" s="171" t="str">
        <f>IFERROR(VLOOKUP(A106,'Kategorisering af kcal'!$J$2:$K$18,2,FALSE),"")</f>
        <v/>
      </c>
      <c r="D106" s="171">
        <f>IF(COUNTIFS('Resultater - Danmark'!$D$3:$D$504,'Produktion &amp; forbrug'!A106,'Resultater - Danmark'!$A$3:$A$504,"Til energi")+COUNTIFS('Resultater - Danmark'!$D$3:$D$504,'Produktion &amp; forbrug'!A106,'Resultater - Danmark'!$A$3:$A$504,"Biogasanlæg")&gt;0,1,0)</f>
        <v>1</v>
      </c>
      <c r="E106" s="171">
        <f t="shared" si="14"/>
        <v>0</v>
      </c>
      <c r="F106" s="171">
        <f t="shared" si="23"/>
        <v>2050</v>
      </c>
      <c r="G106" s="94">
        <f>SUMIFS('Resultat-Produktion &amp; forbrug'!G$4:G$291,'Resultat-Produktion &amp; forbrug'!$A$4:$A$291,'Produktion &amp; forbrug'!$A106,'Resultat-Produktion &amp; forbrug'!$E$4:$E$291,'Produktion &amp; forbrug'!$F106)</f>
        <v>452335.6021929803</v>
      </c>
      <c r="H106" s="94">
        <f>SUMIFS('Resultat-Produktion &amp; forbrug'!H$4:H$291,'Resultat-Produktion &amp; forbrug'!$A$4:$A$291,'Produktion &amp; forbrug'!$A106,'Resultat-Produktion &amp; forbrug'!$E$4:$E$291,'Produktion &amp; forbrug'!$F106)</f>
        <v>0</v>
      </c>
      <c r="I106" s="94">
        <f>SUMIFS('Resultat-Produktion &amp; forbrug'!I$4:I$291,'Resultat-Produktion &amp; forbrug'!$A$4:$A$291,'Produktion &amp; forbrug'!$A106,'Resultat-Produktion &amp; forbrug'!$E$4:$E$291,'Produktion &amp; forbrug'!$F106)</f>
        <v>0</v>
      </c>
      <c r="J106" s="94">
        <f>SUMIFS('Resultat-Produktion &amp; forbrug'!J$4:J$291,'Resultat-Produktion &amp; forbrug'!$A$4:$A$291,'Produktion &amp; forbrug'!$A106,'Resultat-Produktion &amp; forbrug'!$E$4:$E$291,'Produktion &amp; forbrug'!$F106)</f>
        <v>0</v>
      </c>
      <c r="K106" s="94">
        <f>SUMIFS('Resultat-Produktion &amp; forbrug'!K$4:K$291,'Resultat-Produktion &amp; forbrug'!$A$4:$A$291,'Produktion &amp; forbrug'!$A106,'Resultat-Produktion &amp; forbrug'!$E$4:$E$291,'Produktion &amp; forbrug'!$F106)</f>
        <v>407102.0419736823</v>
      </c>
      <c r="L106" s="94">
        <f>SUMIFS('Resultat-Produktion &amp; forbrug'!L$4:L$291,'Resultat-Produktion &amp; forbrug'!$A$4:$A$291,'Produktion &amp; forbrug'!$A106,'Resultat-Produktion &amp; forbrug'!$E$4:$E$291,'Produktion &amp; forbrug'!$F106)</f>
        <v>17124.13351159139</v>
      </c>
      <c r="M106" s="94">
        <f>SUMIFS('Resultat-Produktion &amp; forbrug'!M$4:M$291,'Resultat-Produktion &amp; forbrug'!$A$4:$A$291,'Produktion &amp; forbrug'!$A106,'Resultat-Produktion &amp; forbrug'!$E$4:$E$291,'Produktion &amp; forbrug'!$F106)</f>
        <v>0</v>
      </c>
      <c r="N106" s="94">
        <f>SUMIFS('Resultat-Produktion &amp; forbrug'!N$4:N$291,'Resultat-Produktion &amp; forbrug'!$A$4:$A$291,'Produktion &amp; forbrug'!$A106,'Resultat-Produktion &amp; forbrug'!$E$4:$E$291,'Produktion &amp; forbrug'!$F106)</f>
        <v>0</v>
      </c>
      <c r="O106" s="179">
        <f t="shared" si="17"/>
        <v>28109.426707706589</v>
      </c>
      <c r="P106" s="94">
        <f t="shared" si="18"/>
        <v>28109.426707706589</v>
      </c>
      <c r="Q106" s="180">
        <f t="shared" si="19"/>
        <v>407102.0419736823</v>
      </c>
      <c r="R106">
        <f>IFERROR(VLOOKUP(A106,[1]Energiindhold!$A$2:$C$11,3,FALSE),IFERROR(VLOOKUP(A106,[1]Biogasudbytte!$A$2:$B$18,2,FALSE)*[1]Energiindhold!$C$10,0))*P106</f>
        <v>6.0547705128399992E-2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IF(A106&lt;&gt;"Biogas",IFERROR(VLOOKUP(A106,[1]Biogasudbytte!$A$2:$B$18,2,FALSE)*[1]Energiindhold!$C$10,0)*K106*IFERROR(VLOOKUP(A106,Biogasanlæg!$F$3:$G$8,2,FALSE),1)+IFERROR(VLOOKUP(A106,[1]Energiindhold!$A$2:$C$11,3,FALSE),0)*M106+IF(F106&lt;&gt;År1,R106,0),0)</f>
        <v>0.93744550353971168</v>
      </c>
      <c r="T106">
        <f>IFERROR(VLOOKUP(A106,[1]Biogasudbytte!$A$2:$B$18,2,FALSE)*[1]Energiindhold!$C$10,0)*K106*IFERROR(VLOOKUP(A106,Biogasanlæg!$F$3:$G$8,2,FALSE),1)</f>
        <v>0.87689779841131166</v>
      </c>
      <c r="U106" s="170">
        <f t="shared" si="20"/>
        <v>6.054770512840002E-2</v>
      </c>
      <c r="V106" s="169">
        <f>P106*IFERROR(VLOOKUP(A106,[1]Tørstofindhold!A$2:B$24,2,FALSE),0)</f>
        <v>8432.8280123119766</v>
      </c>
      <c r="W106">
        <f>IF(F106=År1,Q106,SUM(P106,Q106))*IFERROR(VLOOKUP(A106,[1]Tørstofindhold!A$2:B$24,2,FALSE),0)</f>
        <v>130563.44060441665</v>
      </c>
      <c r="X106">
        <f>K106*IFERROR(VLOOKUP(A106,[1]Tørstofindhold!A$2:B$24,2,FALSE),0)</f>
        <v>122130.61259210468</v>
      </c>
      <c r="Y106" s="170">
        <f t="shared" si="21"/>
        <v>8432.8280123119766</v>
      </c>
      <c r="Z106">
        <f t="shared" si="24"/>
        <v>0</v>
      </c>
      <c r="AA106">
        <f t="shared" si="25"/>
        <v>1</v>
      </c>
      <c r="AC106" s="94">
        <f t="shared" si="22"/>
        <v>28109.426707706589</v>
      </c>
      <c r="AD106">
        <f>AC106*E106*10000*VLOOKUP(A106,[1]kcal!$A$2:$C$49,3,FALSE)/1000000000000</f>
        <v>0</v>
      </c>
    </row>
    <row r="107" spans="1:30" x14ac:dyDescent="0.25">
      <c r="A107" s="171" t="str">
        <f t="shared" si="11"/>
        <v>Fiberfraktion</v>
      </c>
      <c r="B107" s="171" t="str">
        <f t="shared" si="12"/>
        <v/>
      </c>
      <c r="C107" s="171" t="str">
        <f>IFERROR(VLOOKUP(A107,'Kategorisering af kcal'!$J$2:$K$18,2,FALSE),"")</f>
        <v/>
      </c>
      <c r="D107" s="171">
        <f>IF(COUNTIFS('Resultater - Danmark'!$D$3:$D$504,'Produktion &amp; forbrug'!A107,'Resultater - Danmark'!$A$3:$A$504,"Til energi")+COUNTIFS('Resultater - Danmark'!$D$3:$D$504,'Produktion &amp; forbrug'!A107,'Resultater - Danmark'!$A$3:$A$504,"Biogasanlæg")&gt;0,1,0)</f>
        <v>0</v>
      </c>
      <c r="E107" s="171">
        <f t="shared" si="14"/>
        <v>0</v>
      </c>
      <c r="F107" s="171">
        <f t="shared" si="23"/>
        <v>2050</v>
      </c>
      <c r="G107" s="94">
        <f>SUMIFS('Resultat-Produktion &amp; forbrug'!G$4:G$291,'Resultat-Produktion &amp; forbrug'!$A$4:$A$291,'Produktion &amp; forbrug'!$A107,'Resultat-Produktion &amp; forbrug'!$E$4:$E$291,'Produktion &amp; forbrug'!$F107)</f>
        <v>0</v>
      </c>
      <c r="H107" s="94">
        <f>SUMIFS('Resultat-Produktion &amp; forbrug'!H$4:H$291,'Resultat-Produktion &amp; forbrug'!$A$4:$A$291,'Produktion &amp; forbrug'!$A107,'Resultat-Produktion &amp; forbrug'!$E$4:$E$291,'Produktion &amp; forbrug'!$F107)</f>
        <v>0</v>
      </c>
      <c r="I107" s="94">
        <f>SUMIFS('Resultat-Produktion &amp; forbrug'!I$4:I$291,'Resultat-Produktion &amp; forbrug'!$A$4:$A$291,'Produktion &amp; forbrug'!$A107,'Resultat-Produktion &amp; forbrug'!$E$4:$E$291,'Produktion &amp; forbrug'!$F107)</f>
        <v>0</v>
      </c>
      <c r="J107" s="94">
        <f>SUMIFS('Resultat-Produktion &amp; forbrug'!J$4:J$291,'Resultat-Produktion &amp; forbrug'!$A$4:$A$291,'Produktion &amp; forbrug'!$A107,'Resultat-Produktion &amp; forbrug'!$E$4:$E$291,'Produktion &amp; forbrug'!$F107)</f>
        <v>0</v>
      </c>
      <c r="K107" s="94">
        <f>SUMIFS('Resultat-Produktion &amp; forbrug'!K$4:K$291,'Resultat-Produktion &amp; forbrug'!$A$4:$A$291,'Produktion &amp; forbrug'!$A107,'Resultat-Produktion &amp; forbrug'!$E$4:$E$291,'Produktion &amp; forbrug'!$F107)</f>
        <v>0</v>
      </c>
      <c r="L107" s="94">
        <f>SUMIFS('Resultat-Produktion &amp; forbrug'!L$4:L$291,'Resultat-Produktion &amp; forbrug'!$A$4:$A$291,'Produktion &amp; forbrug'!$A107,'Resultat-Produktion &amp; forbrug'!$E$4:$E$291,'Produktion &amp; forbrug'!$F107)</f>
        <v>0</v>
      </c>
      <c r="M107" s="94">
        <f>SUMIFS('Resultat-Produktion &amp; forbrug'!M$4:M$291,'Resultat-Produktion &amp; forbrug'!$A$4:$A$291,'Produktion &amp; forbrug'!$A107,'Resultat-Produktion &amp; forbrug'!$E$4:$E$291,'Produktion &amp; forbrug'!$F107)</f>
        <v>0</v>
      </c>
      <c r="N107" s="94">
        <f>SUMIFS('Resultat-Produktion &amp; forbrug'!N$4:N$291,'Resultat-Produktion &amp; forbrug'!$A$4:$A$291,'Produktion &amp; forbrug'!$A107,'Resultat-Produktion &amp; forbrug'!$E$4:$E$291,'Produktion &amp; forbrug'!$F107)</f>
        <v>0</v>
      </c>
      <c r="O107" s="179">
        <f t="shared" si="17"/>
        <v>0</v>
      </c>
      <c r="P107" s="94">
        <f t="shared" si="18"/>
        <v>0</v>
      </c>
      <c r="Q107" s="180">
        <f t="shared" si="19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IF(A107&lt;&gt;"Biogas",IFERROR(VLOOKUP(A107,[1]Biogasudbytte!$A$2:$B$18,2,FALSE)*[1]Energiindhold!$C$10,0)*K107*IFERROR(VLOOKUP(A107,Biogasanlæg!$F$3:$G$8,2,FALSE),1)+IFERROR(VLOOKUP(A107,[1]Energiindhold!$A$2:$C$11,3,FALSE),0)*M107+IF(F107&lt;&gt;År1,R107,0),0)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0"/>
        <v>0</v>
      </c>
      <c r="V107" s="169">
        <f>P107*IFERROR(VLOOKUP(A107,[1]Tørstofindhold!A$2:B$24,2,FALSE),0)</f>
        <v>0</v>
      </c>
      <c r="W107">
        <f>IF(F107=År1,Q107,SUM(P107,Q107))*IFERROR(VLOOKUP(A107,[1]Tørstofindhold!A$2:B$24,2,FALSE),0)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1"/>
        <v>0</v>
      </c>
      <c r="Z107">
        <f t="shared" si="24"/>
        <v>0</v>
      </c>
      <c r="AA107">
        <f t="shared" si="25"/>
        <v>0</v>
      </c>
      <c r="AC107" s="94">
        <f t="shared" si="22"/>
        <v>0</v>
      </c>
      <c r="AD107">
        <f>AC107*E107*10000*VLOOKUP(A107,[1]kcal!$A$2:$C$49,3,FALSE)/1000000000000</f>
        <v>0</v>
      </c>
    </row>
    <row r="108" spans="1:30" x14ac:dyDescent="0.25">
      <c r="A108" s="171" t="str">
        <f t="shared" si="11"/>
        <v>Fjerkrægylle</v>
      </c>
      <c r="B108" s="171" t="str">
        <f t="shared" si="12"/>
        <v>Husdyrgødning</v>
      </c>
      <c r="C108" s="171" t="str">
        <f>IFERROR(VLOOKUP(A108,'Kategorisering af kcal'!$J$2:$K$18,2,FALSE),"")</f>
        <v/>
      </c>
      <c r="D108" s="171">
        <f>IF(COUNTIFS('Resultater - Danmark'!$D$3:$D$504,'Produktion &amp; forbrug'!A108,'Resultater - Danmark'!$A$3:$A$504,"Til energi")+COUNTIFS('Resultater - Danmark'!$D$3:$D$504,'Produktion &amp; forbrug'!A108,'Resultater - Danmark'!$A$3:$A$504,"Biogasanlæg")&gt;0,1,0)</f>
        <v>1</v>
      </c>
      <c r="E108" s="171">
        <f t="shared" si="14"/>
        <v>0</v>
      </c>
      <c r="F108" s="171">
        <f t="shared" si="23"/>
        <v>2050</v>
      </c>
      <c r="G108" s="94">
        <f>SUMIFS('Resultat-Produktion &amp; forbrug'!G$4:G$291,'Resultat-Produktion &amp; forbrug'!$A$4:$A$291,'Produktion &amp; forbrug'!$A108,'Resultat-Produktion &amp; forbrug'!$E$4:$E$291,'Produktion &amp; forbrug'!$F108)</f>
        <v>6089.9666820052507</v>
      </c>
      <c r="H108" s="94">
        <f>SUMIFS('Resultat-Produktion &amp; forbrug'!H$4:H$291,'Resultat-Produktion &amp; forbrug'!$A$4:$A$291,'Produktion &amp; forbrug'!$A108,'Resultat-Produktion &amp; forbrug'!$E$4:$E$291,'Produktion &amp; forbrug'!$F108)</f>
        <v>0</v>
      </c>
      <c r="I108" s="94">
        <f>SUMIFS('Resultat-Produktion &amp; forbrug'!I$4:I$291,'Resultat-Produktion &amp; forbrug'!$A$4:$A$291,'Produktion &amp; forbrug'!$A108,'Resultat-Produktion &amp; forbrug'!$E$4:$E$291,'Produktion &amp; forbrug'!$F108)</f>
        <v>0</v>
      </c>
      <c r="J108" s="94">
        <f>SUMIFS('Resultat-Produktion &amp; forbrug'!J$4:J$291,'Resultat-Produktion &amp; forbrug'!$A$4:$A$291,'Produktion &amp; forbrug'!$A108,'Resultat-Produktion &amp; forbrug'!$E$4:$E$291,'Produktion &amp; forbrug'!$F108)</f>
        <v>0</v>
      </c>
      <c r="K108" s="94">
        <f>SUMIFS('Resultat-Produktion &amp; forbrug'!K$4:K$291,'Resultat-Produktion &amp; forbrug'!$A$4:$A$291,'Produktion &amp; forbrug'!$A108,'Resultat-Produktion &amp; forbrug'!$E$4:$E$291,'Produktion &amp; forbrug'!$F108)</f>
        <v>5480.9700138047265</v>
      </c>
      <c r="L108" s="94">
        <f>SUMIFS('Resultat-Produktion &amp; forbrug'!L$4:L$291,'Resultat-Produktion &amp; forbrug'!$A$4:$A$291,'Produktion &amp; forbrug'!$A108,'Resultat-Produktion &amp; forbrug'!$E$4:$E$291,'Produktion &amp; forbrug'!$F108)</f>
        <v>608.99666820052505</v>
      </c>
      <c r="M108" s="94">
        <f>SUMIFS('Resultat-Produktion &amp; forbrug'!M$4:M$291,'Resultat-Produktion &amp; forbrug'!$A$4:$A$291,'Produktion &amp; forbrug'!$A108,'Resultat-Produktion &amp; forbrug'!$E$4:$E$291,'Produktion &amp; forbrug'!$F108)</f>
        <v>0</v>
      </c>
      <c r="N108" s="94">
        <f>SUMIFS('Resultat-Produktion &amp; forbrug'!N$4:N$291,'Resultat-Produktion &amp; forbrug'!$A$4:$A$291,'Produktion &amp; forbrug'!$A108,'Resultat-Produktion &amp; forbrug'!$E$4:$E$291,'Produktion &amp; forbrug'!$F108)</f>
        <v>0</v>
      </c>
      <c r="O108" s="179">
        <f t="shared" si="17"/>
        <v>0</v>
      </c>
      <c r="P108" s="94">
        <f t="shared" si="18"/>
        <v>0</v>
      </c>
      <c r="Q108" s="180">
        <f t="shared" si="19"/>
        <v>5480.9700138047265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IF(A108&lt;&gt;"Biogas",IFERROR(VLOOKUP(A108,[1]Biogasudbytte!$A$2:$B$18,2,FALSE)*[1]Energiindhold!$C$10,0)*K108*IFERROR(VLOOKUP(A108,Biogasanlæg!$F$3:$G$8,2,FALSE),1)+IFERROR(VLOOKUP(A108,[1]Energiindhold!$A$2:$C$11,3,FALSE),0)*M108+IF(F108&lt;&gt;År1,R108,0),0)</f>
        <v>2.5776453877922249E-3</v>
      </c>
      <c r="T108">
        <f>IFERROR(VLOOKUP(A108,[1]Biogasudbytte!$A$2:$B$18,2,FALSE)*[1]Energiindhold!$C$10,0)*K108*IFERROR(VLOOKUP(A108,Biogasanlæg!$F$3:$G$8,2,FALSE),1)</f>
        <v>2.5776453877922249E-3</v>
      </c>
      <c r="U108" s="170">
        <f t="shared" si="20"/>
        <v>0</v>
      </c>
      <c r="V108" s="169">
        <f>P108*IFERROR(VLOOKUP(A108,[1]Tørstofindhold!A$2:B$24,2,FALSE),0)</f>
        <v>0</v>
      </c>
      <c r="W108">
        <f>IF(F108=År1,Q108,SUM(P108,Q108))*IFERROR(VLOOKUP(A108,[1]Tørstofindhold!A$2:B$24,2,FALSE),0)</f>
        <v>345.30111086969777</v>
      </c>
      <c r="X108">
        <f>K108*IFERROR(VLOOKUP(A108,[1]Tørstofindhold!A$2:B$24,2,FALSE),0)</f>
        <v>345.30111086969777</v>
      </c>
      <c r="Y108" s="170">
        <f t="shared" si="21"/>
        <v>0</v>
      </c>
      <c r="Z108">
        <f t="shared" si="24"/>
        <v>0</v>
      </c>
      <c r="AA108">
        <f t="shared" si="25"/>
        <v>0</v>
      </c>
      <c r="AC108" s="94">
        <f t="shared" si="22"/>
        <v>0</v>
      </c>
      <c r="AD108">
        <f>AC108*E108*10000*VLOOKUP(A108,[1]kcal!$A$2:$C$49,3,FALSE)/1000000000000</f>
        <v>0</v>
      </c>
    </row>
    <row r="109" spans="1:30" x14ac:dyDescent="0.25">
      <c r="A109" s="171" t="str">
        <f t="shared" si="11"/>
        <v>Fjerkrækød</v>
      </c>
      <c r="B109" s="171" t="str">
        <f t="shared" si="12"/>
        <v/>
      </c>
      <c r="C109" s="171" t="str">
        <f>IFERROR(VLOOKUP(A109,'Kategorisering af kcal'!$J$2:$K$18,2,FALSE),"")</f>
        <v>Kød</v>
      </c>
      <c r="D109" s="171">
        <f>IF(COUNTIFS('Resultater - Danmark'!$D$3:$D$504,'Produktion &amp; forbrug'!A109,'Resultater - Danmark'!$A$3:$A$504,"Til energi")+COUNTIFS('Resultater - Danmark'!$D$3:$D$504,'Produktion &amp; forbrug'!A109,'Resultater - Danmark'!$A$3:$A$504,"Biogasanlæg")&gt;0,1,0)</f>
        <v>0</v>
      </c>
      <c r="E109" s="171">
        <f t="shared" si="14"/>
        <v>1</v>
      </c>
      <c r="F109" s="171">
        <f t="shared" si="23"/>
        <v>2050</v>
      </c>
      <c r="G109" s="94">
        <f>SUMIFS('Resultat-Produktion &amp; forbrug'!G$4:G$291,'Resultat-Produktion &amp; forbrug'!$A$4:$A$291,'Produktion &amp; forbrug'!$A109,'Resultat-Produktion &amp; forbrug'!$E$4:$E$291,'Produktion &amp; forbrug'!$F109)</f>
        <v>6505.3390543143432</v>
      </c>
      <c r="H109" s="94">
        <f>SUMIFS('Resultat-Produktion &amp; forbrug'!H$4:H$291,'Resultat-Produktion &amp; forbrug'!$A$4:$A$291,'Produktion &amp; forbrug'!$A109,'Resultat-Produktion &amp; forbrug'!$E$4:$E$291,'Produktion &amp; forbrug'!$F109)</f>
        <v>0</v>
      </c>
      <c r="I109" s="94">
        <f>SUMIFS('Resultat-Produktion &amp; forbrug'!I$4:I$291,'Resultat-Produktion &amp; forbrug'!$A$4:$A$291,'Produktion &amp; forbrug'!$A109,'Resultat-Produktion &amp; forbrug'!$E$4:$E$291,'Produktion &amp; forbrug'!$F109)</f>
        <v>0</v>
      </c>
      <c r="J109" s="94">
        <f>SUMIFS('Resultat-Produktion &amp; forbrug'!J$4:J$291,'Resultat-Produktion &amp; forbrug'!$A$4:$A$291,'Produktion &amp; forbrug'!$A109,'Resultat-Produktion &amp; forbrug'!$E$4:$E$291,'Produktion &amp; forbrug'!$F109)</f>
        <v>68663.801815425672</v>
      </c>
      <c r="K109" s="94">
        <f>SUMIFS('Resultat-Produktion &amp; forbrug'!K$4:K$291,'Resultat-Produktion &amp; forbrug'!$A$4:$A$291,'Produktion &amp; forbrug'!$A109,'Resultat-Produktion &amp; forbrug'!$E$4:$E$291,'Produktion &amp; forbrug'!$F109)</f>
        <v>0</v>
      </c>
      <c r="L109" s="94">
        <f>SUMIFS('Resultat-Produktion &amp; forbrug'!L$4:L$291,'Resultat-Produktion &amp; forbrug'!$A$4:$A$291,'Produktion &amp; forbrug'!$A109,'Resultat-Produktion &amp; forbrug'!$E$4:$E$291,'Produktion &amp; forbrug'!$F109)</f>
        <v>0</v>
      </c>
      <c r="M109" s="94">
        <f>SUMIFS('Resultat-Produktion &amp; forbrug'!M$4:M$291,'Resultat-Produktion &amp; forbrug'!$A$4:$A$291,'Produktion &amp; forbrug'!$A109,'Resultat-Produktion &amp; forbrug'!$E$4:$E$291,'Produktion &amp; forbrug'!$F109)</f>
        <v>0</v>
      </c>
      <c r="N109" s="94">
        <f>SUMIFS('Resultat-Produktion &amp; forbrug'!N$4:N$291,'Resultat-Produktion &amp; forbrug'!$A$4:$A$291,'Produktion &amp; forbrug'!$A109,'Resultat-Produktion &amp; forbrug'!$E$4:$E$291,'Produktion &amp; forbrug'!$F109)</f>
        <v>0</v>
      </c>
      <c r="O109" s="179">
        <f t="shared" si="17"/>
        <v>-62158.462761111325</v>
      </c>
      <c r="P109" s="94">
        <f t="shared" si="18"/>
        <v>0</v>
      </c>
      <c r="Q109" s="180">
        <f t="shared" si="19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IF(A109&lt;&gt;"Biogas",IFERROR(VLOOKUP(A109,[1]Biogasudbytte!$A$2:$B$18,2,FALSE)*[1]Energiindhold!$C$10,0)*K109*IFERROR(VLOOKUP(A109,Biogasanlæg!$F$3:$G$8,2,FALSE),1)+IFERROR(VLOOKUP(A109,[1]Energiindhold!$A$2:$C$11,3,FALSE),0)*M109+IF(F109&lt;&gt;År1,R109,0),0)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0"/>
        <v>0</v>
      </c>
      <c r="V109" s="169">
        <f>P109*IFERROR(VLOOKUP(A109,[1]Tørstofindhold!A$2:B$24,2,FALSE),0)</f>
        <v>0</v>
      </c>
      <c r="W109">
        <f>IF(F109=År1,Q109,SUM(P109,Q109))*IFERROR(VLOOKUP(A109,[1]Tørstofindhold!A$2:B$24,2,FALSE),0)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1"/>
        <v>0</v>
      </c>
      <c r="Z109">
        <f t="shared" si="24"/>
        <v>1</v>
      </c>
      <c r="AA109">
        <f t="shared" si="25"/>
        <v>0</v>
      </c>
      <c r="AC109" s="94">
        <f t="shared" si="22"/>
        <v>6505.3390543143432</v>
      </c>
      <c r="AD109">
        <f>AC109*E109*10000*VLOOKUP(A109,[1]kcal!$A$2:$C$49,3,FALSE)/1000000000000</f>
        <v>9.8881153625578009E-3</v>
      </c>
    </row>
    <row r="110" spans="1:30" x14ac:dyDescent="0.25">
      <c r="A110" s="171" t="str">
        <f t="shared" si="11"/>
        <v>Frø</v>
      </c>
      <c r="B110" s="171" t="str">
        <f t="shared" si="12"/>
        <v/>
      </c>
      <c r="C110" s="171" t="str">
        <f>IFERROR(VLOOKUP(A110,'Kategorisering af kcal'!$J$2:$K$18,2,FALSE),"")</f>
        <v/>
      </c>
      <c r="D110" s="171">
        <f>IF(COUNTIFS('Resultater - Danmark'!$D$3:$D$504,'Produktion &amp; forbrug'!A110,'Resultater - Danmark'!$A$3:$A$504,"Til energi")+COUNTIFS('Resultater - Danmark'!$D$3:$D$504,'Produktion &amp; forbrug'!A110,'Resultater - Danmark'!$A$3:$A$504,"Biogasanlæg")&gt;0,1,0)</f>
        <v>0</v>
      </c>
      <c r="E110" s="171">
        <f t="shared" si="14"/>
        <v>0</v>
      </c>
      <c r="F110" s="171">
        <f t="shared" si="23"/>
        <v>2050</v>
      </c>
      <c r="G110" s="94">
        <f>SUMIFS('Resultat-Produktion &amp; forbrug'!G$4:G$291,'Resultat-Produktion &amp; forbrug'!$A$4:$A$291,'Produktion &amp; forbrug'!$A110,'Resultat-Produktion &amp; forbrug'!$E$4:$E$291,'Produktion &amp; forbrug'!$F110)</f>
        <v>7956.3105810060788</v>
      </c>
      <c r="H110" s="94">
        <f>SUMIFS('Resultat-Produktion &amp; forbrug'!H$4:H$291,'Resultat-Produktion &amp; forbrug'!$A$4:$A$291,'Produktion &amp; forbrug'!$A110,'Resultat-Produktion &amp; forbrug'!$E$4:$E$291,'Produktion &amp; forbrug'!$F110)</f>
        <v>0</v>
      </c>
      <c r="I110" s="94">
        <f>SUMIFS('Resultat-Produktion &amp; forbrug'!I$4:I$291,'Resultat-Produktion &amp; forbrug'!$A$4:$A$291,'Produktion &amp; forbrug'!$A110,'Resultat-Produktion &amp; forbrug'!$E$4:$E$291,'Produktion &amp; forbrug'!$F110)</f>
        <v>0</v>
      </c>
      <c r="J110" s="94">
        <f>SUMIFS('Resultat-Produktion &amp; forbrug'!J$4:J$291,'Resultat-Produktion &amp; forbrug'!$A$4:$A$291,'Produktion &amp; forbrug'!$A110,'Resultat-Produktion &amp; forbrug'!$E$4:$E$291,'Produktion &amp; forbrug'!$F110)</f>
        <v>0</v>
      </c>
      <c r="K110" s="94">
        <f>SUMIFS('Resultat-Produktion &amp; forbrug'!K$4:K$291,'Resultat-Produktion &amp; forbrug'!$A$4:$A$291,'Produktion &amp; forbrug'!$A110,'Resultat-Produktion &amp; forbrug'!$E$4:$E$291,'Produktion &amp; forbrug'!$F110)</f>
        <v>0</v>
      </c>
      <c r="L110" s="94">
        <f>SUMIFS('Resultat-Produktion &amp; forbrug'!L$4:L$291,'Resultat-Produktion &amp; forbrug'!$A$4:$A$291,'Produktion &amp; forbrug'!$A110,'Resultat-Produktion &amp; forbrug'!$E$4:$E$291,'Produktion &amp; forbrug'!$F110)</f>
        <v>0</v>
      </c>
      <c r="M110" s="94">
        <f>SUMIFS('Resultat-Produktion &amp; forbrug'!M$4:M$291,'Resultat-Produktion &amp; forbrug'!$A$4:$A$291,'Produktion &amp; forbrug'!$A110,'Resultat-Produktion &amp; forbrug'!$E$4:$E$291,'Produktion &amp; forbrug'!$F110)</f>
        <v>0</v>
      </c>
      <c r="N110" s="94">
        <f>SUMIFS('Resultat-Produktion &amp; forbrug'!N$4:N$291,'Resultat-Produktion &amp; forbrug'!$A$4:$A$291,'Produktion &amp; forbrug'!$A110,'Resultat-Produktion &amp; forbrug'!$E$4:$E$291,'Produktion &amp; forbrug'!$F110)</f>
        <v>0</v>
      </c>
      <c r="O110" s="179">
        <f t="shared" si="17"/>
        <v>7956.3105810060788</v>
      </c>
      <c r="P110" s="94">
        <f t="shared" si="18"/>
        <v>0</v>
      </c>
      <c r="Q110" s="180">
        <f t="shared" si="19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IF(A110&lt;&gt;"Biogas",IFERROR(VLOOKUP(A110,[1]Biogasudbytte!$A$2:$B$18,2,FALSE)*[1]Energiindhold!$C$10,0)*K110*IFERROR(VLOOKUP(A110,Biogasanlæg!$F$3:$G$8,2,FALSE),1)+IFERROR(VLOOKUP(A110,[1]Energiindhold!$A$2:$C$11,3,FALSE),0)*M110+IF(F110&lt;&gt;År1,R110,0),0)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0"/>
        <v>0</v>
      </c>
      <c r="V110" s="169">
        <f>P110*IFERROR(VLOOKUP(A110,[1]Tørstofindhold!A$2:B$24,2,FALSE),0)</f>
        <v>0</v>
      </c>
      <c r="W110">
        <f>IF(F110=År1,Q110,SUM(P110,Q110))*IFERROR(VLOOKUP(A110,[1]Tørstofindhold!A$2:B$24,2,FALSE),0)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1"/>
        <v>0</v>
      </c>
      <c r="Z110">
        <f t="shared" si="24"/>
        <v>0</v>
      </c>
      <c r="AA110">
        <f t="shared" si="25"/>
        <v>1</v>
      </c>
      <c r="AC110" s="94">
        <f t="shared" si="22"/>
        <v>7956.3105810060788</v>
      </c>
      <c r="AD110">
        <f>AC110*E110*10000*VLOOKUP(A110,[1]kcal!$A$2:$C$49,3,FALSE)/1000000000000</f>
        <v>0</v>
      </c>
    </row>
    <row r="111" spans="1:30" x14ac:dyDescent="0.25">
      <c r="A111" s="171" t="str">
        <f t="shared" si="11"/>
        <v>Frugt</v>
      </c>
      <c r="B111" s="171" t="str">
        <f t="shared" si="12"/>
        <v/>
      </c>
      <c r="C111" s="171" t="str">
        <f>IFERROR(VLOOKUP(A111,'Kategorisering af kcal'!$J$2:$K$18,2,FALSE),"")</f>
        <v>Frugt</v>
      </c>
      <c r="D111" s="171">
        <f>IF(COUNTIFS('Resultater - Danmark'!$D$3:$D$504,'Produktion &amp; forbrug'!A111,'Resultater - Danmark'!$A$3:$A$504,"Til energi")+COUNTIFS('Resultater - Danmark'!$D$3:$D$504,'Produktion &amp; forbrug'!A111,'Resultater - Danmark'!$A$3:$A$504,"Biogasanlæg")&gt;0,1,0)</f>
        <v>0</v>
      </c>
      <c r="E111" s="171">
        <f t="shared" si="14"/>
        <v>1</v>
      </c>
      <c r="F111" s="171">
        <f t="shared" si="23"/>
        <v>2050</v>
      </c>
      <c r="G111" s="94">
        <f>SUMIFS('Resultat-Produktion &amp; forbrug'!G$4:G$291,'Resultat-Produktion &amp; forbrug'!$A$4:$A$291,'Produktion &amp; forbrug'!$A111,'Resultat-Produktion &amp; forbrug'!$E$4:$E$291,'Produktion &amp; forbrug'!$F111)</f>
        <v>2354707.4039920969</v>
      </c>
      <c r="H111" s="94">
        <f>SUMIFS('Resultat-Produktion &amp; forbrug'!H$4:H$291,'Resultat-Produktion &amp; forbrug'!$A$4:$A$291,'Produktion &amp; forbrug'!$A111,'Resultat-Produktion &amp; forbrug'!$E$4:$E$291,'Produktion &amp; forbrug'!$F111)</f>
        <v>0</v>
      </c>
      <c r="I111" s="94">
        <f>SUMIFS('Resultat-Produktion &amp; forbrug'!I$4:I$291,'Resultat-Produktion &amp; forbrug'!$A$4:$A$291,'Produktion &amp; forbrug'!$A111,'Resultat-Produktion &amp; forbrug'!$E$4:$E$291,'Produktion &amp; forbrug'!$F111)</f>
        <v>0</v>
      </c>
      <c r="J111" s="94">
        <f>SUMIFS('Resultat-Produktion &amp; forbrug'!J$4:J$291,'Resultat-Produktion &amp; forbrug'!$A$4:$A$291,'Produktion &amp; forbrug'!$A111,'Resultat-Produktion &amp; forbrug'!$E$4:$E$291,'Produktion &amp; forbrug'!$F111)</f>
        <v>501773.93634349527</v>
      </c>
      <c r="K111" s="94">
        <f>SUMIFS('Resultat-Produktion &amp; forbrug'!K$4:K$291,'Resultat-Produktion &amp; forbrug'!$A$4:$A$291,'Produktion &amp; forbrug'!$A111,'Resultat-Produktion &amp; forbrug'!$E$4:$E$291,'Produktion &amp; forbrug'!$F111)</f>
        <v>0</v>
      </c>
      <c r="L111" s="94">
        <f>SUMIFS('Resultat-Produktion &amp; forbrug'!L$4:L$291,'Resultat-Produktion &amp; forbrug'!$A$4:$A$291,'Produktion &amp; forbrug'!$A111,'Resultat-Produktion &amp; forbrug'!$E$4:$E$291,'Produktion &amp; forbrug'!$F111)</f>
        <v>0</v>
      </c>
      <c r="M111" s="94">
        <f>SUMIFS('Resultat-Produktion &amp; forbrug'!M$4:M$291,'Resultat-Produktion &amp; forbrug'!$A$4:$A$291,'Produktion &amp; forbrug'!$A111,'Resultat-Produktion &amp; forbrug'!$E$4:$E$291,'Produktion &amp; forbrug'!$F111)</f>
        <v>0</v>
      </c>
      <c r="N111" s="94">
        <f>SUMIFS('Resultat-Produktion &amp; forbrug'!N$4:N$291,'Resultat-Produktion &amp; forbrug'!$A$4:$A$291,'Produktion &amp; forbrug'!$A111,'Resultat-Produktion &amp; forbrug'!$E$4:$E$291,'Produktion &amp; forbrug'!$F111)</f>
        <v>0</v>
      </c>
      <c r="O111" s="179">
        <f t="shared" si="17"/>
        <v>1852933.4676486016</v>
      </c>
      <c r="P111" s="94">
        <f t="shared" si="18"/>
        <v>0</v>
      </c>
      <c r="Q111" s="180">
        <f t="shared" si="19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IF(A111&lt;&gt;"Biogas",IFERROR(VLOOKUP(A111,[1]Biogasudbytte!$A$2:$B$18,2,FALSE)*[1]Energiindhold!$C$10,0)*K111*IFERROR(VLOOKUP(A111,Biogasanlæg!$F$3:$G$8,2,FALSE),1)+IFERROR(VLOOKUP(A111,[1]Energiindhold!$A$2:$C$11,3,FALSE),0)*M111+IF(F111&lt;&gt;År1,R111,0),0)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0"/>
        <v>0</v>
      </c>
      <c r="V111" s="169">
        <f>P111*IFERROR(VLOOKUP(A111,[1]Tørstofindhold!A$2:B$24,2,FALSE),0)</f>
        <v>0</v>
      </c>
      <c r="W111">
        <f>IF(F111=År1,Q111,SUM(P111,Q111))*IFERROR(VLOOKUP(A111,[1]Tørstofindhold!A$2:B$24,2,FALSE),0)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1"/>
        <v>0</v>
      </c>
      <c r="Z111">
        <f t="shared" si="24"/>
        <v>0</v>
      </c>
      <c r="AA111">
        <f t="shared" si="25"/>
        <v>1</v>
      </c>
      <c r="AC111" s="94">
        <f t="shared" si="22"/>
        <v>2354707.4039920969</v>
      </c>
      <c r="AD111">
        <f>AC111*E111*10000*VLOOKUP(A111,[1]kcal!$A$2:$C$49,3,FALSE)/1000000000000</f>
        <v>1.2244478500758904</v>
      </c>
    </row>
    <row r="112" spans="1:30" x14ac:dyDescent="0.25">
      <c r="A112" s="171" t="str">
        <f t="shared" si="11"/>
        <v>Glycerin</v>
      </c>
      <c r="B112" s="171" t="str">
        <f t="shared" si="12"/>
        <v>Glycerin</v>
      </c>
      <c r="C112" s="171" t="str">
        <f>IFERROR(VLOOKUP(A112,'Kategorisering af kcal'!$J$2:$K$18,2,FALSE),"")</f>
        <v/>
      </c>
      <c r="D112" s="171">
        <f>IF(COUNTIFS('Resultater - Danmark'!$D$3:$D$504,'Produktion &amp; forbrug'!A112,'Resultater - Danmark'!$A$3:$A$504,"Til energi")+COUNTIFS('Resultater - Danmark'!$D$3:$D$504,'Produktion &amp; forbrug'!A112,'Resultater - Danmark'!$A$3:$A$504,"Biogasanlæg")&gt;0,1,0)</f>
        <v>1</v>
      </c>
      <c r="E112" s="171">
        <f t="shared" si="14"/>
        <v>0</v>
      </c>
      <c r="F112" s="171">
        <f t="shared" si="23"/>
        <v>2050</v>
      </c>
      <c r="G112" s="94">
        <f>SUMIFS('Resultat-Produktion &amp; forbrug'!G$4:G$291,'Resultat-Produktion &amp; forbrug'!$A$4:$A$291,'Produktion &amp; forbrug'!$A112,'Resultat-Produktion &amp; forbrug'!$E$4:$E$291,'Produktion &amp; forbrug'!$F112)</f>
        <v>0</v>
      </c>
      <c r="H112" s="94">
        <f>SUMIFS('Resultat-Produktion &amp; forbrug'!H$4:H$291,'Resultat-Produktion &amp; forbrug'!$A$4:$A$291,'Produktion &amp; forbrug'!$A112,'Resultat-Produktion &amp; forbrug'!$E$4:$E$291,'Produktion &amp; forbrug'!$F112)</f>
        <v>0</v>
      </c>
      <c r="I112" s="94">
        <f>SUMIFS('Resultat-Produktion &amp; forbrug'!I$4:I$291,'Resultat-Produktion &amp; forbrug'!$A$4:$A$291,'Produktion &amp; forbrug'!$A112,'Resultat-Produktion &amp; forbrug'!$E$4:$E$291,'Produktion &amp; forbrug'!$F112)</f>
        <v>0</v>
      </c>
      <c r="J112" s="94">
        <f>SUMIFS('Resultat-Produktion &amp; forbrug'!J$4:J$291,'Resultat-Produktion &amp; forbrug'!$A$4:$A$291,'Produktion &amp; forbrug'!$A112,'Resultat-Produktion &amp; forbrug'!$E$4:$E$291,'Produktion &amp; forbrug'!$F112)</f>
        <v>0</v>
      </c>
      <c r="K112" s="94">
        <f>SUMIFS('Resultat-Produktion &amp; forbrug'!K$4:K$291,'Resultat-Produktion &amp; forbrug'!$A$4:$A$291,'Produktion &amp; forbrug'!$A112,'Resultat-Produktion &amp; forbrug'!$E$4:$E$291,'Produktion &amp; forbrug'!$F112)</f>
        <v>142742</v>
      </c>
      <c r="L112" s="94">
        <f>SUMIFS('Resultat-Produktion &amp; forbrug'!L$4:L$291,'Resultat-Produktion &amp; forbrug'!$A$4:$A$291,'Produktion &amp; forbrug'!$A112,'Resultat-Produktion &amp; forbrug'!$E$4:$E$291,'Produktion &amp; forbrug'!$F112)</f>
        <v>0</v>
      </c>
      <c r="M112" s="94">
        <f>SUMIFS('Resultat-Produktion &amp; forbrug'!M$4:M$291,'Resultat-Produktion &amp; forbrug'!$A$4:$A$291,'Produktion &amp; forbrug'!$A112,'Resultat-Produktion &amp; forbrug'!$E$4:$E$291,'Produktion &amp; forbrug'!$F112)</f>
        <v>0</v>
      </c>
      <c r="N112" s="94">
        <f>SUMIFS('Resultat-Produktion &amp; forbrug'!N$4:N$291,'Resultat-Produktion &amp; forbrug'!$A$4:$A$291,'Produktion &amp; forbrug'!$A112,'Resultat-Produktion &amp; forbrug'!$E$4:$E$291,'Produktion &amp; forbrug'!$F112)</f>
        <v>0</v>
      </c>
      <c r="O112" s="179">
        <f t="shared" si="17"/>
        <v>-142742</v>
      </c>
      <c r="P112" s="94">
        <f t="shared" si="18"/>
        <v>0</v>
      </c>
      <c r="Q112" s="180">
        <f t="shared" si="19"/>
        <v>142742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IF(A112&lt;&gt;"Biogas",IFERROR(VLOOKUP(A112,[1]Biogasudbytte!$A$2:$B$18,2,FALSE)*[1]Energiindhold!$C$10,0)*K112*IFERROR(VLOOKUP(A112,Biogasanlæg!$F$3:$G$8,2,FALSE),1)+IFERROR(VLOOKUP(A112,[1]Energiindhold!$A$2:$C$11,3,FALSE),0)*M112+IF(F112&lt;&gt;År1,R112,0),0)</f>
        <v>2.1694819870080004</v>
      </c>
      <c r="T112">
        <f>IFERROR(VLOOKUP(A112,[1]Biogasudbytte!$A$2:$B$18,2,FALSE)*[1]Energiindhold!$C$10,0)*K112*IFERROR(VLOOKUP(A112,Biogasanlæg!$F$3:$G$8,2,FALSE),1)</f>
        <v>2.1694819870080004</v>
      </c>
      <c r="U112" s="170">
        <f t="shared" si="20"/>
        <v>0</v>
      </c>
      <c r="V112" s="169">
        <f>P112*IFERROR(VLOOKUP(A112,[1]Tørstofindhold!A$2:B$24,2,FALSE),0)</f>
        <v>0</v>
      </c>
      <c r="W112">
        <f>IF(F112=År1,Q112,SUM(P112,Q112))*IFERROR(VLOOKUP(A112,[1]Tørstofindhold!A$2:B$24,2,FALSE),0)</f>
        <v>128467.8</v>
      </c>
      <c r="X112">
        <f>K112*IFERROR(VLOOKUP(A112,[1]Tørstofindhold!A$2:B$24,2,FALSE),0)</f>
        <v>128467.8</v>
      </c>
      <c r="Y112" s="170">
        <f t="shared" si="21"/>
        <v>0</v>
      </c>
      <c r="Z112">
        <f t="shared" si="24"/>
        <v>1</v>
      </c>
      <c r="AA112">
        <f t="shared" si="25"/>
        <v>0</v>
      </c>
      <c r="AC112" s="94">
        <f t="shared" si="22"/>
        <v>-142742</v>
      </c>
      <c r="AD112">
        <f>AC112*E112*10000*VLOOKUP(A112,[1]kcal!$A$2:$C$49,3,FALSE)/1000000000000</f>
        <v>0</v>
      </c>
    </row>
    <row r="113" spans="1:30" x14ac:dyDescent="0.25">
      <c r="A113" s="171" t="str">
        <f t="shared" si="11"/>
        <v>Græs</v>
      </c>
      <c r="B113" s="171" t="str">
        <f t="shared" si="12"/>
        <v>Græs og urter</v>
      </c>
      <c r="C113" s="171" t="str">
        <f>IFERROR(VLOOKUP(A113,'Kategorisering af kcal'!$J$2:$K$18,2,FALSE),"")</f>
        <v/>
      </c>
      <c r="D113" s="171">
        <f>IF(COUNTIFS('Resultater - Danmark'!$D$3:$D$504,'Produktion &amp; forbrug'!A113,'Resultater - Danmark'!$A$3:$A$504,"Til energi")+COUNTIFS('Resultater - Danmark'!$D$3:$D$504,'Produktion &amp; forbrug'!A113,'Resultater - Danmark'!$A$3:$A$504,"Biogasanlæg")&gt;0,1,0)</f>
        <v>1</v>
      </c>
      <c r="E113" s="171">
        <f t="shared" si="14"/>
        <v>0</v>
      </c>
      <c r="F113" s="171">
        <f t="shared" si="23"/>
        <v>2050</v>
      </c>
      <c r="G113" s="94">
        <f>SUMIFS('Resultat-Produktion &amp; forbrug'!G$4:G$291,'Resultat-Produktion &amp; forbrug'!$A$4:$A$291,'Produktion &amp; forbrug'!$A113,'Resultat-Produktion &amp; forbrug'!$E$4:$E$291,'Produktion &amp; forbrug'!$F113)</f>
        <v>36051687.427182481</v>
      </c>
      <c r="H113" s="94">
        <f>SUMIFS('Resultat-Produktion &amp; forbrug'!H$4:H$291,'Resultat-Produktion &amp; forbrug'!$A$4:$A$291,'Produktion &amp; forbrug'!$A113,'Resultat-Produktion &amp; forbrug'!$E$4:$E$291,'Produktion &amp; forbrug'!$F113)</f>
        <v>1171525.8261246812</v>
      </c>
      <c r="I113" s="94">
        <f>SUMIFS('Resultat-Produktion &amp; forbrug'!I$4:I$291,'Resultat-Produktion &amp; forbrug'!$A$4:$A$291,'Produktion &amp; forbrug'!$A113,'Resultat-Produktion &amp; forbrug'!$E$4:$E$291,'Produktion &amp; forbrug'!$F113)</f>
        <v>0</v>
      </c>
      <c r="J113" s="94">
        <f>SUMIFS('Resultat-Produktion &amp; forbrug'!J$4:J$291,'Resultat-Produktion &amp; forbrug'!$A$4:$A$291,'Produktion &amp; forbrug'!$A113,'Resultat-Produktion &amp; forbrug'!$E$4:$E$291,'Produktion &amp; forbrug'!$F113)</f>
        <v>0</v>
      </c>
      <c r="K113" s="94">
        <f>SUMIFS('Resultat-Produktion &amp; forbrug'!K$4:K$291,'Resultat-Produktion &amp; forbrug'!$A$4:$A$291,'Produktion &amp; forbrug'!$A113,'Resultat-Produktion &amp; forbrug'!$E$4:$E$291,'Produktion &amp; forbrug'!$F113)</f>
        <v>0</v>
      </c>
      <c r="L113" s="94">
        <f>SUMIFS('Resultat-Produktion &amp; forbrug'!L$4:L$291,'Resultat-Produktion &amp; forbrug'!$A$4:$A$291,'Produktion &amp; forbrug'!$A113,'Resultat-Produktion &amp; forbrug'!$E$4:$E$291,'Produktion &amp; forbrug'!$F113)</f>
        <v>0</v>
      </c>
      <c r="M113" s="94">
        <f>SUMIFS('Resultat-Produktion &amp; forbrug'!M$4:M$291,'Resultat-Produktion &amp; forbrug'!$A$4:$A$291,'Produktion &amp; forbrug'!$A113,'Resultat-Produktion &amp; forbrug'!$E$4:$E$291,'Produktion &amp; forbrug'!$F113)</f>
        <v>0</v>
      </c>
      <c r="N113" s="94">
        <f>SUMIFS('Resultat-Produktion &amp; forbrug'!N$4:N$291,'Resultat-Produktion &amp; forbrug'!$A$4:$A$291,'Produktion &amp; forbrug'!$A113,'Resultat-Produktion &amp; forbrug'!$E$4:$E$291,'Produktion &amp; forbrug'!$F113)</f>
        <v>0</v>
      </c>
      <c r="O113" s="179">
        <f t="shared" si="17"/>
        <v>34880161.601057798</v>
      </c>
      <c r="P113" s="94">
        <f t="shared" si="18"/>
        <v>34880161.601057798</v>
      </c>
      <c r="Q113" s="180">
        <f t="shared" si="19"/>
        <v>0</v>
      </c>
      <c r="R113">
        <f>IFERROR(VLOOKUP(A113,[1]Energiindhold!$A$2:$C$11,3,FALSE),IFERROR(VLOOKUP(A113,[1]Biogasudbytte!$A$2:$B$18,2,FALSE)*[1]Energiindhold!$C$10,0))*P113</f>
        <v>64.175137325746221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IF(A113&lt;&gt;"Biogas",IFERROR(VLOOKUP(A113,[1]Biogasudbytte!$A$2:$B$18,2,FALSE)*[1]Energiindhold!$C$10,0)*K113*IFERROR(VLOOKUP(A113,Biogasanlæg!$F$3:$G$8,2,FALSE),1)+IFERROR(VLOOKUP(A113,[1]Energiindhold!$A$2:$C$11,3,FALSE),0)*M113+IF(F113&lt;&gt;År1,R113,0),0)</f>
        <v>64.175137325746221</v>
      </c>
      <c r="T113">
        <f>IFERROR(VLOOKUP(A113,[1]Biogasudbytte!$A$2:$B$18,2,FALSE)*[1]Energiindhold!$C$10,0)*K113*IFERROR(VLOOKUP(A113,Biogasanlæg!$F$3:$G$8,2,FALSE),1)</f>
        <v>0</v>
      </c>
      <c r="U113" s="170">
        <f t="shared" si="20"/>
        <v>64.175137325746221</v>
      </c>
      <c r="V113" s="169">
        <f>P113*IFERROR(VLOOKUP(A113,[1]Tørstofindhold!A$2:B$24,2,FALSE),0)</f>
        <v>9766445.2482961845</v>
      </c>
      <c r="W113">
        <f>IF(F113=År1,Q113,SUM(P113,Q113))*IFERROR(VLOOKUP(A113,[1]Tørstofindhold!A$2:B$24,2,FALSE),0)</f>
        <v>9766445.2482961845</v>
      </c>
      <c r="X113">
        <f>K113*IFERROR(VLOOKUP(A113,[1]Tørstofindhold!A$2:B$24,2,FALSE),0)</f>
        <v>0</v>
      </c>
      <c r="Y113" s="170">
        <f t="shared" si="21"/>
        <v>9766445.2482961845</v>
      </c>
      <c r="Z113">
        <f t="shared" si="24"/>
        <v>0</v>
      </c>
      <c r="AA113">
        <f t="shared" si="25"/>
        <v>1</v>
      </c>
      <c r="AC113" s="94">
        <f t="shared" si="22"/>
        <v>34880161.601057798</v>
      </c>
      <c r="AD113">
        <f>AC113*E113*10000*VLOOKUP(A113,[1]kcal!$A$2:$C$49,3,FALSE)/1000000000000</f>
        <v>0</v>
      </c>
    </row>
    <row r="114" spans="1:30" x14ac:dyDescent="0.25">
      <c r="A114" s="171" t="str">
        <f t="shared" si="11"/>
        <v>Græsprotein</v>
      </c>
      <c r="B114" s="171" t="str">
        <f t="shared" si="12"/>
        <v/>
      </c>
      <c r="C114" s="171" t="str">
        <f>IFERROR(VLOOKUP(A114,'Kategorisering af kcal'!$J$2:$K$18,2,FALSE),"")</f>
        <v/>
      </c>
      <c r="D114" s="171">
        <f>IF(COUNTIFS('Resultater - Danmark'!$D$3:$D$504,'Produktion &amp; forbrug'!A114,'Resultater - Danmark'!$A$3:$A$504,"Til energi")+COUNTIFS('Resultater - Danmark'!$D$3:$D$504,'Produktion &amp; forbrug'!A114,'Resultater - Danmark'!$A$3:$A$504,"Biogasanlæg")&gt;0,1,0)</f>
        <v>0</v>
      </c>
      <c r="E114" s="171">
        <f t="shared" si="14"/>
        <v>0</v>
      </c>
      <c r="F114" s="171">
        <f t="shared" si="23"/>
        <v>2050</v>
      </c>
      <c r="G114" s="94">
        <f>SUMIFS('Resultat-Produktion &amp; forbrug'!G$4:G$291,'Resultat-Produktion &amp; forbrug'!$A$4:$A$291,'Produktion &amp; forbrug'!$A114,'Resultat-Produktion &amp; forbrug'!$E$4:$E$291,'Produktion &amp; forbrug'!$F114)</f>
        <v>0</v>
      </c>
      <c r="H114" s="94">
        <f>SUMIFS('Resultat-Produktion &amp; forbrug'!H$4:H$291,'Resultat-Produktion &amp; forbrug'!$A$4:$A$291,'Produktion &amp; forbrug'!$A114,'Resultat-Produktion &amp; forbrug'!$E$4:$E$291,'Produktion &amp; forbrug'!$F114)</f>
        <v>0</v>
      </c>
      <c r="I114" s="94">
        <f>SUMIFS('Resultat-Produktion &amp; forbrug'!I$4:I$291,'Resultat-Produktion &amp; forbrug'!$A$4:$A$291,'Produktion &amp; forbrug'!$A114,'Resultat-Produktion &amp; forbrug'!$E$4:$E$291,'Produktion &amp; forbrug'!$F114)</f>
        <v>0</v>
      </c>
      <c r="J114" s="94">
        <f>SUMIFS('Resultat-Produktion &amp; forbrug'!J$4:J$291,'Resultat-Produktion &amp; forbrug'!$A$4:$A$291,'Produktion &amp; forbrug'!$A114,'Resultat-Produktion &amp; forbrug'!$E$4:$E$291,'Produktion &amp; forbrug'!$F114)</f>
        <v>0</v>
      </c>
      <c r="K114" s="94">
        <f>SUMIFS('Resultat-Produktion &amp; forbrug'!K$4:K$291,'Resultat-Produktion &amp; forbrug'!$A$4:$A$291,'Produktion &amp; forbrug'!$A114,'Resultat-Produktion &amp; forbrug'!$E$4:$E$291,'Produktion &amp; forbrug'!$F114)</f>
        <v>0</v>
      </c>
      <c r="L114" s="94">
        <f>SUMIFS('Resultat-Produktion &amp; forbrug'!L$4:L$291,'Resultat-Produktion &amp; forbrug'!$A$4:$A$291,'Produktion &amp; forbrug'!$A114,'Resultat-Produktion &amp; forbrug'!$E$4:$E$291,'Produktion &amp; forbrug'!$F114)</f>
        <v>0</v>
      </c>
      <c r="M114" s="94">
        <f>SUMIFS('Resultat-Produktion &amp; forbrug'!M$4:M$291,'Resultat-Produktion &amp; forbrug'!$A$4:$A$291,'Produktion &amp; forbrug'!$A114,'Resultat-Produktion &amp; forbrug'!$E$4:$E$291,'Produktion &amp; forbrug'!$F114)</f>
        <v>0</v>
      </c>
      <c r="N114" s="94">
        <f>SUMIFS('Resultat-Produktion &amp; forbrug'!N$4:N$291,'Resultat-Produktion &amp; forbrug'!$A$4:$A$291,'Produktion &amp; forbrug'!$A114,'Resultat-Produktion &amp; forbrug'!$E$4:$E$291,'Produktion &amp; forbrug'!$F114)</f>
        <v>0</v>
      </c>
      <c r="O114" s="179">
        <f t="shared" si="17"/>
        <v>0</v>
      </c>
      <c r="P114" s="94">
        <f t="shared" si="18"/>
        <v>0</v>
      </c>
      <c r="Q114" s="180">
        <f t="shared" si="19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IF(A114&lt;&gt;"Biogas",IFERROR(VLOOKUP(A114,[1]Biogasudbytte!$A$2:$B$18,2,FALSE)*[1]Energiindhold!$C$10,0)*K114*IFERROR(VLOOKUP(A114,Biogasanlæg!$F$3:$G$8,2,FALSE),1)+IFERROR(VLOOKUP(A114,[1]Energiindhold!$A$2:$C$11,3,FALSE),0)*M114+IF(F114&lt;&gt;År1,R114,0),0)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0"/>
        <v>0</v>
      </c>
      <c r="V114" s="169">
        <f>P114*IFERROR(VLOOKUP(A114,[1]Tørstofindhold!A$2:B$24,2,FALSE),0)</f>
        <v>0</v>
      </c>
      <c r="W114">
        <f>IF(F114=År1,Q114,SUM(P114,Q114))*IFERROR(VLOOKUP(A114,[1]Tørstofindhold!A$2:B$24,2,FALSE),0)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1"/>
        <v>0</v>
      </c>
      <c r="Z114">
        <f t="shared" si="24"/>
        <v>0</v>
      </c>
      <c r="AA114">
        <f t="shared" si="25"/>
        <v>0</v>
      </c>
      <c r="AC114" s="94">
        <f t="shared" si="22"/>
        <v>0</v>
      </c>
      <c r="AD114">
        <f>AC114*E114*10000*VLOOKUP(A114,[1]kcal!$A$2:$C$49,3,FALSE)/1000000000000</f>
        <v>0</v>
      </c>
    </row>
    <row r="115" spans="1:30" x14ac:dyDescent="0.25">
      <c r="A115" s="171" t="str">
        <f t="shared" si="11"/>
        <v>Grøntsager</v>
      </c>
      <c r="B115" s="171" t="str">
        <f t="shared" si="12"/>
        <v/>
      </c>
      <c r="C115" s="171" t="str">
        <f>IFERROR(VLOOKUP(A115,'Kategorisering af kcal'!$J$2:$K$18,2,FALSE),"")</f>
        <v>Grøntsager</v>
      </c>
      <c r="D115" s="171">
        <f>IF(COUNTIFS('Resultater - Danmark'!$D$3:$D$504,'Produktion &amp; forbrug'!A115,'Resultater - Danmark'!$A$3:$A$504,"Til energi")+COUNTIFS('Resultater - Danmark'!$D$3:$D$504,'Produktion &amp; forbrug'!A115,'Resultater - Danmark'!$A$3:$A$504,"Biogasanlæg")&gt;0,1,0)</f>
        <v>0</v>
      </c>
      <c r="E115" s="171">
        <f t="shared" si="14"/>
        <v>1</v>
      </c>
      <c r="F115" s="171">
        <f t="shared" si="23"/>
        <v>2050</v>
      </c>
      <c r="G115" s="94">
        <f>SUMIFS('Resultat-Produktion &amp; forbrug'!G$4:G$291,'Resultat-Produktion &amp; forbrug'!$A$4:$A$291,'Produktion &amp; forbrug'!$A115,'Resultat-Produktion &amp; forbrug'!$E$4:$E$291,'Produktion &amp; forbrug'!$F115)</f>
        <v>4695547.6145715425</v>
      </c>
      <c r="H115" s="94">
        <f>SUMIFS('Resultat-Produktion &amp; forbrug'!H$4:H$291,'Resultat-Produktion &amp; forbrug'!$A$4:$A$291,'Produktion &amp; forbrug'!$A115,'Resultat-Produktion &amp; forbrug'!$E$4:$E$291,'Produktion &amp; forbrug'!$F115)</f>
        <v>0</v>
      </c>
      <c r="I115" s="94">
        <f>SUMIFS('Resultat-Produktion &amp; forbrug'!I$4:I$291,'Resultat-Produktion &amp; forbrug'!$A$4:$A$291,'Produktion &amp; forbrug'!$A115,'Resultat-Produktion &amp; forbrug'!$E$4:$E$291,'Produktion &amp; forbrug'!$F115)</f>
        <v>0</v>
      </c>
      <c r="J115" s="94">
        <f>SUMIFS('Resultat-Produktion &amp; forbrug'!J$4:J$291,'Resultat-Produktion &amp; forbrug'!$A$4:$A$291,'Produktion &amp; forbrug'!$A115,'Resultat-Produktion &amp; forbrug'!$E$4:$E$291,'Produktion &amp; forbrug'!$F115)</f>
        <v>525542.17543345026</v>
      </c>
      <c r="K115" s="94">
        <f>SUMIFS('Resultat-Produktion &amp; forbrug'!K$4:K$291,'Resultat-Produktion &amp; forbrug'!$A$4:$A$291,'Produktion &amp; forbrug'!$A115,'Resultat-Produktion &amp; forbrug'!$E$4:$E$291,'Produktion &amp; forbrug'!$F115)</f>
        <v>0</v>
      </c>
      <c r="L115" s="94">
        <f>SUMIFS('Resultat-Produktion &amp; forbrug'!L$4:L$291,'Resultat-Produktion &amp; forbrug'!$A$4:$A$291,'Produktion &amp; forbrug'!$A115,'Resultat-Produktion &amp; forbrug'!$E$4:$E$291,'Produktion &amp; forbrug'!$F115)</f>
        <v>0</v>
      </c>
      <c r="M115" s="94">
        <f>SUMIFS('Resultat-Produktion &amp; forbrug'!M$4:M$291,'Resultat-Produktion &amp; forbrug'!$A$4:$A$291,'Produktion &amp; forbrug'!$A115,'Resultat-Produktion &amp; forbrug'!$E$4:$E$291,'Produktion &amp; forbrug'!$F115)</f>
        <v>0</v>
      </c>
      <c r="N115" s="94">
        <f>SUMIFS('Resultat-Produktion &amp; forbrug'!N$4:N$291,'Resultat-Produktion &amp; forbrug'!$A$4:$A$291,'Produktion &amp; forbrug'!$A115,'Resultat-Produktion &amp; forbrug'!$E$4:$E$291,'Produktion &amp; forbrug'!$F115)</f>
        <v>0</v>
      </c>
      <c r="O115" s="179">
        <f t="shared" si="17"/>
        <v>4170005.4391380921</v>
      </c>
      <c r="P115" s="94">
        <f t="shared" si="18"/>
        <v>0</v>
      </c>
      <c r="Q115" s="180">
        <f t="shared" si="19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IF(A115&lt;&gt;"Biogas",IFERROR(VLOOKUP(A115,[1]Biogasudbytte!$A$2:$B$18,2,FALSE)*[1]Energiindhold!$C$10,0)*K115*IFERROR(VLOOKUP(A115,Biogasanlæg!$F$3:$G$8,2,FALSE),1)+IFERROR(VLOOKUP(A115,[1]Energiindhold!$A$2:$C$11,3,FALSE),0)*M115+IF(F115&lt;&gt;År1,R115,0),0)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0"/>
        <v>0</v>
      </c>
      <c r="V115" s="169">
        <f>P115*IFERROR(VLOOKUP(A115,[1]Tørstofindhold!A$2:B$24,2,FALSE),0)</f>
        <v>0</v>
      </c>
      <c r="W115">
        <f>IF(F115=År1,Q115,SUM(P115,Q115))*IFERROR(VLOOKUP(A115,[1]Tørstofindhold!A$2:B$24,2,FALSE),0)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1"/>
        <v>0</v>
      </c>
      <c r="Z115">
        <f t="shared" si="24"/>
        <v>0</v>
      </c>
      <c r="AA115">
        <f t="shared" si="25"/>
        <v>1</v>
      </c>
      <c r="AC115" s="94">
        <f t="shared" si="22"/>
        <v>4695547.6145715425</v>
      </c>
      <c r="AD115">
        <f>AC115*E115*10000*VLOOKUP(A115,[1]kcal!$A$2:$C$49,3,FALSE)/1000000000000</f>
        <v>1.8312635696829016</v>
      </c>
    </row>
    <row r="116" spans="1:30" x14ac:dyDescent="0.25">
      <c r="A116" s="171" t="str">
        <f t="shared" ref="A116:A147" si="26">A68</f>
        <v>Halm</v>
      </c>
      <c r="B116" s="171" t="str">
        <f t="shared" ref="B116:B147" si="27">IF(B68&lt;&gt;"",B68,"")</f>
        <v>Halm og strå</v>
      </c>
      <c r="C116" s="171" t="str">
        <f>IFERROR(VLOOKUP(A116,'Kategorisering af kcal'!$J$2:$K$18,2,FALSE),"")</f>
        <v/>
      </c>
      <c r="D116" s="171">
        <f>IF(COUNTIFS('Resultater - Danmark'!$D$3:$D$504,'Produktion &amp; forbrug'!A116,'Resultater - Danmark'!$A$3:$A$504,"Til energi")+COUNTIFS('Resultater - Danmark'!$D$3:$D$504,'Produktion &amp; forbrug'!A116,'Resultater - Danmark'!$A$3:$A$504,"Biogasanlæg")&gt;0,1,0)</f>
        <v>1</v>
      </c>
      <c r="E116" s="171">
        <f t="shared" si="14"/>
        <v>0</v>
      </c>
      <c r="F116" s="171">
        <f t="shared" si="23"/>
        <v>2050</v>
      </c>
      <c r="G116" s="94">
        <f>SUMIFS('Resultat-Produktion &amp; forbrug'!G$4:G$291,'Resultat-Produktion &amp; forbrug'!$A$4:$A$291,'Produktion &amp; forbrug'!$A116,'Resultat-Produktion &amp; forbrug'!$E$4:$E$291,'Produktion &amp; forbrug'!$F116)</f>
        <v>1459885.6966900979</v>
      </c>
      <c r="H116" s="94">
        <f>SUMIFS('Resultat-Produktion &amp; forbrug'!H$4:H$291,'Resultat-Produktion &amp; forbrug'!$A$4:$A$291,'Produktion &amp; forbrug'!$A116,'Resultat-Produktion &amp; forbrug'!$E$4:$E$291,'Produktion &amp; forbrug'!$F116)</f>
        <v>74008.256199809693</v>
      </c>
      <c r="I116" s="94">
        <f>SUMIFS('Resultat-Produktion &amp; forbrug'!I$4:I$291,'Resultat-Produktion &amp; forbrug'!$A$4:$A$291,'Produktion &amp; forbrug'!$A116,'Resultat-Produktion &amp; forbrug'!$E$4:$E$291,'Produktion &amp; forbrug'!$F116)</f>
        <v>57201.593560476802</v>
      </c>
      <c r="J116" s="94">
        <f>SUMIFS('Resultat-Produktion &amp; forbrug'!J$4:J$291,'Resultat-Produktion &amp; forbrug'!$A$4:$A$291,'Produktion &amp; forbrug'!$A116,'Resultat-Produktion &amp; forbrug'!$E$4:$E$291,'Produktion &amp; forbrug'!$F116)</f>
        <v>0</v>
      </c>
      <c r="K116" s="94">
        <f>SUMIFS('Resultat-Produktion &amp; forbrug'!K$4:K$291,'Resultat-Produktion &amp; forbrug'!$A$4:$A$291,'Produktion &amp; forbrug'!$A116,'Resultat-Produktion &amp; forbrug'!$E$4:$E$291,'Produktion &amp; forbrug'!$F116)</f>
        <v>0</v>
      </c>
      <c r="L116" s="94">
        <f>SUMIFS('Resultat-Produktion &amp; forbrug'!L$4:L$291,'Resultat-Produktion &amp; forbrug'!$A$4:$A$291,'Produktion &amp; forbrug'!$A116,'Resultat-Produktion &amp; forbrug'!$E$4:$E$291,'Produktion &amp; forbrug'!$F116)</f>
        <v>0</v>
      </c>
      <c r="M116" s="94">
        <f>SUMIFS('Resultat-Produktion &amp; forbrug'!M$4:M$291,'Resultat-Produktion &amp; forbrug'!$A$4:$A$291,'Produktion &amp; forbrug'!$A116,'Resultat-Produktion &amp; forbrug'!$E$4:$E$291,'Produktion &amp; forbrug'!$F116)</f>
        <v>1328675.8469298114</v>
      </c>
      <c r="N116" s="94">
        <f>SUMIFS('Resultat-Produktion &amp; forbrug'!N$4:N$291,'Resultat-Produktion &amp; forbrug'!$A$4:$A$291,'Produktion &amp; forbrug'!$A116,'Resultat-Produktion &amp; forbrug'!$E$4:$E$291,'Produktion &amp; forbrug'!$F116)</f>
        <v>0</v>
      </c>
      <c r="O116" s="179">
        <f t="shared" si="17"/>
        <v>0</v>
      </c>
      <c r="P116" s="94">
        <f t="shared" si="18"/>
        <v>0</v>
      </c>
      <c r="Q116" s="180">
        <f t="shared" si="19"/>
        <v>1328675.8469298114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IF(A116&lt;&gt;"Biogas",IFERROR(VLOOKUP(A116,[1]Biogasudbytte!$A$2:$B$18,2,FALSE)*[1]Energiindhold!$C$10,0)*K116*IFERROR(VLOOKUP(A116,Biogasanlæg!$F$3:$G$8,2,FALSE),1)+IFERROR(VLOOKUP(A116,[1]Energiindhold!$A$2:$C$11,3,FALSE),0)*M116+IF(F116&lt;&gt;År1,R116,0),0)</f>
        <v>13.732936241351867</v>
      </c>
      <c r="T116">
        <f>IFERROR(VLOOKUP(A116,[1]Biogasudbytte!$A$2:$B$18,2,FALSE)*[1]Energiindhold!$C$10,0)*K116*IFERROR(VLOOKUP(A116,Biogasanlæg!$F$3:$G$8,2,FALSE),1)</f>
        <v>0</v>
      </c>
      <c r="U116" s="170">
        <f t="shared" si="20"/>
        <v>13.732936241351867</v>
      </c>
      <c r="V116" s="169">
        <f>P116*IFERROR(VLOOKUP(A116,[1]Tørstofindhold!A$2:B$24,2,FALSE),0)</f>
        <v>0</v>
      </c>
      <c r="W116">
        <f>IF(F116=År1,Q116,SUM(P116,Q116))*IFERROR(VLOOKUP(A116,[1]Tørstofindhold!A$2:B$24,2,FALSE),0)</f>
        <v>1129374.4698903398</v>
      </c>
      <c r="X116">
        <f>K116*IFERROR(VLOOKUP(A116,[1]Tørstofindhold!A$2:B$24,2,FALSE),0)</f>
        <v>0</v>
      </c>
      <c r="Y116" s="170">
        <f t="shared" si="21"/>
        <v>1129374.4698903398</v>
      </c>
      <c r="Z116">
        <f t="shared" si="24"/>
        <v>0</v>
      </c>
      <c r="AA116">
        <f t="shared" si="25"/>
        <v>0</v>
      </c>
      <c r="AC116" s="94">
        <f t="shared" si="22"/>
        <v>1328675.8469298114</v>
      </c>
      <c r="AD116">
        <f>AC116*E116*10000*VLOOKUP(A116,[1]kcal!$A$2:$C$49,3,FALSE)/1000000000000</f>
        <v>0</v>
      </c>
    </row>
    <row r="117" spans="1:30" x14ac:dyDescent="0.25">
      <c r="A117" s="171" t="str">
        <f t="shared" si="26"/>
        <v>Have/parkaffald</v>
      </c>
      <c r="B117" s="171" t="str">
        <f t="shared" si="27"/>
        <v>Bionedbrydeligt affald</v>
      </c>
      <c r="C117" s="171" t="str">
        <f>IFERROR(VLOOKUP(A117,'Kategorisering af kcal'!$J$2:$K$18,2,FALSE),"")</f>
        <v/>
      </c>
      <c r="D117" s="171">
        <f>IF(COUNTIFS('Resultater - Danmark'!$D$3:$D$504,'Produktion &amp; forbrug'!A117,'Resultater - Danmark'!$A$3:$A$504,"Til energi")+COUNTIFS('Resultater - Danmark'!$D$3:$D$504,'Produktion &amp; forbrug'!A117,'Resultater - Danmark'!$A$3:$A$504,"Biogasanlæg")&gt;0,1,0)</f>
        <v>1</v>
      </c>
      <c r="E117" s="171">
        <f t="shared" ref="E117:E147" si="28">E69</f>
        <v>0</v>
      </c>
      <c r="F117" s="171">
        <f t="shared" si="23"/>
        <v>2050</v>
      </c>
      <c r="G117" s="94">
        <f>SUMIFS('Resultat-Produktion &amp; forbrug'!G$4:G$291,'Resultat-Produktion &amp; forbrug'!$A$4:$A$291,'Produktion &amp; forbrug'!$A117,'Resultat-Produktion &amp; forbrug'!$E$4:$E$291,'Produktion &amp; forbrug'!$F117)</f>
        <v>982809</v>
      </c>
      <c r="H117" s="94">
        <f>SUMIFS('Resultat-Produktion &amp; forbrug'!H$4:H$291,'Resultat-Produktion &amp; forbrug'!$A$4:$A$291,'Produktion &amp; forbrug'!$A117,'Resultat-Produktion &amp; forbrug'!$E$4:$E$291,'Produktion &amp; forbrug'!$F117)</f>
        <v>0</v>
      </c>
      <c r="I117" s="94">
        <f>SUMIFS('Resultat-Produktion &amp; forbrug'!I$4:I$291,'Resultat-Produktion &amp; forbrug'!$A$4:$A$291,'Produktion &amp; forbrug'!$A117,'Resultat-Produktion &amp; forbrug'!$E$4:$E$291,'Produktion &amp; forbrug'!$F117)</f>
        <v>0</v>
      </c>
      <c r="J117" s="94">
        <f>SUMIFS('Resultat-Produktion &amp; forbrug'!J$4:J$291,'Resultat-Produktion &amp; forbrug'!$A$4:$A$291,'Produktion &amp; forbrug'!$A117,'Resultat-Produktion &amp; forbrug'!$E$4:$E$291,'Produktion &amp; forbrug'!$F117)</f>
        <v>0</v>
      </c>
      <c r="K117" s="94">
        <f>SUMIFS('Resultat-Produktion &amp; forbrug'!K$4:K$291,'Resultat-Produktion &amp; forbrug'!$A$4:$A$291,'Produktion &amp; forbrug'!$A117,'Resultat-Produktion &amp; forbrug'!$E$4:$E$291,'Produktion &amp; forbrug'!$F117)</f>
        <v>980000</v>
      </c>
      <c r="L117" s="94">
        <f>SUMIFS('Resultat-Produktion &amp; forbrug'!L$4:L$291,'Resultat-Produktion &amp; forbrug'!$A$4:$A$291,'Produktion &amp; forbrug'!$A117,'Resultat-Produktion &amp; forbrug'!$E$4:$E$291,'Produktion &amp; forbrug'!$F117)</f>
        <v>0</v>
      </c>
      <c r="M117" s="94">
        <f>SUMIFS('Resultat-Produktion &amp; forbrug'!M$4:M$291,'Resultat-Produktion &amp; forbrug'!$A$4:$A$291,'Produktion &amp; forbrug'!$A117,'Resultat-Produktion &amp; forbrug'!$E$4:$E$291,'Produktion &amp; forbrug'!$F117)</f>
        <v>2808.9999999999418</v>
      </c>
      <c r="N117" s="94">
        <f>SUMIFS('Resultat-Produktion &amp; forbrug'!N$4:N$291,'Resultat-Produktion &amp; forbrug'!$A$4:$A$291,'Produktion &amp; forbrug'!$A117,'Resultat-Produktion &amp; forbrug'!$E$4:$E$291,'Produktion &amp; forbrug'!$F117)</f>
        <v>0</v>
      </c>
      <c r="O117" s="179">
        <f t="shared" si="17"/>
        <v>0</v>
      </c>
      <c r="P117" s="94">
        <f t="shared" si="18"/>
        <v>0</v>
      </c>
      <c r="Q117" s="180">
        <f t="shared" si="19"/>
        <v>982809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IF(A117&lt;&gt;"Biogas",IFERROR(VLOOKUP(A117,[1]Biogasudbytte!$A$2:$B$18,2,FALSE)*[1]Energiindhold!$C$10,0)*K117*IFERROR(VLOOKUP(A117,Biogasanlæg!$F$3:$G$8,2,FALSE),1)+IFERROR(VLOOKUP(A117,[1]Energiindhold!$A$2:$C$11,3,FALSE),0)*M117+IF(F117&lt;&gt;År1,R117,0),0)</f>
        <v>1.7142554874425717</v>
      </c>
      <c r="T117">
        <f>IFERROR(VLOOKUP(A117,[1]Biogasudbytte!$A$2:$B$18,2,FALSE)*[1]Energiindhold!$C$10,0)*K117*IFERROR(VLOOKUP(A117,Biogasanlæg!$F$3:$G$8,2,FALSE),1)</f>
        <v>1.6641086</v>
      </c>
      <c r="U117" s="170">
        <f t="shared" si="20"/>
        <v>5.0146887442571675E-2</v>
      </c>
      <c r="V117" s="169">
        <f>P117*IFERROR(VLOOKUP(A117,[1]Tørstofindhold!A$2:B$24,2,FALSE),0)</f>
        <v>0</v>
      </c>
      <c r="W117">
        <f>IF(F117=År1,Q117,SUM(P117,Q117))*IFERROR(VLOOKUP(A117,[1]Tørstofindhold!A$2:B$24,2,FALSE),0)</f>
        <v>294842.7</v>
      </c>
      <c r="X117">
        <f>K117*IFERROR(VLOOKUP(A117,[1]Tørstofindhold!A$2:B$24,2,FALSE),0)</f>
        <v>294000</v>
      </c>
      <c r="Y117" s="170">
        <f t="shared" si="21"/>
        <v>842.70000000001164</v>
      </c>
      <c r="Z117">
        <f t="shared" si="24"/>
        <v>0</v>
      </c>
      <c r="AA117">
        <f t="shared" si="25"/>
        <v>0</v>
      </c>
      <c r="AC117" s="94">
        <f t="shared" si="22"/>
        <v>2809</v>
      </c>
      <c r="AD117">
        <f>AC117*E117*10000*VLOOKUP(A117,[1]kcal!$A$2:$C$49,3,FALSE)/1000000000000</f>
        <v>0</v>
      </c>
    </row>
    <row r="118" spans="1:30" x14ac:dyDescent="0.25">
      <c r="A118" s="171" t="str">
        <f t="shared" si="26"/>
        <v>Import af foder</v>
      </c>
      <c r="B118" s="171" t="str">
        <f t="shared" si="27"/>
        <v/>
      </c>
      <c r="C118" s="171" t="str">
        <f>IFERROR(VLOOKUP(A118,'Kategorisering af kcal'!$J$2:$K$18,2,FALSE),"")</f>
        <v>Olieafgrøder</v>
      </c>
      <c r="D118" s="171">
        <f>IF(COUNTIFS('Resultater - Danmark'!$D$3:$D$504,'Produktion &amp; forbrug'!A118,'Resultater - Danmark'!$A$3:$A$504,"Til energi")+COUNTIFS('Resultater - Danmark'!$D$3:$D$504,'Produktion &amp; forbrug'!A118,'Resultater - Danmark'!$A$3:$A$504,"Biogasanlæg")&gt;0,1,0)</f>
        <v>0</v>
      </c>
      <c r="E118" s="171">
        <f t="shared" si="28"/>
        <v>1</v>
      </c>
      <c r="F118" s="171">
        <f t="shared" si="23"/>
        <v>2050</v>
      </c>
      <c r="G118" s="94">
        <f>SUMIFS('Resultat-Produktion &amp; forbrug'!G$4:G$291,'Resultat-Produktion &amp; forbrug'!$A$4:$A$291,'Produktion &amp; forbrug'!$A118,'Resultat-Produktion &amp; forbrug'!$E$4:$E$291,'Produktion &amp; forbrug'!$F118)</f>
        <v>0</v>
      </c>
      <c r="H118" s="94">
        <f>SUMIFS('Resultat-Produktion &amp; forbrug'!H$4:H$291,'Resultat-Produktion &amp; forbrug'!$A$4:$A$291,'Produktion &amp; forbrug'!$A118,'Resultat-Produktion &amp; forbrug'!$E$4:$E$291,'Produktion &amp; forbrug'!$F118)</f>
        <v>462230.0126500281</v>
      </c>
      <c r="I118" s="94">
        <f>SUMIFS('Resultat-Produktion &amp; forbrug'!I$4:I$291,'Resultat-Produktion &amp; forbrug'!$A$4:$A$291,'Produktion &amp; forbrug'!$A118,'Resultat-Produktion &amp; forbrug'!$E$4:$E$291,'Produktion &amp; forbrug'!$F118)</f>
        <v>0</v>
      </c>
      <c r="J118" s="94">
        <f>SUMIFS('Resultat-Produktion &amp; forbrug'!J$4:J$291,'Resultat-Produktion &amp; forbrug'!$A$4:$A$291,'Produktion &amp; forbrug'!$A118,'Resultat-Produktion &amp; forbrug'!$E$4:$E$291,'Produktion &amp; forbrug'!$F118)</f>
        <v>0</v>
      </c>
      <c r="K118" s="94">
        <f>SUMIFS('Resultat-Produktion &amp; forbrug'!K$4:K$291,'Resultat-Produktion &amp; forbrug'!$A$4:$A$291,'Produktion &amp; forbrug'!$A118,'Resultat-Produktion &amp; forbrug'!$E$4:$E$291,'Produktion &amp; forbrug'!$F118)</f>
        <v>0</v>
      </c>
      <c r="L118" s="94">
        <f>SUMIFS('Resultat-Produktion &amp; forbrug'!L$4:L$291,'Resultat-Produktion &amp; forbrug'!$A$4:$A$291,'Produktion &amp; forbrug'!$A118,'Resultat-Produktion &amp; forbrug'!$E$4:$E$291,'Produktion &amp; forbrug'!$F118)</f>
        <v>0</v>
      </c>
      <c r="M118" s="94">
        <f>SUMIFS('Resultat-Produktion &amp; forbrug'!M$4:M$291,'Resultat-Produktion &amp; forbrug'!$A$4:$A$291,'Produktion &amp; forbrug'!$A118,'Resultat-Produktion &amp; forbrug'!$E$4:$E$291,'Produktion &amp; forbrug'!$F118)</f>
        <v>0</v>
      </c>
      <c r="N118" s="94">
        <f>SUMIFS('Resultat-Produktion &amp; forbrug'!N$4:N$291,'Resultat-Produktion &amp; forbrug'!$A$4:$A$291,'Produktion &amp; forbrug'!$A118,'Resultat-Produktion &amp; forbrug'!$E$4:$E$291,'Produktion &amp; forbrug'!$F118)</f>
        <v>0</v>
      </c>
      <c r="O118" s="179">
        <f t="shared" si="17"/>
        <v>-462230.0126500281</v>
      </c>
      <c r="P118" s="94">
        <f t="shared" si="18"/>
        <v>0</v>
      </c>
      <c r="Q118" s="180">
        <f t="shared" si="19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IF(A118&lt;&gt;"Biogas",IFERROR(VLOOKUP(A118,[1]Biogasudbytte!$A$2:$B$18,2,FALSE)*[1]Energiindhold!$C$10,0)*K118*IFERROR(VLOOKUP(A118,Biogasanlæg!$F$3:$G$8,2,FALSE),1)+IFERROR(VLOOKUP(A118,[1]Energiindhold!$A$2:$C$11,3,FALSE),0)*M118+IF(F118&lt;&gt;År1,R118,0),0)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0"/>
        <v>0</v>
      </c>
      <c r="V118" s="169">
        <f>P118*IFERROR(VLOOKUP(A118,[1]Tørstofindhold!A$2:B$24,2,FALSE),0)</f>
        <v>0</v>
      </c>
      <c r="W118">
        <f>IF(F118=År1,Q118,SUM(P118,Q118))*IFERROR(VLOOKUP(A118,[1]Tørstofindhold!A$2:B$24,2,FALSE),0)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1"/>
        <v>0</v>
      </c>
      <c r="Z118">
        <f t="shared" si="24"/>
        <v>1</v>
      </c>
      <c r="AA118">
        <f t="shared" si="25"/>
        <v>0</v>
      </c>
      <c r="AC118" s="94">
        <f t="shared" si="22"/>
        <v>-462230.0126500281</v>
      </c>
      <c r="AD118">
        <f>AC118*E118*10000*VLOOKUP(A118,[1]kcal!$A$2:$C$49,3,FALSE)/1000000000000</f>
        <v>-0.26347110721051603</v>
      </c>
    </row>
    <row r="119" spans="1:30" x14ac:dyDescent="0.25">
      <c r="A119" s="171" t="str">
        <f t="shared" si="26"/>
        <v>Industriaffald</v>
      </c>
      <c r="B119" s="171" t="str">
        <f t="shared" si="27"/>
        <v>Bionedbrydeligt affald</v>
      </c>
      <c r="C119" s="171" t="str">
        <f>IFERROR(VLOOKUP(A119,'Kategorisering af kcal'!$J$2:$K$18,2,FALSE),"")</f>
        <v/>
      </c>
      <c r="D119" s="171">
        <f>IF(COUNTIFS('Resultater - Danmark'!$D$3:$D$504,'Produktion &amp; forbrug'!A119,'Resultater - Danmark'!$A$3:$A$504,"Til energi")+COUNTIFS('Resultater - Danmark'!$D$3:$D$504,'Produktion &amp; forbrug'!A119,'Resultater - Danmark'!$A$3:$A$504,"Biogasanlæg")&gt;0,1,0)</f>
        <v>1</v>
      </c>
      <c r="E119" s="171">
        <f t="shared" si="28"/>
        <v>0</v>
      </c>
      <c r="F119" s="171">
        <f t="shared" si="23"/>
        <v>2050</v>
      </c>
      <c r="G119" s="94">
        <f>SUMIFS('Resultat-Produktion &amp; forbrug'!G$4:G$291,'Resultat-Produktion &amp; forbrug'!$A$4:$A$291,'Produktion &amp; forbrug'!$A119,'Resultat-Produktion &amp; forbrug'!$E$4:$E$291,'Produktion &amp; forbrug'!$F119)</f>
        <v>382368.42148557794</v>
      </c>
      <c r="H119" s="94">
        <f>SUMIFS('Resultat-Produktion &amp; forbrug'!H$4:H$291,'Resultat-Produktion &amp; forbrug'!$A$4:$A$291,'Produktion &amp; forbrug'!$A119,'Resultat-Produktion &amp; forbrug'!$E$4:$E$291,'Produktion &amp; forbrug'!$F119)</f>
        <v>0</v>
      </c>
      <c r="I119" s="94">
        <f>SUMIFS('Resultat-Produktion &amp; forbrug'!I$4:I$291,'Resultat-Produktion &amp; forbrug'!$A$4:$A$291,'Produktion &amp; forbrug'!$A119,'Resultat-Produktion &amp; forbrug'!$E$4:$E$291,'Produktion &amp; forbrug'!$F119)</f>
        <v>0</v>
      </c>
      <c r="J119" s="94">
        <f>SUMIFS('Resultat-Produktion &amp; forbrug'!J$4:J$291,'Resultat-Produktion &amp; forbrug'!$A$4:$A$291,'Produktion &amp; forbrug'!$A119,'Resultat-Produktion &amp; forbrug'!$E$4:$E$291,'Produktion &amp; forbrug'!$F119)</f>
        <v>0</v>
      </c>
      <c r="K119" s="94">
        <f>SUMIFS('Resultat-Produktion &amp; forbrug'!K$4:K$291,'Resultat-Produktion &amp; forbrug'!$A$4:$A$291,'Produktion &amp; forbrug'!$A119,'Resultat-Produktion &amp; forbrug'!$E$4:$E$291,'Produktion &amp; forbrug'!$F119)</f>
        <v>0</v>
      </c>
      <c r="L119" s="94">
        <f>SUMIFS('Resultat-Produktion &amp; forbrug'!L$4:L$291,'Resultat-Produktion &amp; forbrug'!$A$4:$A$291,'Produktion &amp; forbrug'!$A119,'Resultat-Produktion &amp; forbrug'!$E$4:$E$291,'Produktion &amp; forbrug'!$F119)</f>
        <v>0</v>
      </c>
      <c r="M119" s="94">
        <f>SUMIFS('Resultat-Produktion &amp; forbrug'!M$4:M$291,'Resultat-Produktion &amp; forbrug'!$A$4:$A$291,'Produktion &amp; forbrug'!$A119,'Resultat-Produktion &amp; forbrug'!$E$4:$E$291,'Produktion &amp; forbrug'!$F119)</f>
        <v>0</v>
      </c>
      <c r="N119" s="94">
        <f>SUMIFS('Resultat-Produktion &amp; forbrug'!N$4:N$291,'Resultat-Produktion &amp; forbrug'!$A$4:$A$291,'Produktion &amp; forbrug'!$A119,'Resultat-Produktion &amp; forbrug'!$E$4:$E$291,'Produktion &amp; forbrug'!$F119)</f>
        <v>0</v>
      </c>
      <c r="O119" s="179">
        <f t="shared" si="17"/>
        <v>382368.42148557794</v>
      </c>
      <c r="P119" s="94">
        <f t="shared" si="18"/>
        <v>382368.42148557794</v>
      </c>
      <c r="Q119" s="180">
        <f t="shared" si="19"/>
        <v>0</v>
      </c>
      <c r="R119">
        <f>IFERROR(VLOOKUP(A119,[1]Energiindhold!$A$2:$C$11,3,FALSE),IFERROR(VLOOKUP(A119,[1]Biogasudbytte!$A$2:$B$18,2,FALSE)*[1]Energiindhold!$C$10,0))*P119</f>
        <v>1.6568520781918026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IF(A119&lt;&gt;"Biogas",IFERROR(VLOOKUP(A119,[1]Biogasudbytte!$A$2:$B$18,2,FALSE)*[1]Energiindhold!$C$10,0)*K119*IFERROR(VLOOKUP(A119,Biogasanlæg!$F$3:$G$8,2,FALSE),1)+IFERROR(VLOOKUP(A119,[1]Energiindhold!$A$2:$C$11,3,FALSE),0)*M119+IF(F119&lt;&gt;År1,R119,0),0)</f>
        <v>1.6568520781918026</v>
      </c>
      <c r="T119">
        <f>IFERROR(VLOOKUP(A119,[1]Biogasudbytte!$A$2:$B$18,2,FALSE)*[1]Energiindhold!$C$10,0)*K119*IFERROR(VLOOKUP(A119,Biogasanlæg!$F$3:$G$8,2,FALSE),1)</f>
        <v>0</v>
      </c>
      <c r="U119" s="170">
        <f t="shared" si="20"/>
        <v>1.6568520781918026</v>
      </c>
      <c r="V119" s="169">
        <f>P119*IFERROR(VLOOKUP(A119,[1]Tørstofindhold!A$2:B$24,2,FALSE),0)</f>
        <v>160594.73702394273</v>
      </c>
      <c r="W119">
        <f>IF(F119=År1,Q119,SUM(P119,Q119))*IFERROR(VLOOKUP(A119,[1]Tørstofindhold!A$2:B$24,2,FALSE),0)</f>
        <v>160594.73702394273</v>
      </c>
      <c r="X119">
        <f>K119*IFERROR(VLOOKUP(A119,[1]Tørstofindhold!A$2:B$24,2,FALSE),0)</f>
        <v>0</v>
      </c>
      <c r="Y119" s="170">
        <f t="shared" si="21"/>
        <v>160594.73702394273</v>
      </c>
      <c r="Z119">
        <f t="shared" si="24"/>
        <v>0</v>
      </c>
      <c r="AA119">
        <f t="shared" si="25"/>
        <v>1</v>
      </c>
      <c r="AC119" s="94">
        <f t="shared" si="22"/>
        <v>382368.42148557794</v>
      </c>
      <c r="AD119">
        <f>AC119*E119*10000*VLOOKUP(A119,[1]kcal!$A$2:$C$49,3,FALSE)/1000000000000</f>
        <v>0</v>
      </c>
    </row>
    <row r="120" spans="1:30" x14ac:dyDescent="0.25">
      <c r="A120" s="171" t="str">
        <f t="shared" si="26"/>
        <v>Juletræer</v>
      </c>
      <c r="B120" s="171" t="str">
        <f t="shared" si="27"/>
        <v/>
      </c>
      <c r="C120" s="171" t="str">
        <f>IFERROR(VLOOKUP(A120,'Kategorisering af kcal'!$J$2:$K$18,2,FALSE),"")</f>
        <v/>
      </c>
      <c r="D120" s="171">
        <f>IF(COUNTIFS('Resultater - Danmark'!$D$3:$D$504,'Produktion &amp; forbrug'!A120,'Resultater - Danmark'!$A$3:$A$504,"Til energi")+COUNTIFS('Resultater - Danmark'!$D$3:$D$504,'Produktion &amp; forbrug'!A120,'Resultater - Danmark'!$A$3:$A$504,"Biogasanlæg")&gt;0,1,0)</f>
        <v>0</v>
      </c>
      <c r="E120" s="171">
        <f t="shared" si="28"/>
        <v>0</v>
      </c>
      <c r="F120" s="171">
        <f t="shared" si="23"/>
        <v>2050</v>
      </c>
      <c r="G120" s="94">
        <f>SUMIFS('Resultat-Produktion &amp; forbrug'!G$4:G$291,'Resultat-Produktion &amp; forbrug'!$A$4:$A$291,'Produktion &amp; forbrug'!$A120,'Resultat-Produktion &amp; forbrug'!$E$4:$E$291,'Produktion &amp; forbrug'!$F120)</f>
        <v>756682.92027104762</v>
      </c>
      <c r="H120" s="94">
        <f>SUMIFS('Resultat-Produktion &amp; forbrug'!H$4:H$291,'Resultat-Produktion &amp; forbrug'!$A$4:$A$291,'Produktion &amp; forbrug'!$A120,'Resultat-Produktion &amp; forbrug'!$E$4:$E$291,'Produktion &amp; forbrug'!$F120)</f>
        <v>0</v>
      </c>
      <c r="I120" s="94">
        <f>SUMIFS('Resultat-Produktion &amp; forbrug'!I$4:I$291,'Resultat-Produktion &amp; forbrug'!$A$4:$A$291,'Produktion &amp; forbrug'!$A120,'Resultat-Produktion &amp; forbrug'!$E$4:$E$291,'Produktion &amp; forbrug'!$F120)</f>
        <v>0</v>
      </c>
      <c r="J120" s="94">
        <f>SUMIFS('Resultat-Produktion &amp; forbrug'!J$4:J$291,'Resultat-Produktion &amp; forbrug'!$A$4:$A$291,'Produktion &amp; forbrug'!$A120,'Resultat-Produktion &amp; forbrug'!$E$4:$E$291,'Produktion &amp; forbrug'!$F120)</f>
        <v>0</v>
      </c>
      <c r="K120" s="94">
        <f>SUMIFS('Resultat-Produktion &amp; forbrug'!K$4:K$291,'Resultat-Produktion &amp; forbrug'!$A$4:$A$291,'Produktion &amp; forbrug'!$A120,'Resultat-Produktion &amp; forbrug'!$E$4:$E$291,'Produktion &amp; forbrug'!$F120)</f>
        <v>0</v>
      </c>
      <c r="L120" s="94">
        <f>SUMIFS('Resultat-Produktion &amp; forbrug'!L$4:L$291,'Resultat-Produktion &amp; forbrug'!$A$4:$A$291,'Produktion &amp; forbrug'!$A120,'Resultat-Produktion &amp; forbrug'!$E$4:$E$291,'Produktion &amp; forbrug'!$F120)</f>
        <v>0</v>
      </c>
      <c r="M120" s="94">
        <f>SUMIFS('Resultat-Produktion &amp; forbrug'!M$4:M$291,'Resultat-Produktion &amp; forbrug'!$A$4:$A$291,'Produktion &amp; forbrug'!$A120,'Resultat-Produktion &amp; forbrug'!$E$4:$E$291,'Produktion &amp; forbrug'!$F120)</f>
        <v>0</v>
      </c>
      <c r="N120" s="94">
        <f>SUMIFS('Resultat-Produktion &amp; forbrug'!N$4:N$291,'Resultat-Produktion &amp; forbrug'!$A$4:$A$291,'Produktion &amp; forbrug'!$A120,'Resultat-Produktion &amp; forbrug'!$E$4:$E$291,'Produktion &amp; forbrug'!$F120)</f>
        <v>0</v>
      </c>
      <c r="O120" s="179">
        <f t="shared" si="17"/>
        <v>756682.92027104762</v>
      </c>
      <c r="P120" s="94">
        <f t="shared" si="18"/>
        <v>0</v>
      </c>
      <c r="Q120" s="180">
        <f t="shared" si="19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IF(A120&lt;&gt;"Biogas",IFERROR(VLOOKUP(A120,[1]Biogasudbytte!$A$2:$B$18,2,FALSE)*[1]Energiindhold!$C$10,0)*K120*IFERROR(VLOOKUP(A120,Biogasanlæg!$F$3:$G$8,2,FALSE),1)+IFERROR(VLOOKUP(A120,[1]Energiindhold!$A$2:$C$11,3,FALSE),0)*M120+IF(F120&lt;&gt;År1,R120,0),0)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0"/>
        <v>0</v>
      </c>
      <c r="V120" s="169">
        <f>P120*IFERROR(VLOOKUP(A120,[1]Tørstofindhold!A$2:B$24,2,FALSE),0)</f>
        <v>0</v>
      </c>
      <c r="W120">
        <f>IF(F120=År1,Q120,SUM(P120,Q120))*IFERROR(VLOOKUP(A120,[1]Tørstofindhold!A$2:B$24,2,FALSE),0)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1"/>
        <v>0</v>
      </c>
      <c r="Z120">
        <f t="shared" si="24"/>
        <v>0</v>
      </c>
      <c r="AA120">
        <f t="shared" si="25"/>
        <v>1</v>
      </c>
      <c r="AC120" s="94">
        <f t="shared" si="22"/>
        <v>756682.92027104762</v>
      </c>
      <c r="AD120">
        <f>AC120*E120*10000*VLOOKUP(A120,[1]kcal!$A$2:$C$49,3,FALSE)/1000000000000</f>
        <v>0</v>
      </c>
    </row>
    <row r="121" spans="1:30" x14ac:dyDescent="0.25">
      <c r="A121" s="171" t="str">
        <f t="shared" si="26"/>
        <v>Kartofler</v>
      </c>
      <c r="B121" s="171" t="str">
        <f t="shared" si="27"/>
        <v/>
      </c>
      <c r="C121" s="171" t="str">
        <f>IFERROR(VLOOKUP(A121,'Kategorisering af kcal'!$J$2:$K$18,2,FALSE),"")</f>
        <v>Kartofler</v>
      </c>
      <c r="D121" s="171">
        <f>IF(COUNTIFS('Resultater - Danmark'!$D$3:$D$504,'Produktion &amp; forbrug'!A121,'Resultater - Danmark'!$A$3:$A$504,"Til energi")+COUNTIFS('Resultater - Danmark'!$D$3:$D$504,'Produktion &amp; forbrug'!A121,'Resultater - Danmark'!$A$3:$A$504,"Biogasanlæg")&gt;0,1,0)</f>
        <v>0</v>
      </c>
      <c r="E121" s="171">
        <f t="shared" si="28"/>
        <v>1</v>
      </c>
      <c r="F121" s="171">
        <f t="shared" si="23"/>
        <v>2050</v>
      </c>
      <c r="G121" s="94">
        <f>SUMIFS('Resultat-Produktion &amp; forbrug'!G$4:G$291,'Resultat-Produktion &amp; forbrug'!$A$4:$A$291,'Produktion &amp; forbrug'!$A121,'Resultat-Produktion &amp; forbrug'!$E$4:$E$291,'Produktion &amp; forbrug'!$F121)</f>
        <v>6755.786859535805</v>
      </c>
      <c r="H121" s="94">
        <f>SUMIFS('Resultat-Produktion &amp; forbrug'!H$4:H$291,'Resultat-Produktion &amp; forbrug'!$A$4:$A$291,'Produktion &amp; forbrug'!$A121,'Resultat-Produktion &amp; forbrug'!$E$4:$E$291,'Produktion &amp; forbrug'!$F121)</f>
        <v>0</v>
      </c>
      <c r="I121" s="94">
        <f>SUMIFS('Resultat-Produktion &amp; forbrug'!I$4:I$291,'Resultat-Produktion &amp; forbrug'!$A$4:$A$291,'Produktion &amp; forbrug'!$A121,'Resultat-Produktion &amp; forbrug'!$E$4:$E$291,'Produktion &amp; forbrug'!$F121)</f>
        <v>0</v>
      </c>
      <c r="J121" s="94">
        <f>SUMIFS('Resultat-Produktion &amp; forbrug'!J$4:J$291,'Resultat-Produktion &amp; forbrug'!$A$4:$A$291,'Produktion &amp; forbrug'!$A121,'Resultat-Produktion &amp; forbrug'!$E$4:$E$291,'Produktion &amp; forbrug'!$F121)</f>
        <v>240323.30635398987</v>
      </c>
      <c r="K121" s="94">
        <f>SUMIFS('Resultat-Produktion &amp; forbrug'!K$4:K$291,'Resultat-Produktion &amp; forbrug'!$A$4:$A$291,'Produktion &amp; forbrug'!$A121,'Resultat-Produktion &amp; forbrug'!$E$4:$E$291,'Produktion &amp; forbrug'!$F121)</f>
        <v>0</v>
      </c>
      <c r="L121" s="94">
        <f>SUMIFS('Resultat-Produktion &amp; forbrug'!L$4:L$291,'Resultat-Produktion &amp; forbrug'!$A$4:$A$291,'Produktion &amp; forbrug'!$A121,'Resultat-Produktion &amp; forbrug'!$E$4:$E$291,'Produktion &amp; forbrug'!$F121)</f>
        <v>0</v>
      </c>
      <c r="M121" s="94">
        <f>SUMIFS('Resultat-Produktion &amp; forbrug'!M$4:M$291,'Resultat-Produktion &amp; forbrug'!$A$4:$A$291,'Produktion &amp; forbrug'!$A121,'Resultat-Produktion &amp; forbrug'!$E$4:$E$291,'Produktion &amp; forbrug'!$F121)</f>
        <v>0</v>
      </c>
      <c r="N121" s="94">
        <f>SUMIFS('Resultat-Produktion &amp; forbrug'!N$4:N$291,'Resultat-Produktion &amp; forbrug'!$A$4:$A$291,'Produktion &amp; forbrug'!$A121,'Resultat-Produktion &amp; forbrug'!$E$4:$E$291,'Produktion &amp; forbrug'!$F121)</f>
        <v>0</v>
      </c>
      <c r="O121" s="179">
        <f t="shared" si="17"/>
        <v>-233567.51949445406</v>
      </c>
      <c r="P121" s="94">
        <f t="shared" si="18"/>
        <v>0</v>
      </c>
      <c r="Q121" s="180">
        <f t="shared" si="19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IF(A121&lt;&gt;"Biogas",IFERROR(VLOOKUP(A121,[1]Biogasudbytte!$A$2:$B$18,2,FALSE)*[1]Energiindhold!$C$10,0)*K121*IFERROR(VLOOKUP(A121,Biogasanlæg!$F$3:$G$8,2,FALSE),1)+IFERROR(VLOOKUP(A121,[1]Energiindhold!$A$2:$C$11,3,FALSE),0)*M121+IF(F121&lt;&gt;År1,R121,0),0)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0"/>
        <v>0</v>
      </c>
      <c r="V121" s="169">
        <f>P121*IFERROR(VLOOKUP(A121,[1]Tørstofindhold!A$2:B$24,2,FALSE),0)</f>
        <v>0</v>
      </c>
      <c r="W121">
        <f>IF(F121=År1,Q121,SUM(P121,Q121))*IFERROR(VLOOKUP(A121,[1]Tørstofindhold!A$2:B$24,2,FALSE),0)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1"/>
        <v>0</v>
      </c>
      <c r="Z121">
        <f t="shared" si="24"/>
        <v>1</v>
      </c>
      <c r="AA121">
        <f t="shared" si="25"/>
        <v>0</v>
      </c>
      <c r="AC121" s="94">
        <f t="shared" si="22"/>
        <v>6755.786859535805</v>
      </c>
      <c r="AD121">
        <f>AC121*E121*10000*VLOOKUP(A121,[1]kcal!$A$2:$C$49,3,FALSE)/1000000000000</f>
        <v>5.2695137504379271E-3</v>
      </c>
    </row>
    <row r="122" spans="1:30" x14ac:dyDescent="0.25">
      <c r="A122" s="171" t="str">
        <f t="shared" si="26"/>
        <v>Korn</v>
      </c>
      <c r="B122" s="171" t="str">
        <f t="shared" si="27"/>
        <v>Halm og strå</v>
      </c>
      <c r="C122" s="171" t="str">
        <f>IFERROR(VLOOKUP(A122,'Kategorisering af kcal'!$J$2:$K$18,2,FALSE),"")</f>
        <v>Korn</v>
      </c>
      <c r="D122" s="171">
        <f>IF(COUNTIFS('Resultater - Danmark'!$D$3:$D$504,'Produktion &amp; forbrug'!A122,'Resultater - Danmark'!$A$3:$A$504,"Til energi")+COUNTIFS('Resultater - Danmark'!$D$3:$D$504,'Produktion &amp; forbrug'!A122,'Resultater - Danmark'!$A$3:$A$504,"Biogasanlæg")&gt;0,1,0)</f>
        <v>1</v>
      </c>
      <c r="E122" s="171">
        <f t="shared" si="28"/>
        <v>1</v>
      </c>
      <c r="F122" s="171">
        <f t="shared" si="23"/>
        <v>2050</v>
      </c>
      <c r="G122" s="94">
        <f>SUMIFS('Resultat-Produktion &amp; forbrug'!G$4:G$291,'Resultat-Produktion &amp; forbrug'!$A$4:$A$291,'Produktion &amp; forbrug'!$A122,'Resultat-Produktion &amp; forbrug'!$E$4:$E$291,'Produktion &amp; forbrug'!$F122)</f>
        <v>21089.521528048594</v>
      </c>
      <c r="H122" s="94">
        <f>SUMIFS('Resultat-Produktion &amp; forbrug'!H$4:H$291,'Resultat-Produktion &amp; forbrug'!$A$4:$A$291,'Produktion &amp; forbrug'!$A122,'Resultat-Produktion &amp; forbrug'!$E$4:$E$291,'Produktion &amp; forbrug'!$F122)</f>
        <v>562822.92634918995</v>
      </c>
      <c r="I122" s="94">
        <f>SUMIFS('Resultat-Produktion &amp; forbrug'!I$4:I$291,'Resultat-Produktion &amp; forbrug'!$A$4:$A$291,'Produktion &amp; forbrug'!$A122,'Resultat-Produktion &amp; forbrug'!$E$4:$E$291,'Produktion &amp; forbrug'!$F122)</f>
        <v>0</v>
      </c>
      <c r="J122" s="94">
        <f>SUMIFS('Resultat-Produktion &amp; forbrug'!J$4:J$291,'Resultat-Produktion &amp; forbrug'!$A$4:$A$291,'Produktion &amp; forbrug'!$A122,'Resultat-Produktion &amp; forbrug'!$E$4:$E$291,'Produktion &amp; forbrug'!$F122)</f>
        <v>575719.56906779984</v>
      </c>
      <c r="K122" s="94">
        <f>SUMIFS('Resultat-Produktion &amp; forbrug'!K$4:K$291,'Resultat-Produktion &amp; forbrug'!$A$4:$A$291,'Produktion &amp; forbrug'!$A122,'Resultat-Produktion &amp; forbrug'!$E$4:$E$291,'Produktion &amp; forbrug'!$F122)</f>
        <v>0</v>
      </c>
      <c r="L122" s="94">
        <f>SUMIFS('Resultat-Produktion &amp; forbrug'!L$4:L$291,'Resultat-Produktion &amp; forbrug'!$A$4:$A$291,'Produktion &amp; forbrug'!$A122,'Resultat-Produktion &amp; forbrug'!$E$4:$E$291,'Produktion &amp; forbrug'!$F122)</f>
        <v>0</v>
      </c>
      <c r="M122" s="94">
        <f>SUMIFS('Resultat-Produktion &amp; forbrug'!M$4:M$291,'Resultat-Produktion &amp; forbrug'!$A$4:$A$291,'Produktion &amp; forbrug'!$A122,'Resultat-Produktion &amp; forbrug'!$E$4:$E$291,'Produktion &amp; forbrug'!$F122)</f>
        <v>0</v>
      </c>
      <c r="N122" s="94">
        <f>SUMIFS('Resultat-Produktion &amp; forbrug'!N$4:N$291,'Resultat-Produktion &amp; forbrug'!$A$4:$A$291,'Produktion &amp; forbrug'!$A122,'Resultat-Produktion &amp; forbrug'!$E$4:$E$291,'Produktion &amp; forbrug'!$F122)</f>
        <v>0</v>
      </c>
      <c r="O122" s="179">
        <f t="shared" si="17"/>
        <v>-1117452.9738889411</v>
      </c>
      <c r="P122" s="94">
        <f t="shared" si="18"/>
        <v>0</v>
      </c>
      <c r="Q122" s="180">
        <f t="shared" si="19"/>
        <v>0</v>
      </c>
      <c r="R122">
        <f>IFERROR(VLOOKUP(A122,[1]Energiindhold!$A$2:$C$11,3,FALSE),IFERROR(VLOOKUP(A122,[1]Biogasudbytte!$A$2:$B$18,2,FALSE)*[1]Energiindhold!$C$10,0))*P122</f>
        <v>0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IF(A122&lt;&gt;"Biogas",IFERROR(VLOOKUP(A122,[1]Biogasudbytte!$A$2:$B$18,2,FALSE)*[1]Energiindhold!$C$10,0)*K122*IFERROR(VLOOKUP(A122,Biogasanlæg!$F$3:$G$8,2,FALSE),1)+IFERROR(VLOOKUP(A122,[1]Energiindhold!$A$2:$C$11,3,FALSE),0)*M122+IF(F122&lt;&gt;År1,R122,0),0)</f>
        <v>0</v>
      </c>
      <c r="T122">
        <f>IFERROR(VLOOKUP(A122,[1]Biogasudbytte!$A$2:$B$18,2,FALSE)*[1]Energiindhold!$C$10,0)*K122*IFERROR(VLOOKUP(A122,Biogasanlæg!$F$3:$G$8,2,FALSE),1)</f>
        <v>0</v>
      </c>
      <c r="U122" s="170">
        <f t="shared" si="20"/>
        <v>0</v>
      </c>
      <c r="V122" s="169">
        <f>P122*IFERROR(VLOOKUP(A122,[1]Tørstofindhold!A$2:B$24,2,FALSE),0)</f>
        <v>0</v>
      </c>
      <c r="W122">
        <f>IF(F122=År1,Q122,SUM(P122,Q122))*IFERROR(VLOOKUP(A122,[1]Tørstofindhold!A$2:B$24,2,FALSE),0)</f>
        <v>0</v>
      </c>
      <c r="X122">
        <f>K122*IFERROR(VLOOKUP(A122,[1]Tørstofindhold!A$2:B$24,2,FALSE),0)</f>
        <v>0</v>
      </c>
      <c r="Y122" s="170">
        <f t="shared" si="21"/>
        <v>0</v>
      </c>
      <c r="Z122">
        <f t="shared" si="24"/>
        <v>1</v>
      </c>
      <c r="AA122">
        <f t="shared" si="25"/>
        <v>0</v>
      </c>
      <c r="AC122" s="94">
        <f t="shared" si="22"/>
        <v>-541733.40482114139</v>
      </c>
      <c r="AD122">
        <f>AC122*E122*10000*VLOOKUP(A122,[1]kcal!$A$2:$C$49,3,FALSE)/1000000000000</f>
        <v>-1.9827442616453776</v>
      </c>
    </row>
    <row r="123" spans="1:30" x14ac:dyDescent="0.25">
      <c r="A123" s="171" t="str">
        <f t="shared" si="26"/>
        <v>Kunstgødning</v>
      </c>
      <c r="B123" s="171" t="str">
        <f t="shared" si="27"/>
        <v/>
      </c>
      <c r="C123" s="171" t="str">
        <f>IFERROR(VLOOKUP(A123,'Kategorisering af kcal'!$J$2:$K$18,2,FALSE),"")</f>
        <v/>
      </c>
      <c r="D123" s="171">
        <f>IF(COUNTIFS('Resultater - Danmark'!$D$3:$D$504,'Produktion &amp; forbrug'!A123,'Resultater - Danmark'!$A$3:$A$504,"Til energi")+COUNTIFS('Resultater - Danmark'!$D$3:$D$504,'Produktion &amp; forbrug'!A123,'Resultater - Danmark'!$A$3:$A$504,"Biogasanlæg")&gt;0,1,0)</f>
        <v>0</v>
      </c>
      <c r="E123" s="171">
        <f t="shared" si="28"/>
        <v>0</v>
      </c>
      <c r="F123" s="171">
        <f t="shared" si="23"/>
        <v>2050</v>
      </c>
      <c r="G123" s="94">
        <f>SUMIFS('Resultat-Produktion &amp; forbrug'!G$4:G$291,'Resultat-Produktion &amp; forbrug'!$A$4:$A$291,'Produktion &amp; forbrug'!$A123,'Resultat-Produktion &amp; forbrug'!$E$4:$E$291,'Produktion &amp; forbrug'!$F123)</f>
        <v>0</v>
      </c>
      <c r="H123" s="94">
        <f>SUMIFS('Resultat-Produktion &amp; forbrug'!H$4:H$291,'Resultat-Produktion &amp; forbrug'!$A$4:$A$291,'Produktion &amp; forbrug'!$A123,'Resultat-Produktion &amp; forbrug'!$E$4:$E$291,'Produktion &amp; forbrug'!$F123)</f>
        <v>0</v>
      </c>
      <c r="I123" s="94">
        <f>SUMIFS('Resultat-Produktion &amp; forbrug'!I$4:I$291,'Resultat-Produktion &amp; forbrug'!$A$4:$A$291,'Produktion &amp; forbrug'!$A123,'Resultat-Produktion &amp; forbrug'!$E$4:$E$291,'Produktion &amp; forbrug'!$F123)</f>
        <v>0</v>
      </c>
      <c r="J123" s="94">
        <f>SUMIFS('Resultat-Produktion &amp; forbrug'!J$4:J$291,'Resultat-Produktion &amp; forbrug'!$A$4:$A$291,'Produktion &amp; forbrug'!$A123,'Resultat-Produktion &amp; forbrug'!$E$4:$E$291,'Produktion &amp; forbrug'!$F123)</f>
        <v>0</v>
      </c>
      <c r="K123" s="94">
        <f>SUMIFS('Resultat-Produktion &amp; forbrug'!K$4:K$291,'Resultat-Produktion &amp; forbrug'!$A$4:$A$291,'Produktion &amp; forbrug'!$A123,'Resultat-Produktion &amp; forbrug'!$E$4:$E$291,'Produktion &amp; forbrug'!$F123)</f>
        <v>0</v>
      </c>
      <c r="L123" s="94">
        <f ca="1">SUMIFS('Resultat-Produktion &amp; forbrug'!L$4:L$291,'Resultat-Produktion &amp; forbrug'!$A$4:$A$291,'Produktion &amp; forbrug'!$A123,'Resultat-Produktion &amp; forbrug'!$E$4:$E$291,'Produktion &amp; forbrug'!$F123)</f>
        <v>4104326.2954310672</v>
      </c>
      <c r="M123" s="94">
        <f>SUMIFS('Resultat-Produktion &amp; forbrug'!M$4:M$291,'Resultat-Produktion &amp; forbrug'!$A$4:$A$291,'Produktion &amp; forbrug'!$A123,'Resultat-Produktion &amp; forbrug'!$E$4:$E$291,'Produktion &amp; forbrug'!$F123)</f>
        <v>0</v>
      </c>
      <c r="N123" s="94">
        <f>SUMIFS('Resultat-Produktion &amp; forbrug'!N$4:N$291,'Resultat-Produktion &amp; forbrug'!$A$4:$A$291,'Produktion &amp; forbrug'!$A123,'Resultat-Produktion &amp; forbrug'!$E$4:$E$291,'Produktion &amp; forbrug'!$F123)</f>
        <v>0</v>
      </c>
      <c r="O123" s="179">
        <f t="shared" ca="1" si="17"/>
        <v>-4104326.2954310672</v>
      </c>
      <c r="P123" s="94">
        <f t="shared" si="18"/>
        <v>0</v>
      </c>
      <c r="Q123" s="180">
        <f t="shared" si="19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IF(A123&lt;&gt;"Biogas",IFERROR(VLOOKUP(A123,[1]Biogasudbytte!$A$2:$B$18,2,FALSE)*[1]Energiindhold!$C$10,0)*K123*IFERROR(VLOOKUP(A123,Biogasanlæg!$F$3:$G$8,2,FALSE),1)+IFERROR(VLOOKUP(A123,[1]Energiindhold!$A$2:$C$11,3,FALSE),0)*M123+IF(F123&lt;&gt;År1,R123,0),0)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0"/>
        <v>0</v>
      </c>
      <c r="V123" s="169">
        <f>P123*IFERROR(VLOOKUP(A123,[1]Tørstofindhold!A$2:B$24,2,FALSE),0)</f>
        <v>0</v>
      </c>
      <c r="W123">
        <f>IF(F123=År1,Q123,SUM(P123,Q123))*IFERROR(VLOOKUP(A123,[1]Tørstofindhold!A$2:B$24,2,FALSE),0)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1"/>
        <v>0</v>
      </c>
      <c r="Z123">
        <f t="shared" ca="1" si="24"/>
        <v>1</v>
      </c>
      <c r="AA123">
        <f t="shared" ca="1" si="25"/>
        <v>0</v>
      </c>
      <c r="AC123" s="94">
        <f t="shared" ca="1" si="22"/>
        <v>-4104326.2954310672</v>
      </c>
      <c r="AD123">
        <f ca="1">AC123*E123*10000*VLOOKUP(A123,[1]kcal!$A$2:$C$49,3,FALSE)/1000000000000</f>
        <v>0</v>
      </c>
    </row>
    <row r="124" spans="1:30" x14ac:dyDescent="0.25">
      <c r="A124" s="171" t="str">
        <f t="shared" si="26"/>
        <v>Kvæggylle</v>
      </c>
      <c r="B124" s="171" t="str">
        <f t="shared" si="27"/>
        <v>Husdyrgødning</v>
      </c>
      <c r="C124" s="171" t="str">
        <f>IFERROR(VLOOKUP(A124,'Kategorisering af kcal'!$J$2:$K$18,2,FALSE),"")</f>
        <v/>
      </c>
      <c r="D124" s="171">
        <f>IF(COUNTIFS('Resultater - Danmark'!$D$3:$D$504,'Produktion &amp; forbrug'!A124,'Resultater - Danmark'!$A$3:$A$504,"Til energi")+COUNTIFS('Resultater - Danmark'!$D$3:$D$504,'Produktion &amp; forbrug'!A124,'Resultater - Danmark'!$A$3:$A$504,"Biogasanlæg")&gt;0,1,0)</f>
        <v>1</v>
      </c>
      <c r="E124" s="171">
        <f t="shared" si="28"/>
        <v>0</v>
      </c>
      <c r="F124" s="171">
        <f t="shared" si="23"/>
        <v>2050</v>
      </c>
      <c r="G124" s="94">
        <f>SUMIFS('Resultat-Produktion &amp; forbrug'!G$4:G$291,'Resultat-Produktion &amp; forbrug'!$A$4:$A$291,'Produktion &amp; forbrug'!$A124,'Resultat-Produktion &amp; forbrug'!$E$4:$E$291,'Produktion &amp; forbrug'!$F124)</f>
        <v>840620.71603045263</v>
      </c>
      <c r="H124" s="94">
        <f>SUMIFS('Resultat-Produktion &amp; forbrug'!H$4:H$291,'Resultat-Produktion &amp; forbrug'!$A$4:$A$291,'Produktion &amp; forbrug'!$A124,'Resultat-Produktion &amp; forbrug'!$E$4:$E$291,'Produktion &amp; forbrug'!$F124)</f>
        <v>0</v>
      </c>
      <c r="I124" s="94">
        <f>SUMIFS('Resultat-Produktion &amp; forbrug'!I$4:I$291,'Resultat-Produktion &amp; forbrug'!$A$4:$A$291,'Produktion &amp; forbrug'!$A124,'Resultat-Produktion &amp; forbrug'!$E$4:$E$291,'Produktion &amp; forbrug'!$F124)</f>
        <v>0</v>
      </c>
      <c r="J124" s="94">
        <f>SUMIFS('Resultat-Produktion &amp; forbrug'!J$4:J$291,'Resultat-Produktion &amp; forbrug'!$A$4:$A$291,'Produktion &amp; forbrug'!$A124,'Resultat-Produktion &amp; forbrug'!$E$4:$E$291,'Produktion &amp; forbrug'!$F124)</f>
        <v>0</v>
      </c>
      <c r="K124" s="94">
        <f>SUMIFS('Resultat-Produktion &amp; forbrug'!K$4:K$291,'Resultat-Produktion &amp; forbrug'!$A$4:$A$291,'Produktion &amp; forbrug'!$A124,'Resultat-Produktion &amp; forbrug'!$E$4:$E$291,'Produktion &amp; forbrug'!$F124)</f>
        <v>756558.64442740742</v>
      </c>
      <c r="L124" s="94">
        <f>SUMIFS('Resultat-Produktion &amp; forbrug'!L$4:L$291,'Resultat-Produktion &amp; forbrug'!$A$4:$A$291,'Produktion &amp; forbrug'!$A124,'Resultat-Produktion &amp; forbrug'!$E$4:$E$291,'Produktion &amp; forbrug'!$F124)</f>
        <v>84062.071603045246</v>
      </c>
      <c r="M124" s="94">
        <f>SUMIFS('Resultat-Produktion &amp; forbrug'!M$4:M$291,'Resultat-Produktion &amp; forbrug'!$A$4:$A$291,'Produktion &amp; forbrug'!$A124,'Resultat-Produktion &amp; forbrug'!$E$4:$E$291,'Produktion &amp; forbrug'!$F124)</f>
        <v>0</v>
      </c>
      <c r="N124" s="94">
        <f>SUMIFS('Resultat-Produktion &amp; forbrug'!N$4:N$291,'Resultat-Produktion &amp; forbrug'!$A$4:$A$291,'Produktion &amp; forbrug'!$A124,'Resultat-Produktion &amp; forbrug'!$E$4:$E$291,'Produktion &amp; forbrug'!$F124)</f>
        <v>0</v>
      </c>
      <c r="O124" s="179">
        <f t="shared" si="17"/>
        <v>0</v>
      </c>
      <c r="P124" s="94">
        <f t="shared" si="18"/>
        <v>0</v>
      </c>
      <c r="Q124" s="180">
        <f t="shared" si="19"/>
        <v>756558.64442740742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IF(A124&lt;&gt;"Biogas",IFERROR(VLOOKUP(A124,[1]Biogasudbytte!$A$2:$B$18,2,FALSE)*[1]Energiindhold!$C$10,0)*K124*IFERROR(VLOOKUP(A124,Biogasanlæg!$F$3:$G$8,2,FALSE),1)+IFERROR(VLOOKUP(A124,[1]Energiindhold!$A$2:$C$11,3,FALSE),0)*M124+IF(F124&lt;&gt;År1,R124,0),0)</f>
        <v>0.38296242022270943</v>
      </c>
      <c r="T124">
        <f>IFERROR(VLOOKUP(A124,[1]Biogasudbytte!$A$2:$B$18,2,FALSE)*[1]Energiindhold!$C$10,0)*K124*IFERROR(VLOOKUP(A124,Biogasanlæg!$F$3:$G$8,2,FALSE),1)</f>
        <v>0.38296242022270943</v>
      </c>
      <c r="U124" s="170">
        <f t="shared" si="20"/>
        <v>0</v>
      </c>
      <c r="V124" s="169">
        <f>P124*IFERROR(VLOOKUP(A124,[1]Tørstofindhold!A$2:B$24,2,FALSE),0)</f>
        <v>0</v>
      </c>
      <c r="W124">
        <f>IF(F124=År1,Q124,SUM(P124,Q124))*IFERROR(VLOOKUP(A124,[1]Tørstofindhold!A$2:B$24,2,FALSE),0)</f>
        <v>57498.456976482965</v>
      </c>
      <c r="X124">
        <f>K124*IFERROR(VLOOKUP(A124,[1]Tørstofindhold!A$2:B$24,2,FALSE),0)</f>
        <v>57498.456976482965</v>
      </c>
      <c r="Y124" s="170">
        <f t="shared" si="21"/>
        <v>0</v>
      </c>
      <c r="Z124">
        <f t="shared" si="24"/>
        <v>0</v>
      </c>
      <c r="AA124">
        <f t="shared" si="25"/>
        <v>0</v>
      </c>
      <c r="AC124" s="94">
        <f t="shared" si="22"/>
        <v>0</v>
      </c>
      <c r="AD124">
        <f>AC124*E124*10000*VLOOKUP(A124,[1]kcal!$A$2:$C$49,3,FALSE)/1000000000000</f>
        <v>0</v>
      </c>
    </row>
    <row r="125" spans="1:30" x14ac:dyDescent="0.25">
      <c r="A125" s="171" t="str">
        <f t="shared" si="26"/>
        <v>Mælk til foder</v>
      </c>
      <c r="B125" s="171" t="str">
        <f t="shared" si="27"/>
        <v/>
      </c>
      <c r="C125" s="171" t="str">
        <f>IFERROR(VLOOKUP(A125,'Kategorisering af kcal'!$J$2:$K$18,2,FALSE),"")</f>
        <v/>
      </c>
      <c r="D125" s="171">
        <f>IF(COUNTIFS('Resultater - Danmark'!$D$3:$D$504,'Produktion &amp; forbrug'!A125,'Resultater - Danmark'!$A$3:$A$504,"Til energi")+COUNTIFS('Resultater - Danmark'!$D$3:$D$504,'Produktion &amp; forbrug'!A125,'Resultater - Danmark'!$A$3:$A$504,"Biogasanlæg")&gt;0,1,0)</f>
        <v>0</v>
      </c>
      <c r="E125" s="171">
        <f t="shared" si="28"/>
        <v>0</v>
      </c>
      <c r="F125" s="171">
        <f t="shared" si="23"/>
        <v>2050</v>
      </c>
      <c r="G125" s="94">
        <f>SUMIFS('Resultat-Produktion &amp; forbrug'!G$4:G$291,'Resultat-Produktion &amp; forbrug'!$A$4:$A$291,'Produktion &amp; forbrug'!$A125,'Resultat-Produktion &amp; forbrug'!$E$4:$E$291,'Produktion &amp; forbrug'!$F125)</f>
        <v>106866.67914708829</v>
      </c>
      <c r="H125" s="94">
        <f>SUMIFS('Resultat-Produktion &amp; forbrug'!H$4:H$291,'Resultat-Produktion &amp; forbrug'!$A$4:$A$291,'Produktion &amp; forbrug'!$A125,'Resultat-Produktion &amp; forbrug'!$E$4:$E$291,'Produktion &amp; forbrug'!$F125)</f>
        <v>145100.77577065813</v>
      </c>
      <c r="I125" s="94">
        <f>SUMIFS('Resultat-Produktion &amp; forbrug'!I$4:I$291,'Resultat-Produktion &amp; forbrug'!$A$4:$A$291,'Produktion &amp; forbrug'!$A125,'Resultat-Produktion &amp; forbrug'!$E$4:$E$291,'Produktion &amp; forbrug'!$F125)</f>
        <v>0</v>
      </c>
      <c r="J125" s="94">
        <f>SUMIFS('Resultat-Produktion &amp; forbrug'!J$4:J$291,'Resultat-Produktion &amp; forbrug'!$A$4:$A$291,'Produktion &amp; forbrug'!$A125,'Resultat-Produktion &amp; forbrug'!$E$4:$E$291,'Produktion &amp; forbrug'!$F125)</f>
        <v>0</v>
      </c>
      <c r="K125" s="94">
        <f>SUMIFS('Resultat-Produktion &amp; forbrug'!K$4:K$291,'Resultat-Produktion &amp; forbrug'!$A$4:$A$291,'Produktion &amp; forbrug'!$A125,'Resultat-Produktion &amp; forbrug'!$E$4:$E$291,'Produktion &amp; forbrug'!$F125)</f>
        <v>0</v>
      </c>
      <c r="L125" s="94">
        <f>SUMIFS('Resultat-Produktion &amp; forbrug'!L$4:L$291,'Resultat-Produktion &amp; forbrug'!$A$4:$A$291,'Produktion &amp; forbrug'!$A125,'Resultat-Produktion &amp; forbrug'!$E$4:$E$291,'Produktion &amp; forbrug'!$F125)</f>
        <v>0</v>
      </c>
      <c r="M125" s="94">
        <f>SUMIFS('Resultat-Produktion &amp; forbrug'!M$4:M$291,'Resultat-Produktion &amp; forbrug'!$A$4:$A$291,'Produktion &amp; forbrug'!$A125,'Resultat-Produktion &amp; forbrug'!$E$4:$E$291,'Produktion &amp; forbrug'!$F125)</f>
        <v>0</v>
      </c>
      <c r="N125" s="94">
        <f>SUMIFS('Resultat-Produktion &amp; forbrug'!N$4:N$291,'Resultat-Produktion &amp; forbrug'!$A$4:$A$291,'Produktion &amp; forbrug'!$A125,'Resultat-Produktion &amp; forbrug'!$E$4:$E$291,'Produktion &amp; forbrug'!$F125)</f>
        <v>0</v>
      </c>
      <c r="O125" s="179">
        <f t="shared" si="17"/>
        <v>-38234.096623569843</v>
      </c>
      <c r="P125" s="94">
        <f t="shared" si="18"/>
        <v>0</v>
      </c>
      <c r="Q125" s="180">
        <f t="shared" si="19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IF(A125&lt;&gt;"Biogas",IFERROR(VLOOKUP(A125,[1]Biogasudbytte!$A$2:$B$18,2,FALSE)*[1]Energiindhold!$C$10,0)*K125*IFERROR(VLOOKUP(A125,Biogasanlæg!$F$3:$G$8,2,FALSE),1)+IFERROR(VLOOKUP(A125,[1]Energiindhold!$A$2:$C$11,3,FALSE),0)*M125+IF(F125&lt;&gt;År1,R125,0),0)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0"/>
        <v>0</v>
      </c>
      <c r="V125" s="169">
        <f>P125*IFERROR(VLOOKUP(A125,[1]Tørstofindhold!A$2:B$24,2,FALSE),0)</f>
        <v>0</v>
      </c>
      <c r="W125">
        <f>IF(F125=År1,Q125,SUM(P125,Q125))*IFERROR(VLOOKUP(A125,[1]Tørstofindhold!A$2:B$24,2,FALSE),0)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1"/>
        <v>0</v>
      </c>
      <c r="Z125">
        <f t="shared" si="24"/>
        <v>1</v>
      </c>
      <c r="AA125">
        <f t="shared" si="25"/>
        <v>0</v>
      </c>
      <c r="AC125" s="94">
        <f t="shared" si="22"/>
        <v>-38234.096623569843</v>
      </c>
      <c r="AD125">
        <f>AC125*E125*10000*VLOOKUP(A125,[1]kcal!$A$2:$C$49,3,FALSE)/1000000000000</f>
        <v>0</v>
      </c>
    </row>
    <row r="126" spans="1:30" x14ac:dyDescent="0.25">
      <c r="A126" s="171" t="str">
        <f t="shared" si="26"/>
        <v>Majs</v>
      </c>
      <c r="B126" s="171" t="str">
        <f t="shared" si="27"/>
        <v>Græs og urter</v>
      </c>
      <c r="C126" s="171" t="str">
        <f>IFERROR(VLOOKUP(A126,'Kategorisering af kcal'!$J$2:$K$18,2,FALSE),"")</f>
        <v>Korn</v>
      </c>
      <c r="D126" s="171">
        <f>IF(COUNTIFS('Resultater - Danmark'!$D$3:$D$504,'Produktion &amp; forbrug'!A126,'Resultater - Danmark'!$A$3:$A$504,"Til energi")+COUNTIFS('Resultater - Danmark'!$D$3:$D$504,'Produktion &amp; forbrug'!A126,'Resultater - Danmark'!$A$3:$A$504,"Biogasanlæg")&gt;0,1,0)</f>
        <v>1</v>
      </c>
      <c r="E126" s="171">
        <f t="shared" si="28"/>
        <v>1</v>
      </c>
      <c r="F126" s="171">
        <f t="shared" si="23"/>
        <v>2050</v>
      </c>
      <c r="G126" s="94">
        <f>SUMIFS('Resultat-Produktion &amp; forbrug'!G$4:G$291,'Resultat-Produktion &amp; forbrug'!$A$4:$A$291,'Produktion &amp; forbrug'!$A126,'Resultat-Produktion &amp; forbrug'!$E$4:$E$291,'Produktion &amp; forbrug'!$F126)</f>
        <v>25060.615390659139</v>
      </c>
      <c r="H126" s="94">
        <f>SUMIFS('Resultat-Produktion &amp; forbrug'!H$4:H$291,'Resultat-Produktion &amp; forbrug'!$A$4:$A$291,'Produktion &amp; forbrug'!$A126,'Resultat-Produktion &amp; forbrug'!$E$4:$E$291,'Produktion &amp; forbrug'!$F126)</f>
        <v>541555.20034970809</v>
      </c>
      <c r="I126" s="94">
        <f>SUMIFS('Resultat-Produktion &amp; forbrug'!I$4:I$291,'Resultat-Produktion &amp; forbrug'!$A$4:$A$291,'Produktion &amp; forbrug'!$A126,'Resultat-Produktion &amp; forbrug'!$E$4:$E$291,'Produktion &amp; forbrug'!$F126)</f>
        <v>0</v>
      </c>
      <c r="J126" s="94">
        <f>SUMIFS('Resultat-Produktion &amp; forbrug'!J$4:J$291,'Resultat-Produktion &amp; forbrug'!$A$4:$A$291,'Produktion &amp; forbrug'!$A126,'Resultat-Produktion &amp; forbrug'!$E$4:$E$291,'Produktion &amp; forbrug'!$F126)</f>
        <v>0</v>
      </c>
      <c r="K126" s="94">
        <f>SUMIFS('Resultat-Produktion &amp; forbrug'!K$4:K$291,'Resultat-Produktion &amp; forbrug'!$A$4:$A$291,'Produktion &amp; forbrug'!$A126,'Resultat-Produktion &amp; forbrug'!$E$4:$E$291,'Produktion &amp; forbrug'!$F126)</f>
        <v>0</v>
      </c>
      <c r="L126" s="94">
        <f>SUMIFS('Resultat-Produktion &amp; forbrug'!L$4:L$291,'Resultat-Produktion &amp; forbrug'!$A$4:$A$291,'Produktion &amp; forbrug'!$A126,'Resultat-Produktion &amp; forbrug'!$E$4:$E$291,'Produktion &amp; forbrug'!$F126)</f>
        <v>0</v>
      </c>
      <c r="M126" s="94">
        <f>SUMIFS('Resultat-Produktion &amp; forbrug'!M$4:M$291,'Resultat-Produktion &amp; forbrug'!$A$4:$A$291,'Produktion &amp; forbrug'!$A126,'Resultat-Produktion &amp; forbrug'!$E$4:$E$291,'Produktion &amp; forbrug'!$F126)</f>
        <v>0</v>
      </c>
      <c r="N126" s="94">
        <f>SUMIFS('Resultat-Produktion &amp; forbrug'!N$4:N$291,'Resultat-Produktion &amp; forbrug'!$A$4:$A$291,'Produktion &amp; forbrug'!$A126,'Resultat-Produktion &amp; forbrug'!$E$4:$E$291,'Produktion &amp; forbrug'!$F126)</f>
        <v>0</v>
      </c>
      <c r="O126" s="179">
        <f t="shared" si="17"/>
        <v>-516494.58495904895</v>
      </c>
      <c r="P126" s="94">
        <f t="shared" si="18"/>
        <v>0</v>
      </c>
      <c r="Q126" s="180">
        <f t="shared" si="19"/>
        <v>0</v>
      </c>
      <c r="R126">
        <f>IFERROR(VLOOKUP(A126,[1]Energiindhold!$A$2:$C$11,3,FALSE),IFERROR(VLOOKUP(A126,[1]Biogasudbytte!$A$2:$B$18,2,FALSE)*[1]Energiindhold!$C$10,0))*P126</f>
        <v>0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IF(A126&lt;&gt;"Biogas",IFERROR(VLOOKUP(A126,[1]Biogasudbytte!$A$2:$B$18,2,FALSE)*[1]Energiindhold!$C$10,0)*K126*IFERROR(VLOOKUP(A126,Biogasanlæg!$F$3:$G$8,2,FALSE),1)+IFERROR(VLOOKUP(A126,[1]Energiindhold!$A$2:$C$11,3,FALSE),0)*M126+IF(F126&lt;&gt;År1,R126,0),0)</f>
        <v>0</v>
      </c>
      <c r="T126">
        <f>IFERROR(VLOOKUP(A126,[1]Biogasudbytte!$A$2:$B$18,2,FALSE)*[1]Energiindhold!$C$10,0)*K126*IFERROR(VLOOKUP(A126,Biogasanlæg!$F$3:$G$8,2,FALSE),1)</f>
        <v>0</v>
      </c>
      <c r="U126" s="170">
        <f t="shared" si="20"/>
        <v>0</v>
      </c>
      <c r="V126" s="169">
        <f>P126*IFERROR(VLOOKUP(A126,[1]Tørstofindhold!A$2:B$24,2,FALSE),0)</f>
        <v>0</v>
      </c>
      <c r="W126">
        <f>IF(F126=År1,Q126,SUM(P126,Q126))*IFERROR(VLOOKUP(A126,[1]Tørstofindhold!A$2:B$24,2,FALSE),0)</f>
        <v>0</v>
      </c>
      <c r="X126">
        <f>K126*IFERROR(VLOOKUP(A126,[1]Tørstofindhold!A$2:B$24,2,FALSE),0)</f>
        <v>0</v>
      </c>
      <c r="Y126" s="170">
        <f t="shared" si="21"/>
        <v>0</v>
      </c>
      <c r="Z126">
        <f t="shared" si="24"/>
        <v>1</v>
      </c>
      <c r="AA126">
        <f t="shared" si="25"/>
        <v>0</v>
      </c>
      <c r="AC126" s="94">
        <f t="shared" si="22"/>
        <v>-516494.58495904895</v>
      </c>
      <c r="AD126">
        <f>AC126*E126*10000*VLOOKUP(A126,[1]kcal!$A$2:$C$49,3,FALSE)/1000000000000</f>
        <v>-0.47001007231273456</v>
      </c>
    </row>
    <row r="127" spans="1:30" x14ac:dyDescent="0.25">
      <c r="A127" s="171" t="str">
        <f t="shared" si="26"/>
        <v>Mejeriprodukter</v>
      </c>
      <c r="B127" s="171" t="str">
        <f t="shared" si="27"/>
        <v/>
      </c>
      <c r="C127" s="171" t="str">
        <f>IFERROR(VLOOKUP(A127,'Kategorisering af kcal'!$J$2:$K$18,2,FALSE),"")</f>
        <v>Mejeriprodukter</v>
      </c>
      <c r="D127" s="171">
        <f>IF(COUNTIFS('Resultater - Danmark'!$D$3:$D$504,'Produktion &amp; forbrug'!A127,'Resultater - Danmark'!$A$3:$A$504,"Til energi")+COUNTIFS('Resultater - Danmark'!$D$3:$D$504,'Produktion &amp; forbrug'!A127,'Resultater - Danmark'!$A$3:$A$504,"Biogasanlæg")&gt;0,1,0)</f>
        <v>0</v>
      </c>
      <c r="E127" s="171">
        <f t="shared" si="28"/>
        <v>1</v>
      </c>
      <c r="F127" s="171">
        <f t="shared" si="23"/>
        <v>2050</v>
      </c>
      <c r="G127" s="94">
        <f>SUMIFS('Resultat-Produktion &amp; forbrug'!G$4:G$291,'Resultat-Produktion &amp; forbrug'!$A$4:$A$291,'Produktion &amp; forbrug'!$A127,'Resultat-Produktion &amp; forbrug'!$E$4:$E$291,'Produktion &amp; forbrug'!$F127)</f>
        <v>206197.22808631693</v>
      </c>
      <c r="H127" s="94">
        <f>SUMIFS('Resultat-Produktion &amp; forbrug'!H$4:H$291,'Resultat-Produktion &amp; forbrug'!$A$4:$A$291,'Produktion &amp; forbrug'!$A127,'Resultat-Produktion &amp; forbrug'!$E$4:$E$291,'Produktion &amp; forbrug'!$F127)</f>
        <v>0</v>
      </c>
      <c r="I127" s="94">
        <f>SUMIFS('Resultat-Produktion &amp; forbrug'!I$4:I$291,'Resultat-Produktion &amp; forbrug'!$A$4:$A$291,'Produktion &amp; forbrug'!$A127,'Resultat-Produktion &amp; forbrug'!$E$4:$E$291,'Produktion &amp; forbrug'!$F127)</f>
        <v>0</v>
      </c>
      <c r="J127" s="94">
        <f>SUMIFS('Resultat-Produktion &amp; forbrug'!J$4:J$291,'Resultat-Produktion &amp; forbrug'!$A$4:$A$291,'Produktion &amp; forbrug'!$A127,'Resultat-Produktion &amp; forbrug'!$E$4:$E$291,'Produktion &amp; forbrug'!$F127)</f>
        <v>919038.57814492821</v>
      </c>
      <c r="K127" s="94">
        <f>SUMIFS('Resultat-Produktion &amp; forbrug'!K$4:K$291,'Resultat-Produktion &amp; forbrug'!$A$4:$A$291,'Produktion &amp; forbrug'!$A127,'Resultat-Produktion &amp; forbrug'!$E$4:$E$291,'Produktion &amp; forbrug'!$F127)</f>
        <v>0</v>
      </c>
      <c r="L127" s="94">
        <f>SUMIFS('Resultat-Produktion &amp; forbrug'!L$4:L$291,'Resultat-Produktion &amp; forbrug'!$A$4:$A$291,'Produktion &amp; forbrug'!$A127,'Resultat-Produktion &amp; forbrug'!$E$4:$E$291,'Produktion &amp; forbrug'!$F127)</f>
        <v>0</v>
      </c>
      <c r="M127" s="94">
        <f>SUMIFS('Resultat-Produktion &amp; forbrug'!M$4:M$291,'Resultat-Produktion &amp; forbrug'!$A$4:$A$291,'Produktion &amp; forbrug'!$A127,'Resultat-Produktion &amp; forbrug'!$E$4:$E$291,'Produktion &amp; forbrug'!$F127)</f>
        <v>0</v>
      </c>
      <c r="N127" s="94">
        <f>SUMIFS('Resultat-Produktion &amp; forbrug'!N$4:N$291,'Resultat-Produktion &amp; forbrug'!$A$4:$A$291,'Produktion &amp; forbrug'!$A127,'Resultat-Produktion &amp; forbrug'!$E$4:$E$291,'Produktion &amp; forbrug'!$F127)</f>
        <v>0</v>
      </c>
      <c r="O127" s="179">
        <f t="shared" si="17"/>
        <v>-712841.35005861125</v>
      </c>
      <c r="P127" s="94">
        <f t="shared" si="18"/>
        <v>0</v>
      </c>
      <c r="Q127" s="180">
        <f t="shared" si="19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IF(A127&lt;&gt;"Biogas",IFERROR(VLOOKUP(A127,[1]Biogasudbytte!$A$2:$B$18,2,FALSE)*[1]Energiindhold!$C$10,0)*K127*IFERROR(VLOOKUP(A127,Biogasanlæg!$F$3:$G$8,2,FALSE),1)+IFERROR(VLOOKUP(A127,[1]Energiindhold!$A$2:$C$11,3,FALSE),0)*M127+IF(F127&lt;&gt;År1,R127,0),0)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0"/>
        <v>0</v>
      </c>
      <c r="V127" s="169">
        <f>P127*IFERROR(VLOOKUP(A127,[1]Tørstofindhold!A$2:B$24,2,FALSE),0)</f>
        <v>0</v>
      </c>
      <c r="W127">
        <f>IF(F127=År1,Q127,SUM(P127,Q127))*IFERROR(VLOOKUP(A127,[1]Tørstofindhold!A$2:B$24,2,FALSE),0)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1"/>
        <v>0</v>
      </c>
      <c r="Z127">
        <f t="shared" si="24"/>
        <v>1</v>
      </c>
      <c r="AA127">
        <f t="shared" si="25"/>
        <v>0</v>
      </c>
      <c r="AC127" s="94">
        <f t="shared" si="22"/>
        <v>206197.22808631693</v>
      </c>
      <c r="AD127">
        <f>AC127*E127*10000*VLOOKUP(A127,[1]kcal!$A$2:$C$49,3,FALSE)/1000000000000</f>
        <v>0.12990425369437966</v>
      </c>
    </row>
    <row r="128" spans="1:30" x14ac:dyDescent="0.25">
      <c r="A128" s="171" t="str">
        <f t="shared" si="26"/>
        <v>Muslinger</v>
      </c>
      <c r="B128" s="171" t="str">
        <f t="shared" si="27"/>
        <v>Havbiomasse</v>
      </c>
      <c r="C128" s="171" t="str">
        <f>IFERROR(VLOOKUP(A128,'Kategorisering af kcal'!$J$2:$K$18,2,FALSE),"")</f>
        <v>Fisk mm</v>
      </c>
      <c r="D128" s="171">
        <f>IF(COUNTIFS('Resultater - Danmark'!$D$3:$D$504,'Produktion &amp; forbrug'!A128,'Resultater - Danmark'!$A$3:$A$504,"Til energi")+COUNTIFS('Resultater - Danmark'!$D$3:$D$504,'Produktion &amp; forbrug'!A128,'Resultater - Danmark'!$A$3:$A$504,"Biogasanlæg")&gt;0,1,0)</f>
        <v>1</v>
      </c>
      <c r="E128" s="171">
        <f t="shared" si="28"/>
        <v>1</v>
      </c>
      <c r="F128" s="171">
        <f t="shared" si="23"/>
        <v>2050</v>
      </c>
      <c r="G128" s="94">
        <f>SUMIFS('Resultat-Produktion &amp; forbrug'!G$4:G$291,'Resultat-Produktion &amp; forbrug'!$A$4:$A$291,'Produktion &amp; forbrug'!$A128,'Resultat-Produktion &amp; forbrug'!$E$4:$E$291,'Produktion &amp; forbrug'!$F128)</f>
        <v>880.09999999999991</v>
      </c>
      <c r="H128" s="94">
        <f>SUMIFS('Resultat-Produktion &amp; forbrug'!H$4:H$291,'Resultat-Produktion &amp; forbrug'!$A$4:$A$291,'Produktion &amp; forbrug'!$A128,'Resultat-Produktion &amp; forbrug'!$E$4:$E$291,'Produktion &amp; forbrug'!$F128)</f>
        <v>0</v>
      </c>
      <c r="I128" s="94">
        <f>SUMIFS('Resultat-Produktion &amp; forbrug'!I$4:I$291,'Resultat-Produktion &amp; forbrug'!$A$4:$A$291,'Produktion &amp; forbrug'!$A128,'Resultat-Produktion &amp; forbrug'!$E$4:$E$291,'Produktion &amp; forbrug'!$F128)</f>
        <v>0</v>
      </c>
      <c r="J128" s="94">
        <f>SUMIFS('Resultat-Produktion &amp; forbrug'!J$4:J$291,'Resultat-Produktion &amp; forbrug'!$A$4:$A$291,'Produktion &amp; forbrug'!$A128,'Resultat-Produktion &amp; forbrug'!$E$4:$E$291,'Produktion &amp; forbrug'!$F128)</f>
        <v>0</v>
      </c>
      <c r="K128" s="94">
        <f>SUMIFS('Resultat-Produktion &amp; forbrug'!K$4:K$291,'Resultat-Produktion &amp; forbrug'!$A$4:$A$291,'Produktion &amp; forbrug'!$A128,'Resultat-Produktion &amp; forbrug'!$E$4:$E$291,'Produktion &amp; forbrug'!$F128)</f>
        <v>0</v>
      </c>
      <c r="L128" s="94">
        <f>SUMIFS('Resultat-Produktion &amp; forbrug'!L$4:L$291,'Resultat-Produktion &amp; forbrug'!$A$4:$A$291,'Produktion &amp; forbrug'!$A128,'Resultat-Produktion &amp; forbrug'!$E$4:$E$291,'Produktion &amp; forbrug'!$F128)</f>
        <v>0</v>
      </c>
      <c r="M128" s="94">
        <f>SUMIFS('Resultat-Produktion &amp; forbrug'!M$4:M$291,'Resultat-Produktion &amp; forbrug'!$A$4:$A$291,'Produktion &amp; forbrug'!$A128,'Resultat-Produktion &amp; forbrug'!$E$4:$E$291,'Produktion &amp; forbrug'!$F128)</f>
        <v>0</v>
      </c>
      <c r="N128" s="94">
        <f>SUMIFS('Resultat-Produktion &amp; forbrug'!N$4:N$291,'Resultat-Produktion &amp; forbrug'!$A$4:$A$291,'Produktion &amp; forbrug'!$A128,'Resultat-Produktion &amp; forbrug'!$E$4:$E$291,'Produktion &amp; forbrug'!$F128)</f>
        <v>0</v>
      </c>
      <c r="O128" s="179">
        <f t="shared" si="17"/>
        <v>880.09999999999991</v>
      </c>
      <c r="P128" s="94">
        <f t="shared" si="18"/>
        <v>880.09999999999991</v>
      </c>
      <c r="Q128" s="180">
        <f t="shared" si="19"/>
        <v>0</v>
      </c>
      <c r="R128">
        <f>IFERROR(VLOOKUP(A128,[1]Energiindhold!$A$2:$C$11,3,FALSE),IFERROR(VLOOKUP(A128,[1]Biogasudbytte!$A$2:$B$18,2,FALSE)*[1]Energiindhold!$C$10,0))*P128</f>
        <v>7.8988975000000004E-4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IF(A128&lt;&gt;"Biogas",IFERROR(VLOOKUP(A128,[1]Biogasudbytte!$A$2:$B$18,2,FALSE)*[1]Energiindhold!$C$10,0)*K128*IFERROR(VLOOKUP(A128,Biogasanlæg!$F$3:$G$8,2,FALSE),1)+IFERROR(VLOOKUP(A128,[1]Energiindhold!$A$2:$C$11,3,FALSE),0)*M128+IF(F128&lt;&gt;År1,R128,0),0)</f>
        <v>7.8988975000000004E-4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0"/>
        <v>7.8988975000000004E-4</v>
      </c>
      <c r="V128" s="169">
        <f>P128*IFERROR(VLOOKUP(A128,[1]Tørstofindhold!A$2:B$24,2,FALSE),0)</f>
        <v>132.01499999999999</v>
      </c>
      <c r="W128">
        <f>IF(F128=År1,Q128,SUM(P128,Q128))*IFERROR(VLOOKUP(A128,[1]Tørstofindhold!A$2:B$24,2,FALSE),0)</f>
        <v>132.01499999999999</v>
      </c>
      <c r="X128">
        <f>K128*IFERROR(VLOOKUP(A128,[1]Tørstofindhold!A$2:B$24,2,FALSE),0)</f>
        <v>0</v>
      </c>
      <c r="Y128" s="170">
        <f t="shared" si="21"/>
        <v>132.01499999999999</v>
      </c>
      <c r="Z128">
        <f t="shared" si="24"/>
        <v>0</v>
      </c>
      <c r="AA128">
        <f t="shared" si="25"/>
        <v>1</v>
      </c>
      <c r="AC128" s="94">
        <f t="shared" si="22"/>
        <v>880.09999999999991</v>
      </c>
      <c r="AD128">
        <f>AC128*E128*10000*VLOOKUP(A128,[1]kcal!$A$2:$C$49,3,FALSE)/1000000000000</f>
        <v>7.3048299999999998E-4</v>
      </c>
    </row>
    <row r="129" spans="1:30" x14ac:dyDescent="0.25">
      <c r="A129" s="171" t="str">
        <f t="shared" si="26"/>
        <v>Oksekød</v>
      </c>
      <c r="B129" s="171" t="str">
        <f t="shared" si="27"/>
        <v/>
      </c>
      <c r="C129" s="171" t="str">
        <f>IFERROR(VLOOKUP(A129,'Kategorisering af kcal'!$J$2:$K$18,2,FALSE),"")</f>
        <v>Kød</v>
      </c>
      <c r="D129" s="171">
        <f>IF(COUNTIFS('Resultater - Danmark'!$D$3:$D$504,'Produktion &amp; forbrug'!A129,'Resultater - Danmark'!$A$3:$A$504,"Til energi")+COUNTIFS('Resultater - Danmark'!$D$3:$D$504,'Produktion &amp; forbrug'!A129,'Resultater - Danmark'!$A$3:$A$504,"Biogasanlæg")&gt;0,1,0)</f>
        <v>0</v>
      </c>
      <c r="E129" s="171">
        <f t="shared" si="28"/>
        <v>1</v>
      </c>
      <c r="F129" s="171">
        <f t="shared" si="23"/>
        <v>2050</v>
      </c>
      <c r="G129" s="94">
        <f>SUMIFS('Resultat-Produktion &amp; forbrug'!G$4:G$291,'Resultat-Produktion &amp; forbrug'!$A$4:$A$291,'Produktion &amp; forbrug'!$A129,'Resultat-Produktion &amp; forbrug'!$E$4:$E$291,'Produktion &amp; forbrug'!$F129)</f>
        <v>3877.9934653468558</v>
      </c>
      <c r="H129" s="94">
        <f>SUMIFS('Resultat-Produktion &amp; forbrug'!H$4:H$291,'Resultat-Produktion &amp; forbrug'!$A$4:$A$291,'Produktion &amp; forbrug'!$A129,'Resultat-Produktion &amp; forbrug'!$E$4:$E$291,'Produktion &amp; forbrug'!$F129)</f>
        <v>0</v>
      </c>
      <c r="I129" s="94">
        <f>SUMIFS('Resultat-Produktion &amp; forbrug'!I$4:I$291,'Resultat-Produktion &amp; forbrug'!$A$4:$A$291,'Produktion &amp; forbrug'!$A129,'Resultat-Produktion &amp; forbrug'!$E$4:$E$291,'Produktion &amp; forbrug'!$F129)</f>
        <v>0</v>
      </c>
      <c r="J129" s="94">
        <f>SUMIFS('Resultat-Produktion &amp; forbrug'!J$4:J$291,'Resultat-Produktion &amp; forbrug'!$A$4:$A$291,'Produktion &amp; forbrug'!$A129,'Resultat-Produktion &amp; forbrug'!$E$4:$E$291,'Produktion &amp; forbrug'!$F129)</f>
        <v>116781.28139531243</v>
      </c>
      <c r="K129" s="94">
        <f>SUMIFS('Resultat-Produktion &amp; forbrug'!K$4:K$291,'Resultat-Produktion &amp; forbrug'!$A$4:$A$291,'Produktion &amp; forbrug'!$A129,'Resultat-Produktion &amp; forbrug'!$E$4:$E$291,'Produktion &amp; forbrug'!$F129)</f>
        <v>0</v>
      </c>
      <c r="L129" s="94">
        <f>SUMIFS('Resultat-Produktion &amp; forbrug'!L$4:L$291,'Resultat-Produktion &amp; forbrug'!$A$4:$A$291,'Produktion &amp; forbrug'!$A129,'Resultat-Produktion &amp; forbrug'!$E$4:$E$291,'Produktion &amp; forbrug'!$F129)</f>
        <v>0</v>
      </c>
      <c r="M129" s="94">
        <f>SUMIFS('Resultat-Produktion &amp; forbrug'!M$4:M$291,'Resultat-Produktion &amp; forbrug'!$A$4:$A$291,'Produktion &amp; forbrug'!$A129,'Resultat-Produktion &amp; forbrug'!$E$4:$E$291,'Produktion &amp; forbrug'!$F129)</f>
        <v>0</v>
      </c>
      <c r="N129" s="94">
        <f>SUMIFS('Resultat-Produktion &amp; forbrug'!N$4:N$291,'Resultat-Produktion &amp; forbrug'!$A$4:$A$291,'Produktion &amp; forbrug'!$A129,'Resultat-Produktion &amp; forbrug'!$E$4:$E$291,'Produktion &amp; forbrug'!$F129)</f>
        <v>0</v>
      </c>
      <c r="O129" s="179">
        <f t="shared" si="17"/>
        <v>-112903.28792996558</v>
      </c>
      <c r="P129" s="94">
        <f t="shared" si="18"/>
        <v>0</v>
      </c>
      <c r="Q129" s="180">
        <f t="shared" si="19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IF(A129&lt;&gt;"Biogas",IFERROR(VLOOKUP(A129,[1]Biogasudbytte!$A$2:$B$18,2,FALSE)*[1]Energiindhold!$C$10,0)*K129*IFERROR(VLOOKUP(A129,Biogasanlæg!$F$3:$G$8,2,FALSE),1)+IFERROR(VLOOKUP(A129,[1]Energiindhold!$A$2:$C$11,3,FALSE),0)*M129+IF(F129&lt;&gt;År1,R129,0),0)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0"/>
        <v>0</v>
      </c>
      <c r="V129" s="169">
        <f>P129*IFERROR(VLOOKUP(A129,[1]Tørstofindhold!A$2:B$24,2,FALSE),0)</f>
        <v>0</v>
      </c>
      <c r="W129">
        <f>IF(F129=År1,Q129,SUM(P129,Q129))*IFERROR(VLOOKUP(A129,[1]Tørstofindhold!A$2:B$24,2,FALSE),0)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1"/>
        <v>0</v>
      </c>
      <c r="Z129">
        <f t="shared" si="24"/>
        <v>1</v>
      </c>
      <c r="AA129">
        <f t="shared" si="25"/>
        <v>0</v>
      </c>
      <c r="AC129" s="94">
        <f t="shared" si="22"/>
        <v>3877.9934653468558</v>
      </c>
      <c r="AD129">
        <f>AC129*E129*10000*VLOOKUP(A129,[1]kcal!$A$2:$C$49,3,FALSE)/1000000000000</f>
        <v>7.5620872574263687E-3</v>
      </c>
    </row>
    <row r="130" spans="1:30" x14ac:dyDescent="0.25">
      <c r="A130" s="171" t="str">
        <f t="shared" si="26"/>
        <v>Øvrige</v>
      </c>
      <c r="B130" s="171" t="str">
        <f t="shared" si="27"/>
        <v/>
      </c>
      <c r="C130" s="171" t="str">
        <f>IFERROR(VLOOKUP(A130,'Kategorisering af kcal'!$J$2:$K$18,2,FALSE),"")</f>
        <v>Øvrige</v>
      </c>
      <c r="D130" s="171">
        <f>IF(COUNTIFS('Resultater - Danmark'!$D$3:$D$504,'Produktion &amp; forbrug'!A130,'Resultater - Danmark'!$A$3:$A$504,"Til energi")+COUNTIFS('Resultater - Danmark'!$D$3:$D$504,'Produktion &amp; forbrug'!A130,'Resultater - Danmark'!$A$3:$A$504,"Biogasanlæg")&gt;0,1,0)</f>
        <v>0</v>
      </c>
      <c r="E130" s="171">
        <f t="shared" si="28"/>
        <v>1</v>
      </c>
      <c r="F130" s="171">
        <f t="shared" si="23"/>
        <v>2050</v>
      </c>
      <c r="G130" s="94">
        <f>SUMIFS('Resultat-Produktion &amp; forbrug'!G$4:G$291,'Resultat-Produktion &amp; forbrug'!$A$4:$A$291,'Produktion &amp; forbrug'!$A130,'Resultat-Produktion &amp; forbrug'!$E$4:$E$291,'Produktion &amp; forbrug'!$F130)</f>
        <v>5375.3604753848949</v>
      </c>
      <c r="H130" s="94">
        <f>SUMIFS('Resultat-Produktion &amp; forbrug'!H$4:H$291,'Resultat-Produktion &amp; forbrug'!$A$4:$A$291,'Produktion &amp; forbrug'!$A130,'Resultat-Produktion &amp; forbrug'!$E$4:$E$291,'Produktion &amp; forbrug'!$F130)</f>
        <v>0</v>
      </c>
      <c r="I130" s="94">
        <f>SUMIFS('Resultat-Produktion &amp; forbrug'!I$4:I$291,'Resultat-Produktion &amp; forbrug'!$A$4:$A$291,'Produktion &amp; forbrug'!$A130,'Resultat-Produktion &amp; forbrug'!$E$4:$E$291,'Produktion &amp; forbrug'!$F130)</f>
        <v>0</v>
      </c>
      <c r="J130" s="94">
        <f>SUMIFS('Resultat-Produktion &amp; forbrug'!J$4:J$291,'Resultat-Produktion &amp; forbrug'!$A$4:$A$291,'Produktion &amp; forbrug'!$A130,'Resultat-Produktion &amp; forbrug'!$E$4:$E$291,'Produktion &amp; forbrug'!$F130)</f>
        <v>0</v>
      </c>
      <c r="K130" s="94">
        <f>SUMIFS('Resultat-Produktion &amp; forbrug'!K$4:K$291,'Resultat-Produktion &amp; forbrug'!$A$4:$A$291,'Produktion &amp; forbrug'!$A130,'Resultat-Produktion &amp; forbrug'!$E$4:$E$291,'Produktion &amp; forbrug'!$F130)</f>
        <v>0</v>
      </c>
      <c r="L130" s="94">
        <f>SUMIFS('Resultat-Produktion &amp; forbrug'!L$4:L$291,'Resultat-Produktion &amp; forbrug'!$A$4:$A$291,'Produktion &amp; forbrug'!$A130,'Resultat-Produktion &amp; forbrug'!$E$4:$E$291,'Produktion &amp; forbrug'!$F130)</f>
        <v>0</v>
      </c>
      <c r="M130" s="94">
        <f>SUMIFS('Resultat-Produktion &amp; forbrug'!M$4:M$291,'Resultat-Produktion &amp; forbrug'!$A$4:$A$291,'Produktion &amp; forbrug'!$A130,'Resultat-Produktion &amp; forbrug'!$E$4:$E$291,'Produktion &amp; forbrug'!$F130)</f>
        <v>0</v>
      </c>
      <c r="N130" s="94">
        <f>SUMIFS('Resultat-Produktion &amp; forbrug'!N$4:N$291,'Resultat-Produktion &amp; forbrug'!$A$4:$A$291,'Produktion &amp; forbrug'!$A130,'Resultat-Produktion &amp; forbrug'!$E$4:$E$291,'Produktion &amp; forbrug'!$F130)</f>
        <v>0</v>
      </c>
      <c r="O130" s="179">
        <f t="shared" si="17"/>
        <v>5375.3604753848949</v>
      </c>
      <c r="P130" s="94">
        <f t="shared" si="18"/>
        <v>0</v>
      </c>
      <c r="Q130" s="180">
        <f t="shared" si="19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IF(A130&lt;&gt;"Biogas",IFERROR(VLOOKUP(A130,[1]Biogasudbytte!$A$2:$B$18,2,FALSE)*[1]Energiindhold!$C$10,0)*K130*IFERROR(VLOOKUP(A130,Biogasanlæg!$F$3:$G$8,2,FALSE),1)+IFERROR(VLOOKUP(A130,[1]Energiindhold!$A$2:$C$11,3,FALSE),0)*M130+IF(F130&lt;&gt;År1,R130,0),0)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0"/>
        <v>0</v>
      </c>
      <c r="V130" s="169">
        <f>P130*IFERROR(VLOOKUP(A130,[1]Tørstofindhold!A$2:B$24,2,FALSE),0)</f>
        <v>0</v>
      </c>
      <c r="W130">
        <f>IF(F130=År1,Q130,SUM(P130,Q130))*IFERROR(VLOOKUP(A130,[1]Tørstofindhold!A$2:B$24,2,FALSE),0)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1"/>
        <v>0</v>
      </c>
      <c r="Z130">
        <f t="shared" si="24"/>
        <v>0</v>
      </c>
      <c r="AA130">
        <f t="shared" si="25"/>
        <v>1</v>
      </c>
      <c r="AC130" s="94">
        <f t="shared" si="22"/>
        <v>5375.3604753848949</v>
      </c>
      <c r="AD130">
        <f>AC130*E130*10000*VLOOKUP(A130,[1]kcal!$A$2:$C$49,3,FALSE)/1000000000000</f>
        <v>2.0963905854001091E-3</v>
      </c>
    </row>
    <row r="131" spans="1:30" x14ac:dyDescent="0.25">
      <c r="A131" s="171" t="str">
        <f t="shared" si="26"/>
        <v>Pil &amp; poppel</v>
      </c>
      <c r="B131" s="171" t="str">
        <f t="shared" si="27"/>
        <v>Vedmasse</v>
      </c>
      <c r="C131" s="171" t="str">
        <f>IFERROR(VLOOKUP(A131,'Kategorisering af kcal'!$J$2:$K$18,2,FALSE),"")</f>
        <v/>
      </c>
      <c r="D131" s="171">
        <f>IF(COUNTIFS('Resultater - Danmark'!$D$3:$D$504,'Produktion &amp; forbrug'!A131,'Resultater - Danmark'!$A$3:$A$504,"Til energi")+COUNTIFS('Resultater - Danmark'!$D$3:$D$504,'Produktion &amp; forbrug'!A131,'Resultater - Danmark'!$A$3:$A$504,"Biogasanlæg")&gt;0,1,0)</f>
        <v>1</v>
      </c>
      <c r="E131" s="171">
        <f t="shared" si="28"/>
        <v>0</v>
      </c>
      <c r="F131" s="171">
        <f t="shared" si="23"/>
        <v>2050</v>
      </c>
      <c r="G131" s="94">
        <f>SUMIFS('Resultat-Produktion &amp; forbrug'!G$4:G$291,'Resultat-Produktion &amp; forbrug'!$A$4:$A$291,'Produktion &amp; forbrug'!$A131,'Resultat-Produktion &amp; forbrug'!$E$4:$E$291,'Produktion &amp; forbrug'!$F131)</f>
        <v>143523.94669780202</v>
      </c>
      <c r="H131" s="94">
        <f>SUMIFS('Resultat-Produktion &amp; forbrug'!H$4:H$291,'Resultat-Produktion &amp; forbrug'!$A$4:$A$291,'Produktion &amp; forbrug'!$A131,'Resultat-Produktion &amp; forbrug'!$E$4:$E$291,'Produktion &amp; forbrug'!$F131)</f>
        <v>0</v>
      </c>
      <c r="I131" s="94">
        <f>SUMIFS('Resultat-Produktion &amp; forbrug'!I$4:I$291,'Resultat-Produktion &amp; forbrug'!$A$4:$A$291,'Produktion &amp; forbrug'!$A131,'Resultat-Produktion &amp; forbrug'!$E$4:$E$291,'Produktion &amp; forbrug'!$F131)</f>
        <v>0</v>
      </c>
      <c r="J131" s="94">
        <f>SUMIFS('Resultat-Produktion &amp; forbrug'!J$4:J$291,'Resultat-Produktion &amp; forbrug'!$A$4:$A$291,'Produktion &amp; forbrug'!$A131,'Resultat-Produktion &amp; forbrug'!$E$4:$E$291,'Produktion &amp; forbrug'!$F131)</f>
        <v>0</v>
      </c>
      <c r="K131" s="94">
        <f>SUMIFS('Resultat-Produktion &amp; forbrug'!K$4:K$291,'Resultat-Produktion &amp; forbrug'!$A$4:$A$291,'Produktion &amp; forbrug'!$A131,'Resultat-Produktion &amp; forbrug'!$E$4:$E$291,'Produktion &amp; forbrug'!$F131)</f>
        <v>0</v>
      </c>
      <c r="L131" s="94">
        <f>SUMIFS('Resultat-Produktion &amp; forbrug'!L$4:L$291,'Resultat-Produktion &amp; forbrug'!$A$4:$A$291,'Produktion &amp; forbrug'!$A131,'Resultat-Produktion &amp; forbrug'!$E$4:$E$291,'Produktion &amp; forbrug'!$F131)</f>
        <v>0</v>
      </c>
      <c r="M131" s="94">
        <f>SUMIFS('Resultat-Produktion &amp; forbrug'!M$4:M$291,'Resultat-Produktion &amp; forbrug'!$A$4:$A$291,'Produktion &amp; forbrug'!$A131,'Resultat-Produktion &amp; forbrug'!$E$4:$E$291,'Produktion &amp; forbrug'!$F131)</f>
        <v>143523.94669780202</v>
      </c>
      <c r="N131" s="94">
        <f>SUMIFS('Resultat-Produktion &amp; forbrug'!N$4:N$291,'Resultat-Produktion &amp; forbrug'!$A$4:$A$291,'Produktion &amp; forbrug'!$A131,'Resultat-Produktion &amp; forbrug'!$E$4:$E$291,'Produktion &amp; forbrug'!$F131)</f>
        <v>0</v>
      </c>
      <c r="O131" s="179">
        <f t="shared" si="17"/>
        <v>0</v>
      </c>
      <c r="P131" s="94">
        <f t="shared" si="18"/>
        <v>0</v>
      </c>
      <c r="Q131" s="180">
        <f t="shared" si="19"/>
        <v>143523.94669780202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IF(A131&lt;&gt;"Biogas",IFERROR(VLOOKUP(A131,[1]Biogasudbytte!$A$2:$B$18,2,FALSE)*[1]Energiindhold!$C$10,0)*K131*IFERROR(VLOOKUP(A131,Biogasanlæg!$F$3:$G$8,2,FALSE),1)+IFERROR(VLOOKUP(A131,[1]Energiindhold!$A$2:$C$11,3,FALSE),0)*M131+IF(F131&lt;&gt;År1,R131,0),0)</f>
        <v>2.6408406192395568</v>
      </c>
      <c r="T131">
        <f>IFERROR(VLOOKUP(A131,[1]Biogasudbytte!$A$2:$B$18,2,FALSE)*[1]Energiindhold!$C$10,0)*K131*IFERROR(VLOOKUP(A131,Biogasanlæg!$F$3:$G$8,2,FALSE),1)</f>
        <v>0</v>
      </c>
      <c r="U131" s="170">
        <f t="shared" si="20"/>
        <v>2.6408406192395568</v>
      </c>
      <c r="V131" s="169">
        <f>P131*IFERROR(VLOOKUP(A131,[1]Tørstofindhold!A$2:B$24,2,FALSE),0)</f>
        <v>0</v>
      </c>
      <c r="W131">
        <f>IF(F131=År1,Q131,SUM(P131,Q131))*IFERROR(VLOOKUP(A131,[1]Tørstofindhold!A$2:B$24,2,FALSE),0)</f>
        <v>59562.437879587844</v>
      </c>
      <c r="X131">
        <f>K131*IFERROR(VLOOKUP(A131,[1]Tørstofindhold!A$2:B$24,2,FALSE),0)</f>
        <v>0</v>
      </c>
      <c r="Y131" s="170">
        <f t="shared" si="21"/>
        <v>59562.437879587844</v>
      </c>
      <c r="Z131">
        <f t="shared" si="24"/>
        <v>0</v>
      </c>
      <c r="AA131">
        <f t="shared" si="25"/>
        <v>0</v>
      </c>
      <c r="AC131" s="94">
        <f t="shared" si="22"/>
        <v>143523.94669780202</v>
      </c>
      <c r="AD131">
        <f>AC131*E131*10000*VLOOKUP(A131,[1]kcal!$A$2:$C$49,3,FALSE)/1000000000000</f>
        <v>0</v>
      </c>
    </row>
    <row r="132" spans="1:30" x14ac:dyDescent="0.25">
      <c r="A132" s="171" t="str">
        <f t="shared" si="26"/>
        <v>Pyrolysegas</v>
      </c>
      <c r="B132" s="171" t="str">
        <f t="shared" si="27"/>
        <v>Pyrolyseprodukter</v>
      </c>
      <c r="C132" s="171" t="str">
        <f>IFERROR(VLOOKUP(A132,'Kategorisering af kcal'!$J$2:$K$18,2,FALSE),"")</f>
        <v/>
      </c>
      <c r="D132" s="171">
        <f>IF(COUNTIFS('Resultater - Danmark'!$D$3:$D$504,'Produktion &amp; forbrug'!A132,'Resultater - Danmark'!$A$3:$A$504,"Til energi")+COUNTIFS('Resultater - Danmark'!$D$3:$D$504,'Produktion &amp; forbrug'!A132,'Resultater - Danmark'!$A$3:$A$504,"Biogasanlæg")&gt;0,1,0)</f>
        <v>1</v>
      </c>
      <c r="E132" s="171">
        <f t="shared" si="28"/>
        <v>0</v>
      </c>
      <c r="F132" s="171">
        <f t="shared" si="23"/>
        <v>2050</v>
      </c>
      <c r="G132" s="94">
        <f>SUMIFS('Resultat-Produktion &amp; forbrug'!G$4:G$291,'Resultat-Produktion &amp; forbrug'!$A$4:$A$291,'Produktion &amp; forbrug'!$A132,'Resultat-Produktion &amp; forbrug'!$E$4:$E$291,'Produktion &amp; forbrug'!$F132)</f>
        <v>0</v>
      </c>
      <c r="H132" s="94">
        <f>SUMIFS('Resultat-Produktion &amp; forbrug'!H$4:H$291,'Resultat-Produktion &amp; forbrug'!$A$4:$A$291,'Produktion &amp; forbrug'!$A132,'Resultat-Produktion &amp; forbrug'!$E$4:$E$291,'Produktion &amp; forbrug'!$F132)</f>
        <v>0</v>
      </c>
      <c r="I132" s="94">
        <f>SUMIFS('Resultat-Produktion &amp; forbrug'!I$4:I$291,'Resultat-Produktion &amp; forbrug'!$A$4:$A$291,'Produktion &amp; forbrug'!$A132,'Resultat-Produktion &amp; forbrug'!$E$4:$E$291,'Produktion &amp; forbrug'!$F132)</f>
        <v>0</v>
      </c>
      <c r="J132" s="94">
        <f>SUMIFS('Resultat-Produktion &amp; forbrug'!J$4:J$291,'Resultat-Produktion &amp; forbrug'!$A$4:$A$291,'Produktion &amp; forbrug'!$A132,'Resultat-Produktion &amp; forbrug'!$E$4:$E$291,'Produktion &amp; forbrug'!$F132)</f>
        <v>0</v>
      </c>
      <c r="K132" s="94">
        <f>SUMIFS('Resultat-Produktion &amp; forbrug'!K$4:K$291,'Resultat-Produktion &amp; forbrug'!$A$4:$A$291,'Produktion &amp; forbrug'!$A132,'Resultat-Produktion &amp; forbrug'!$E$4:$E$291,'Produktion &amp; forbrug'!$F132)</f>
        <v>0</v>
      </c>
      <c r="L132" s="94">
        <f>SUMIFS('Resultat-Produktion &amp; forbrug'!L$4:L$291,'Resultat-Produktion &amp; forbrug'!$A$4:$A$291,'Produktion &amp; forbrug'!$A132,'Resultat-Produktion &amp; forbrug'!$E$4:$E$291,'Produktion &amp; forbrug'!$F132)</f>
        <v>0</v>
      </c>
      <c r="M132" s="94">
        <f>SUMIFS('Resultat-Produktion &amp; forbrug'!M$4:M$291,'Resultat-Produktion &amp; forbrug'!$A$4:$A$291,'Produktion &amp; forbrug'!$A132,'Resultat-Produktion &amp; forbrug'!$E$4:$E$291,'Produktion &amp; forbrug'!$F132)</f>
        <v>0</v>
      </c>
      <c r="N132" s="94">
        <f>SUMIFS('Resultat-Produktion &amp; forbrug'!N$4:N$291,'Resultat-Produktion &amp; forbrug'!$A$4:$A$291,'Produktion &amp; forbrug'!$A132,'Resultat-Produktion &amp; forbrug'!$E$4:$E$291,'Produktion &amp; forbrug'!$F132)</f>
        <v>0</v>
      </c>
      <c r="O132" s="179">
        <f t="shared" si="17"/>
        <v>0</v>
      </c>
      <c r="P132" s="94">
        <f t="shared" si="18"/>
        <v>0</v>
      </c>
      <c r="Q132" s="180">
        <f t="shared" si="19"/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IF(A132&lt;&gt;"Biogas",IFERROR(VLOOKUP(A132,[1]Biogasudbytte!$A$2:$B$18,2,FALSE)*[1]Energiindhold!$C$10,0)*K132*IFERROR(VLOOKUP(A132,Biogasanlæg!$F$3:$G$8,2,FALSE),1)+IFERROR(VLOOKUP(A132,[1]Energiindhold!$A$2:$C$11,3,FALSE),0)*M132+IF(F132&lt;&gt;År1,R132,0),0)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si="20"/>
        <v>0</v>
      </c>
      <c r="V132" s="169">
        <f>P132*IFERROR(VLOOKUP(A132,[1]Tørstofindhold!A$2:B$24,2,FALSE),0)</f>
        <v>0</v>
      </c>
      <c r="W132">
        <f>IF(F132=År1,Q132,SUM(P132,Q132))*IFERROR(VLOOKUP(A132,[1]Tørstofindhold!A$2:B$24,2,FALSE),0)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si="21"/>
        <v>0</v>
      </c>
      <c r="Z132">
        <f t="shared" ref="Z132:Z147" si="29">IF(SUMIFS($O$4:$O$147,$A$4:$A$147,A132,$F$4:$F$147,F132)&lt;0,1,0)</f>
        <v>0</v>
      </c>
      <c r="AA132">
        <f t="shared" ref="AA132:AA147" si="30">IF(SUMIFS($O$4:$O$147,$A$4:$A$147,A132,$F$4:$F$147,F132)&gt;0,1,0)</f>
        <v>0</v>
      </c>
      <c r="AC132" s="94">
        <f t="shared" si="22"/>
        <v>0</v>
      </c>
      <c r="AD132">
        <f>AC132*E132*10000*VLOOKUP(A132,[1]kcal!$A$2:$C$49,3,FALSE)/1000000000000</f>
        <v>0</v>
      </c>
    </row>
    <row r="133" spans="1:30" x14ac:dyDescent="0.25">
      <c r="A133" s="171" t="str">
        <f t="shared" si="26"/>
        <v>Pyrolyseolie</v>
      </c>
      <c r="B133" s="171" t="str">
        <f t="shared" si="27"/>
        <v>Pyrolyseprodukter</v>
      </c>
      <c r="C133" s="171" t="str">
        <f>IFERROR(VLOOKUP(A133,'Kategorisering af kcal'!$J$2:$K$18,2,FALSE),"")</f>
        <v/>
      </c>
      <c r="D133" s="171">
        <f>IF(COUNTIFS('Resultater - Danmark'!$D$3:$D$504,'Produktion &amp; forbrug'!A133,'Resultater - Danmark'!$A$3:$A$504,"Til energi")+COUNTIFS('Resultater - Danmark'!$D$3:$D$504,'Produktion &amp; forbrug'!A133,'Resultater - Danmark'!$A$3:$A$504,"Biogasanlæg")&gt;0,1,0)</f>
        <v>1</v>
      </c>
      <c r="E133" s="171">
        <f t="shared" si="28"/>
        <v>0</v>
      </c>
      <c r="F133" s="171">
        <f t="shared" si="23"/>
        <v>2050</v>
      </c>
      <c r="G133" s="94">
        <f>SUMIFS('Resultat-Produktion &amp; forbrug'!G$4:G$291,'Resultat-Produktion &amp; forbrug'!$A$4:$A$291,'Produktion &amp; forbrug'!$A133,'Resultat-Produktion &amp; forbrug'!$E$4:$E$291,'Produktion &amp; forbrug'!$F133)</f>
        <v>0</v>
      </c>
      <c r="H133" s="94">
        <f>SUMIFS('Resultat-Produktion &amp; forbrug'!H$4:H$291,'Resultat-Produktion &amp; forbrug'!$A$4:$A$291,'Produktion &amp; forbrug'!$A133,'Resultat-Produktion &amp; forbrug'!$E$4:$E$291,'Produktion &amp; forbrug'!$F133)</f>
        <v>0</v>
      </c>
      <c r="I133" s="94">
        <f>SUMIFS('Resultat-Produktion &amp; forbrug'!I$4:I$291,'Resultat-Produktion &amp; forbrug'!$A$4:$A$291,'Produktion &amp; forbrug'!$A133,'Resultat-Produktion &amp; forbrug'!$E$4:$E$291,'Produktion &amp; forbrug'!$F133)</f>
        <v>0</v>
      </c>
      <c r="J133" s="94">
        <f>SUMIFS('Resultat-Produktion &amp; forbrug'!J$4:J$291,'Resultat-Produktion &amp; forbrug'!$A$4:$A$291,'Produktion &amp; forbrug'!$A133,'Resultat-Produktion &amp; forbrug'!$E$4:$E$291,'Produktion &amp; forbrug'!$F133)</f>
        <v>0</v>
      </c>
      <c r="K133" s="94">
        <f>SUMIFS('Resultat-Produktion &amp; forbrug'!K$4:K$291,'Resultat-Produktion &amp; forbrug'!$A$4:$A$291,'Produktion &amp; forbrug'!$A133,'Resultat-Produktion &amp; forbrug'!$E$4:$E$291,'Produktion &amp; forbrug'!$F133)</f>
        <v>0</v>
      </c>
      <c r="L133" s="94">
        <f>SUMIFS('Resultat-Produktion &amp; forbrug'!L$4:L$291,'Resultat-Produktion &amp; forbrug'!$A$4:$A$291,'Produktion &amp; forbrug'!$A133,'Resultat-Produktion &amp; forbrug'!$E$4:$E$291,'Produktion &amp; forbrug'!$F133)</f>
        <v>0</v>
      </c>
      <c r="M133" s="94">
        <f>SUMIFS('Resultat-Produktion &amp; forbrug'!M$4:M$291,'Resultat-Produktion &amp; forbrug'!$A$4:$A$291,'Produktion &amp; forbrug'!$A133,'Resultat-Produktion &amp; forbrug'!$E$4:$E$291,'Produktion &amp; forbrug'!$F133)</f>
        <v>0</v>
      </c>
      <c r="N133" s="94">
        <f>SUMIFS('Resultat-Produktion &amp; forbrug'!N$4:N$291,'Resultat-Produktion &amp; forbrug'!$A$4:$A$291,'Produktion &amp; forbrug'!$A133,'Resultat-Produktion &amp; forbrug'!$E$4:$E$291,'Produktion &amp; forbrug'!$F133)</f>
        <v>0</v>
      </c>
      <c r="O133" s="179">
        <f t="shared" si="17"/>
        <v>0</v>
      </c>
      <c r="P133" s="94">
        <f t="shared" ref="P133:P147" si="31">IF(D133=1,MAX(O133,0),0)</f>
        <v>0</v>
      </c>
      <c r="Q133" s="180">
        <f t="shared" si="19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IF(A133&lt;&gt;"Biogas",IFERROR(VLOOKUP(A133,[1]Biogasudbytte!$A$2:$B$18,2,FALSE)*[1]Energiindhold!$C$10,0)*K133*IFERROR(VLOOKUP(A133,Biogasanlæg!$F$3:$G$8,2,FALSE),1)+IFERROR(VLOOKUP(A133,[1]Energiindhold!$A$2:$C$11,3,FALSE),0)*M133+IF(F133&lt;&gt;År1,R133,0),0)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20"/>
        <v>0</v>
      </c>
      <c r="V133" s="169">
        <f>P133*IFERROR(VLOOKUP(A133,[1]Tørstofindhold!A$2:B$24,2,FALSE),0)</f>
        <v>0</v>
      </c>
      <c r="W133">
        <f>IF(F133=År1,Q133,SUM(P133,Q133))*IFERROR(VLOOKUP(A133,[1]Tørstofindhold!A$2:B$24,2,FALSE),0)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si="21"/>
        <v>0</v>
      </c>
      <c r="Z133">
        <f t="shared" si="29"/>
        <v>0</v>
      </c>
      <c r="AA133">
        <f t="shared" si="30"/>
        <v>0</v>
      </c>
      <c r="AC133" s="94">
        <f t="shared" ref="AC133:AC147" si="32">G133-SUMPRODUCT($H$2:$N$2,H133:N133)</f>
        <v>0</v>
      </c>
      <c r="AD133">
        <f>AC133*E133*10000*VLOOKUP(A133,[1]kcal!$A$2:$C$49,3,FALSE)/1000000000000</f>
        <v>0</v>
      </c>
    </row>
    <row r="134" spans="1:30" x14ac:dyDescent="0.25">
      <c r="A134" s="171" t="str">
        <f t="shared" si="26"/>
        <v>Råmælk</v>
      </c>
      <c r="B134" s="171" t="str">
        <f t="shared" si="27"/>
        <v/>
      </c>
      <c r="C134" s="171" t="str">
        <f>IFERROR(VLOOKUP(A134,'Kategorisering af kcal'!$J$2:$K$18,2,FALSE),"")</f>
        <v/>
      </c>
      <c r="D134" s="171">
        <f>IF(COUNTIFS('Resultater - Danmark'!$D$3:$D$504,'Produktion &amp; forbrug'!A134,'Resultater - Danmark'!$A$3:$A$504,"Til energi")+COUNTIFS('Resultater - Danmark'!$D$3:$D$504,'Produktion &amp; forbrug'!A134,'Resultater - Danmark'!$A$3:$A$504,"Biogasanlæg")&gt;0,1,0)</f>
        <v>0</v>
      </c>
      <c r="E134" s="171">
        <f t="shared" si="28"/>
        <v>0</v>
      </c>
      <c r="F134" s="171">
        <f t="shared" si="23"/>
        <v>2050</v>
      </c>
      <c r="G134" s="94">
        <f>SUMIFS('Resultat-Produktion &amp; forbrug'!G$4:G$291,'Resultat-Produktion &amp; forbrug'!$A$4:$A$291,'Produktion &amp; forbrug'!$A134,'Resultat-Produktion &amp; forbrug'!$E$4:$E$291,'Produktion &amp; forbrug'!$F134)</f>
        <v>321091.18690605665</v>
      </c>
      <c r="H134" s="94">
        <f>SUMIFS('Resultat-Produktion &amp; forbrug'!H$4:H$291,'Resultat-Produktion &amp; forbrug'!$A$4:$A$291,'Produktion &amp; forbrug'!$A134,'Resultat-Produktion &amp; forbrug'!$E$4:$E$291,'Produktion &amp; forbrug'!$F134)</f>
        <v>0</v>
      </c>
      <c r="I134" s="94">
        <f>SUMIFS('Resultat-Produktion &amp; forbrug'!I$4:I$291,'Resultat-Produktion &amp; forbrug'!$A$4:$A$291,'Produktion &amp; forbrug'!$A134,'Resultat-Produktion &amp; forbrug'!$E$4:$E$291,'Produktion &amp; forbrug'!$F134)</f>
        <v>0</v>
      </c>
      <c r="J134" s="94">
        <f>SUMIFS('Resultat-Produktion &amp; forbrug'!J$4:J$291,'Resultat-Produktion &amp; forbrug'!$A$4:$A$291,'Produktion &amp; forbrug'!$A134,'Resultat-Produktion &amp; forbrug'!$E$4:$E$291,'Produktion &amp; forbrug'!$F134)</f>
        <v>0</v>
      </c>
      <c r="K134" s="94">
        <f>SUMIFS('Resultat-Produktion &amp; forbrug'!K$4:K$291,'Resultat-Produktion &amp; forbrug'!$A$4:$A$291,'Produktion &amp; forbrug'!$A134,'Resultat-Produktion &amp; forbrug'!$E$4:$E$291,'Produktion &amp; forbrug'!$F134)</f>
        <v>0</v>
      </c>
      <c r="L134" s="94">
        <f>SUMIFS('Resultat-Produktion &amp; forbrug'!L$4:L$291,'Resultat-Produktion &amp; forbrug'!$A$4:$A$291,'Produktion &amp; forbrug'!$A134,'Resultat-Produktion &amp; forbrug'!$E$4:$E$291,'Produktion &amp; forbrug'!$F134)</f>
        <v>0</v>
      </c>
      <c r="M134" s="94">
        <f>SUMIFS('Resultat-Produktion &amp; forbrug'!M$4:M$291,'Resultat-Produktion &amp; forbrug'!$A$4:$A$291,'Produktion &amp; forbrug'!$A134,'Resultat-Produktion &amp; forbrug'!$E$4:$E$291,'Produktion &amp; forbrug'!$F134)</f>
        <v>0</v>
      </c>
      <c r="N134" s="94">
        <f>SUMIFS('Resultat-Produktion &amp; forbrug'!N$4:N$291,'Resultat-Produktion &amp; forbrug'!$A$4:$A$291,'Produktion &amp; forbrug'!$A134,'Resultat-Produktion &amp; forbrug'!$E$4:$E$291,'Produktion &amp; forbrug'!$F134)</f>
        <v>0</v>
      </c>
      <c r="O134" s="179">
        <f t="shared" si="17"/>
        <v>321091.18690605665</v>
      </c>
      <c r="P134" s="94">
        <f t="shared" si="31"/>
        <v>0</v>
      </c>
      <c r="Q134" s="180">
        <f t="shared" si="19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IF(A134&lt;&gt;"Biogas",IFERROR(VLOOKUP(A134,[1]Biogasudbytte!$A$2:$B$18,2,FALSE)*[1]Energiindhold!$C$10,0)*K134*IFERROR(VLOOKUP(A134,Biogasanlæg!$F$3:$G$8,2,FALSE),1)+IFERROR(VLOOKUP(A134,[1]Energiindhold!$A$2:$C$11,3,FALSE),0)*M134+IF(F134&lt;&gt;År1,R134,0),0)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0"/>
        <v>0</v>
      </c>
      <c r="V134" s="169">
        <f>P134*IFERROR(VLOOKUP(A134,[1]Tørstofindhold!A$2:B$24,2,FALSE),0)</f>
        <v>0</v>
      </c>
      <c r="W134">
        <f>IF(F134=År1,Q134,SUM(P134,Q134))*IFERROR(VLOOKUP(A134,[1]Tørstofindhold!A$2:B$24,2,FALSE),0)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1"/>
        <v>0</v>
      </c>
      <c r="Z134">
        <f t="shared" si="29"/>
        <v>0</v>
      </c>
      <c r="AA134">
        <f t="shared" si="30"/>
        <v>1</v>
      </c>
      <c r="AC134" s="94">
        <f t="shared" si="32"/>
        <v>321091.18690605665</v>
      </c>
      <c r="AD134">
        <f>AC134*E134*10000*VLOOKUP(A134,[1]kcal!$A$2:$C$49,3,FALSE)/1000000000000</f>
        <v>0</v>
      </c>
    </row>
    <row r="135" spans="1:30" x14ac:dyDescent="0.25">
      <c r="A135" s="171" t="str">
        <f t="shared" si="26"/>
        <v>Raps</v>
      </c>
      <c r="B135" s="171" t="str">
        <f t="shared" si="27"/>
        <v/>
      </c>
      <c r="C135" s="171" t="str">
        <f>IFERROR(VLOOKUP(A135,'Kategorisering af kcal'!$J$2:$K$18,2,FALSE),"")</f>
        <v/>
      </c>
      <c r="D135" s="171">
        <f>IF(COUNTIFS('Resultater - Danmark'!$D$3:$D$504,'Produktion &amp; forbrug'!A135,'Resultater - Danmark'!$A$3:$A$504,"Til energi")+COUNTIFS('Resultater - Danmark'!$D$3:$D$504,'Produktion &amp; forbrug'!A135,'Resultater - Danmark'!$A$3:$A$504,"Biogasanlæg")&gt;0,1,0)</f>
        <v>0</v>
      </c>
      <c r="E135" s="171">
        <f t="shared" si="28"/>
        <v>0</v>
      </c>
      <c r="F135" s="171">
        <f t="shared" si="23"/>
        <v>2050</v>
      </c>
      <c r="G135" s="94">
        <f>SUMIFS('Resultat-Produktion &amp; forbrug'!G$4:G$291,'Resultat-Produktion &amp; forbrug'!$A$4:$A$291,'Produktion &amp; forbrug'!$A135,'Resultat-Produktion &amp; forbrug'!$E$4:$E$291,'Produktion &amp; forbrug'!$F135)</f>
        <v>1308440.3262549867</v>
      </c>
      <c r="H135" s="94">
        <f>SUMIFS('Resultat-Produktion &amp; forbrug'!H$4:H$291,'Resultat-Produktion &amp; forbrug'!$A$4:$A$291,'Produktion &amp; forbrug'!$A135,'Resultat-Produktion &amp; forbrug'!$E$4:$E$291,'Produktion &amp; forbrug'!$F135)</f>
        <v>0</v>
      </c>
      <c r="I135" s="94">
        <f>SUMIFS('Resultat-Produktion &amp; forbrug'!I$4:I$291,'Resultat-Produktion &amp; forbrug'!$A$4:$A$291,'Produktion &amp; forbrug'!$A135,'Resultat-Produktion &amp; forbrug'!$E$4:$E$291,'Produktion &amp; forbrug'!$F135)</f>
        <v>0</v>
      </c>
      <c r="J135" s="94">
        <f>SUMIFS('Resultat-Produktion &amp; forbrug'!J$4:J$291,'Resultat-Produktion &amp; forbrug'!$A$4:$A$291,'Produktion &amp; forbrug'!$A135,'Resultat-Produktion &amp; forbrug'!$E$4:$E$291,'Produktion &amp; forbrug'!$F135)</f>
        <v>0</v>
      </c>
      <c r="K135" s="94">
        <f>SUMIFS('Resultat-Produktion &amp; forbrug'!K$4:K$291,'Resultat-Produktion &amp; forbrug'!$A$4:$A$291,'Produktion &amp; forbrug'!$A135,'Resultat-Produktion &amp; forbrug'!$E$4:$E$291,'Produktion &amp; forbrug'!$F135)</f>
        <v>0</v>
      </c>
      <c r="L135" s="94">
        <f>SUMIFS('Resultat-Produktion &amp; forbrug'!L$4:L$291,'Resultat-Produktion &amp; forbrug'!$A$4:$A$291,'Produktion &amp; forbrug'!$A135,'Resultat-Produktion &amp; forbrug'!$E$4:$E$291,'Produktion &amp; forbrug'!$F135)</f>
        <v>0</v>
      </c>
      <c r="M135" s="94">
        <f>SUMIFS('Resultat-Produktion &amp; forbrug'!M$4:M$291,'Resultat-Produktion &amp; forbrug'!$A$4:$A$291,'Produktion &amp; forbrug'!$A135,'Resultat-Produktion &amp; forbrug'!$E$4:$E$291,'Produktion &amp; forbrug'!$F135)</f>
        <v>0</v>
      </c>
      <c r="N135" s="94">
        <f>SUMIFS('Resultat-Produktion &amp; forbrug'!N$4:N$291,'Resultat-Produktion &amp; forbrug'!$A$4:$A$291,'Produktion &amp; forbrug'!$A135,'Resultat-Produktion &amp; forbrug'!$E$4:$E$291,'Produktion &amp; forbrug'!$F135)</f>
        <v>1308440.3262549867</v>
      </c>
      <c r="O135" s="179">
        <f t="shared" ref="O135:O147" si="33">G135-SUM(H135:N135)</f>
        <v>0</v>
      </c>
      <c r="P135" s="94">
        <f t="shared" si="31"/>
        <v>0</v>
      </c>
      <c r="Q135" s="180">
        <f t="shared" ref="Q135:Q147" si="34">SUM(K135,M135)</f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IF(A135&lt;&gt;"Biogas",IFERROR(VLOOKUP(A135,[1]Biogasudbytte!$A$2:$B$18,2,FALSE)*[1]Energiindhold!$C$10,0)*K135*IFERROR(VLOOKUP(A135,Biogasanlæg!$F$3:$G$8,2,FALSE),1)+IFERROR(VLOOKUP(A135,[1]Energiindhold!$A$2:$C$11,3,FALSE),0)*M135+IF(F135&lt;&gt;År1,R135,0),0)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ref="U135:U147" si="35">S135-T135</f>
        <v>0</v>
      </c>
      <c r="V135" s="169">
        <f>P135*IFERROR(VLOOKUP(A135,[1]Tørstofindhold!A$2:B$24,2,FALSE),0)</f>
        <v>0</v>
      </c>
      <c r="W135">
        <f>IF(F135=År1,Q135,SUM(P135,Q135))*IFERROR(VLOOKUP(A135,[1]Tørstofindhold!A$2:B$24,2,FALSE),0)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ref="Y135:Y147" si="36">W135-X135</f>
        <v>0</v>
      </c>
      <c r="Z135">
        <f t="shared" si="29"/>
        <v>0</v>
      </c>
      <c r="AA135">
        <f t="shared" si="30"/>
        <v>0</v>
      </c>
      <c r="AC135" s="94">
        <f t="shared" si="32"/>
        <v>1308440.3262549867</v>
      </c>
      <c r="AD135">
        <f>AC135*E135*10000*VLOOKUP(A135,[1]kcal!$A$2:$C$49,3,FALSE)/1000000000000</f>
        <v>0</v>
      </c>
    </row>
    <row r="136" spans="1:30" x14ac:dyDescent="0.25">
      <c r="A136" s="171" t="str">
        <f t="shared" si="26"/>
        <v>Rapskage</v>
      </c>
      <c r="B136" s="171" t="str">
        <f t="shared" si="27"/>
        <v/>
      </c>
      <c r="C136" s="171" t="str">
        <f>IFERROR(VLOOKUP(A136,'Kategorisering af kcal'!$J$2:$K$18,2,FALSE),"")</f>
        <v/>
      </c>
      <c r="D136" s="171">
        <f>IF(COUNTIFS('Resultater - Danmark'!$D$3:$D$504,'Produktion &amp; forbrug'!A136,'Resultater - Danmark'!$A$3:$A$504,"Til energi")+COUNTIFS('Resultater - Danmark'!$D$3:$D$504,'Produktion &amp; forbrug'!A136,'Resultater - Danmark'!$A$3:$A$504,"Biogasanlæg")&gt;0,1,0)</f>
        <v>0</v>
      </c>
      <c r="E136" s="171">
        <f t="shared" si="28"/>
        <v>0</v>
      </c>
      <c r="F136" s="171">
        <f t="shared" si="23"/>
        <v>2050</v>
      </c>
      <c r="G136" s="94">
        <f>SUMIFS('Resultat-Produktion &amp; forbrug'!G$4:G$291,'Resultat-Produktion &amp; forbrug'!$A$4:$A$291,'Produktion &amp; forbrug'!$A136,'Resultat-Produktion &amp; forbrug'!$E$4:$E$291,'Produktion &amp; forbrug'!$F136)</f>
        <v>654220.16312749335</v>
      </c>
      <c r="H136" s="94">
        <f>SUMIFS('Resultat-Produktion &amp; forbrug'!H$4:H$291,'Resultat-Produktion &amp; forbrug'!$A$4:$A$291,'Produktion &amp; forbrug'!$A136,'Resultat-Produktion &amp; forbrug'!$E$4:$E$291,'Produktion &amp; forbrug'!$F136)</f>
        <v>20495.91336240384</v>
      </c>
      <c r="I136" s="94">
        <f>SUMIFS('Resultat-Produktion &amp; forbrug'!I$4:I$291,'Resultat-Produktion &amp; forbrug'!$A$4:$A$291,'Produktion &amp; forbrug'!$A136,'Resultat-Produktion &amp; forbrug'!$E$4:$E$291,'Produktion &amp; forbrug'!$F136)</f>
        <v>0</v>
      </c>
      <c r="J136" s="94">
        <f>SUMIFS('Resultat-Produktion &amp; forbrug'!J$4:J$291,'Resultat-Produktion &amp; forbrug'!$A$4:$A$291,'Produktion &amp; forbrug'!$A136,'Resultat-Produktion &amp; forbrug'!$E$4:$E$291,'Produktion &amp; forbrug'!$F136)</f>
        <v>0</v>
      </c>
      <c r="K136" s="94">
        <f>SUMIFS('Resultat-Produktion &amp; forbrug'!K$4:K$291,'Resultat-Produktion &amp; forbrug'!$A$4:$A$291,'Produktion &amp; forbrug'!$A136,'Resultat-Produktion &amp; forbrug'!$E$4:$E$291,'Produktion &amp; forbrug'!$F136)</f>
        <v>0</v>
      </c>
      <c r="L136" s="94">
        <f>SUMIFS('Resultat-Produktion &amp; forbrug'!L$4:L$291,'Resultat-Produktion &amp; forbrug'!$A$4:$A$291,'Produktion &amp; forbrug'!$A136,'Resultat-Produktion &amp; forbrug'!$E$4:$E$291,'Produktion &amp; forbrug'!$F136)</f>
        <v>0</v>
      </c>
      <c r="M136" s="94">
        <f>SUMIFS('Resultat-Produktion &amp; forbrug'!M$4:M$291,'Resultat-Produktion &amp; forbrug'!$A$4:$A$291,'Produktion &amp; forbrug'!$A136,'Resultat-Produktion &amp; forbrug'!$E$4:$E$291,'Produktion &amp; forbrug'!$F136)</f>
        <v>0</v>
      </c>
      <c r="N136" s="94">
        <f>SUMIFS('Resultat-Produktion &amp; forbrug'!N$4:N$291,'Resultat-Produktion &amp; forbrug'!$A$4:$A$291,'Produktion &amp; forbrug'!$A136,'Resultat-Produktion &amp; forbrug'!$E$4:$E$291,'Produktion &amp; forbrug'!$F136)</f>
        <v>0</v>
      </c>
      <c r="O136" s="179">
        <f t="shared" si="33"/>
        <v>633724.24976508948</v>
      </c>
      <c r="P136" s="94">
        <f t="shared" si="31"/>
        <v>0</v>
      </c>
      <c r="Q136" s="180">
        <f t="shared" si="34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IF(A136&lt;&gt;"Biogas",IFERROR(VLOOKUP(A136,[1]Biogasudbytte!$A$2:$B$18,2,FALSE)*[1]Energiindhold!$C$10,0)*K136*IFERROR(VLOOKUP(A136,Biogasanlæg!$F$3:$G$8,2,FALSE),1)+IFERROR(VLOOKUP(A136,[1]Energiindhold!$A$2:$C$11,3,FALSE),0)*M136+IF(F136&lt;&gt;År1,R136,0),0)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35"/>
        <v>0</v>
      </c>
      <c r="V136" s="169">
        <f>P136*IFERROR(VLOOKUP(A136,[1]Tørstofindhold!A$2:B$24,2,FALSE),0)</f>
        <v>0</v>
      </c>
      <c r="W136">
        <f>IF(F136=År1,Q136,SUM(P136,Q136))*IFERROR(VLOOKUP(A136,[1]Tørstofindhold!A$2:B$24,2,FALSE),0)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36"/>
        <v>0</v>
      </c>
      <c r="Z136">
        <f t="shared" si="29"/>
        <v>0</v>
      </c>
      <c r="AA136">
        <f t="shared" si="30"/>
        <v>1</v>
      </c>
      <c r="AC136" s="94">
        <f t="shared" si="32"/>
        <v>633724.24976508948</v>
      </c>
      <c r="AD136">
        <f>AC136*E136*10000*VLOOKUP(A136,[1]kcal!$A$2:$C$49,3,FALSE)/1000000000000</f>
        <v>0</v>
      </c>
    </row>
    <row r="137" spans="1:30" x14ac:dyDescent="0.25">
      <c r="A137" s="171" t="str">
        <f t="shared" si="26"/>
        <v>Rapsolie</v>
      </c>
      <c r="B137" s="171" t="str">
        <f t="shared" si="27"/>
        <v>Rapsolie</v>
      </c>
      <c r="C137" s="171" t="str">
        <f>IFERROR(VLOOKUP(A137,'Kategorisering af kcal'!$J$2:$K$18,2,FALSE),"")</f>
        <v>Olieafgrøder</v>
      </c>
      <c r="D137" s="171">
        <f>IF(COUNTIFS('Resultater - Danmark'!$D$3:$D$504,'Produktion &amp; forbrug'!A137,'Resultater - Danmark'!$A$3:$A$504,"Til energi")+COUNTIFS('Resultater - Danmark'!$D$3:$D$504,'Produktion &amp; forbrug'!A137,'Resultater - Danmark'!$A$3:$A$504,"Biogasanlæg")&gt;0,1,0)</f>
        <v>1</v>
      </c>
      <c r="E137" s="171">
        <f t="shared" si="28"/>
        <v>1</v>
      </c>
      <c r="F137" s="171">
        <f t="shared" si="23"/>
        <v>2050</v>
      </c>
      <c r="G137" s="94">
        <f>SUMIFS('Resultat-Produktion &amp; forbrug'!G$4:G$291,'Resultat-Produktion &amp; forbrug'!$A$4:$A$291,'Produktion &amp; forbrug'!$A137,'Resultat-Produktion &amp; forbrug'!$E$4:$E$291,'Produktion &amp; forbrug'!$F137)</f>
        <v>418700.9044015957</v>
      </c>
      <c r="H137" s="94">
        <f>SUMIFS('Resultat-Produktion &amp; forbrug'!H$4:H$291,'Resultat-Produktion &amp; forbrug'!$A$4:$A$291,'Produktion &amp; forbrug'!$A137,'Resultat-Produktion &amp; forbrug'!$E$4:$E$291,'Produktion &amp; forbrug'!$F137)</f>
        <v>0</v>
      </c>
      <c r="I137" s="94">
        <f>SUMIFS('Resultat-Produktion &amp; forbrug'!I$4:I$291,'Resultat-Produktion &amp; forbrug'!$A$4:$A$291,'Produktion &amp; forbrug'!$A137,'Resultat-Produktion &amp; forbrug'!$E$4:$E$291,'Produktion &amp; forbrug'!$F137)</f>
        <v>0</v>
      </c>
      <c r="J137" s="94">
        <f>SUMIFS('Resultat-Produktion &amp; forbrug'!J$4:J$291,'Resultat-Produktion &amp; forbrug'!$A$4:$A$291,'Produktion &amp; forbrug'!$A137,'Resultat-Produktion &amp; forbrug'!$E$4:$E$291,'Produktion &amp; forbrug'!$F137)</f>
        <v>0</v>
      </c>
      <c r="K137" s="94">
        <f>SUMIFS('Resultat-Produktion &amp; forbrug'!K$4:K$291,'Resultat-Produktion &amp; forbrug'!$A$4:$A$291,'Produktion &amp; forbrug'!$A137,'Resultat-Produktion &amp; forbrug'!$E$4:$E$291,'Produktion &amp; forbrug'!$F137)</f>
        <v>0</v>
      </c>
      <c r="L137" s="94">
        <f>SUMIFS('Resultat-Produktion &amp; forbrug'!L$4:L$291,'Resultat-Produktion &amp; forbrug'!$A$4:$A$291,'Produktion &amp; forbrug'!$A137,'Resultat-Produktion &amp; forbrug'!$E$4:$E$291,'Produktion &amp; forbrug'!$F137)</f>
        <v>0</v>
      </c>
      <c r="M137" s="94">
        <f>SUMIFS('Resultat-Produktion &amp; forbrug'!M$4:M$291,'Resultat-Produktion &amp; forbrug'!$A$4:$A$291,'Produktion &amp; forbrug'!$A137,'Resultat-Produktion &amp; forbrug'!$E$4:$E$291,'Produktion &amp; forbrug'!$F137)</f>
        <v>418700.9044015957</v>
      </c>
      <c r="N137" s="94">
        <f>SUMIFS('Resultat-Produktion &amp; forbrug'!N$4:N$291,'Resultat-Produktion &amp; forbrug'!$A$4:$A$291,'Produktion &amp; forbrug'!$A137,'Resultat-Produktion &amp; forbrug'!$E$4:$E$291,'Produktion &amp; forbrug'!$F137)</f>
        <v>0</v>
      </c>
      <c r="O137" s="179">
        <f t="shared" si="33"/>
        <v>0</v>
      </c>
      <c r="P137" s="94">
        <f t="shared" si="31"/>
        <v>0</v>
      </c>
      <c r="Q137" s="180">
        <f t="shared" si="34"/>
        <v>418700.9044015957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IF(A137&lt;&gt;"Biogas",IFERROR(VLOOKUP(A137,[1]Biogasudbytte!$A$2:$B$18,2,FALSE)*[1]Energiindhold!$C$10,0)*K137*IFERROR(VLOOKUP(A137,Biogasanlæg!$F$3:$G$8,2,FALSE),1)+IFERROR(VLOOKUP(A137,[1]Energiindhold!$A$2:$C$11,3,FALSE),0)*M137+IF(F137&lt;&gt;År1,R137,0),0)</f>
        <v>14.654531654055848</v>
      </c>
      <c r="T137">
        <f>IFERROR(VLOOKUP(A137,[1]Biogasudbytte!$A$2:$B$18,2,FALSE)*[1]Energiindhold!$C$10,0)*K137*IFERROR(VLOOKUP(A137,Biogasanlæg!$F$3:$G$8,2,FALSE),1)</f>
        <v>0</v>
      </c>
      <c r="U137" s="170">
        <f t="shared" si="35"/>
        <v>14.654531654055848</v>
      </c>
      <c r="V137" s="169">
        <f>P137*IFERROR(VLOOKUP(A137,[1]Tørstofindhold!A$2:B$24,2,FALSE),0)</f>
        <v>0</v>
      </c>
      <c r="W137">
        <f>IF(F137=År1,Q137,SUM(P137,Q137))*IFERROR(VLOOKUP(A137,[1]Tørstofindhold!A$2:B$24,2,FALSE),0)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36"/>
        <v>0</v>
      </c>
      <c r="Z137">
        <f t="shared" si="29"/>
        <v>0</v>
      </c>
      <c r="AA137">
        <f t="shared" si="30"/>
        <v>0</v>
      </c>
      <c r="AC137" s="94">
        <f t="shared" si="32"/>
        <v>418700.9044015957</v>
      </c>
      <c r="AD137">
        <f>AC137*E137*10000*VLOOKUP(A137,[1]kcal!$A$2:$C$49,3,FALSE)/1000000000000</f>
        <v>3.7683081396143612</v>
      </c>
    </row>
    <row r="138" spans="1:30" x14ac:dyDescent="0.25">
      <c r="A138" s="171" t="str">
        <f t="shared" si="26"/>
        <v>Roer</v>
      </c>
      <c r="B138" s="171" t="str">
        <f t="shared" si="27"/>
        <v>Græs og urter</v>
      </c>
      <c r="C138" s="171" t="str">
        <f>IFERROR(VLOOKUP(A138,'Kategorisering af kcal'!$J$2:$K$18,2,FALSE),"")</f>
        <v>Roer</v>
      </c>
      <c r="D138" s="171">
        <f>IF(COUNTIFS('Resultater - Danmark'!$D$3:$D$504,'Produktion &amp; forbrug'!A138,'Resultater - Danmark'!$A$3:$A$504,"Til energi")+COUNTIFS('Resultater - Danmark'!$D$3:$D$504,'Produktion &amp; forbrug'!A138,'Resultater - Danmark'!$A$3:$A$504,"Biogasanlæg")&gt;0,1,0)</f>
        <v>1</v>
      </c>
      <c r="E138" s="171">
        <f t="shared" si="28"/>
        <v>1</v>
      </c>
      <c r="F138" s="171">
        <f t="shared" si="23"/>
        <v>2050</v>
      </c>
      <c r="G138" s="94">
        <f>SUMIFS('Resultat-Produktion &amp; forbrug'!G$4:G$291,'Resultat-Produktion &amp; forbrug'!$A$4:$A$291,'Produktion &amp; forbrug'!$A138,'Resultat-Produktion &amp; forbrug'!$E$4:$E$291,'Produktion &amp; forbrug'!$F138)</f>
        <v>1479.8398726380365</v>
      </c>
      <c r="H138" s="94">
        <f>SUMIFS('Resultat-Produktion &amp; forbrug'!H$4:H$291,'Resultat-Produktion &amp; forbrug'!$A$4:$A$291,'Produktion &amp; forbrug'!$A138,'Resultat-Produktion &amp; forbrug'!$E$4:$E$291,'Produktion &amp; forbrug'!$F138)</f>
        <v>80525.785135134764</v>
      </c>
      <c r="I138" s="94">
        <f>SUMIFS('Resultat-Produktion &amp; forbrug'!I$4:I$291,'Resultat-Produktion &amp; forbrug'!$A$4:$A$291,'Produktion &amp; forbrug'!$A138,'Resultat-Produktion &amp; forbrug'!$E$4:$E$291,'Produktion &amp; forbrug'!$F138)</f>
        <v>0</v>
      </c>
      <c r="J138" s="94">
        <f>SUMIFS('Resultat-Produktion &amp; forbrug'!J$4:J$291,'Resultat-Produktion &amp; forbrug'!$A$4:$A$291,'Produktion &amp; forbrug'!$A138,'Resultat-Produktion &amp; forbrug'!$E$4:$E$291,'Produktion &amp; forbrug'!$F138)</f>
        <v>0</v>
      </c>
      <c r="K138" s="94">
        <f>SUMIFS('Resultat-Produktion &amp; forbrug'!K$4:K$291,'Resultat-Produktion &amp; forbrug'!$A$4:$A$291,'Produktion &amp; forbrug'!$A138,'Resultat-Produktion &amp; forbrug'!$E$4:$E$291,'Produktion &amp; forbrug'!$F138)</f>
        <v>0</v>
      </c>
      <c r="L138" s="94">
        <f>SUMIFS('Resultat-Produktion &amp; forbrug'!L$4:L$291,'Resultat-Produktion &amp; forbrug'!$A$4:$A$291,'Produktion &amp; forbrug'!$A138,'Resultat-Produktion &amp; forbrug'!$E$4:$E$291,'Produktion &amp; forbrug'!$F138)</f>
        <v>0</v>
      </c>
      <c r="M138" s="94">
        <f>SUMIFS('Resultat-Produktion &amp; forbrug'!M$4:M$291,'Resultat-Produktion &amp; forbrug'!$A$4:$A$291,'Produktion &amp; forbrug'!$A138,'Resultat-Produktion &amp; forbrug'!$E$4:$E$291,'Produktion &amp; forbrug'!$F138)</f>
        <v>0</v>
      </c>
      <c r="N138" s="94">
        <f>SUMIFS('Resultat-Produktion &amp; forbrug'!N$4:N$291,'Resultat-Produktion &amp; forbrug'!$A$4:$A$291,'Produktion &amp; forbrug'!$A138,'Resultat-Produktion &amp; forbrug'!$E$4:$E$291,'Produktion &amp; forbrug'!$F138)</f>
        <v>0</v>
      </c>
      <c r="O138" s="179">
        <f t="shared" si="33"/>
        <v>-79045.945262496723</v>
      </c>
      <c r="P138" s="94">
        <f t="shared" si="31"/>
        <v>0</v>
      </c>
      <c r="Q138" s="180">
        <f t="shared" si="34"/>
        <v>0</v>
      </c>
      <c r="R138">
        <f>IFERROR(VLOOKUP(A138,[1]Energiindhold!$A$2:$C$11,3,FALSE),IFERROR(VLOOKUP(A138,[1]Biogasudbytte!$A$2:$B$18,2,FALSE)*[1]Energiindhold!$C$10,0))*P138</f>
        <v>0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IF(A138&lt;&gt;"Biogas",IFERROR(VLOOKUP(A138,[1]Biogasudbytte!$A$2:$B$18,2,FALSE)*[1]Energiindhold!$C$10,0)*K138*IFERROR(VLOOKUP(A138,Biogasanlæg!$F$3:$G$8,2,FALSE),1)+IFERROR(VLOOKUP(A138,[1]Energiindhold!$A$2:$C$11,3,FALSE),0)*M138+IF(F138&lt;&gt;År1,R138,0),0)</f>
        <v>0</v>
      </c>
      <c r="T138">
        <f>IFERROR(VLOOKUP(A138,[1]Biogasudbytte!$A$2:$B$18,2,FALSE)*[1]Energiindhold!$C$10,0)*K138*IFERROR(VLOOKUP(A138,Biogasanlæg!$F$3:$G$8,2,FALSE),1)</f>
        <v>0</v>
      </c>
      <c r="U138" s="170">
        <f t="shared" si="35"/>
        <v>0</v>
      </c>
      <c r="V138" s="169">
        <f>P138*IFERROR(VLOOKUP(A138,[1]Tørstofindhold!A$2:B$24,2,FALSE),0)</f>
        <v>0</v>
      </c>
      <c r="W138">
        <f>IF(F138=År1,Q138,SUM(P138,Q138))*IFERROR(VLOOKUP(A138,[1]Tørstofindhold!A$2:B$24,2,FALSE),0)</f>
        <v>0</v>
      </c>
      <c r="X138">
        <f>K138*IFERROR(VLOOKUP(A138,[1]Tørstofindhold!A$2:B$24,2,FALSE),0)</f>
        <v>0</v>
      </c>
      <c r="Y138" s="170">
        <f t="shared" si="36"/>
        <v>0</v>
      </c>
      <c r="Z138">
        <f t="shared" si="29"/>
        <v>1</v>
      </c>
      <c r="AA138">
        <f t="shared" si="30"/>
        <v>0</v>
      </c>
      <c r="AC138" s="94">
        <f t="shared" si="32"/>
        <v>-79045.945262496723</v>
      </c>
      <c r="AD138">
        <f>AC138*E138*10000*VLOOKUP(A138,[1]kcal!$A$2:$C$49,3,FALSE)/1000000000000</f>
        <v>-2.3713783578749016E-2</v>
      </c>
    </row>
    <row r="139" spans="1:30" x14ac:dyDescent="0.25">
      <c r="A139" s="171" t="str">
        <f t="shared" si="26"/>
        <v>Slagteriaffald til andet</v>
      </c>
      <c r="B139" s="171" t="str">
        <f t="shared" si="27"/>
        <v/>
      </c>
      <c r="C139" s="171" t="str">
        <f>IFERROR(VLOOKUP(A139,'Kategorisering af kcal'!$J$2:$K$18,2,FALSE),"")</f>
        <v/>
      </c>
      <c r="D139" s="171">
        <f>IF(COUNTIFS('Resultater - Danmark'!$D$3:$D$504,'Produktion &amp; forbrug'!A139,'Resultater - Danmark'!$A$3:$A$504,"Til energi")+COUNTIFS('Resultater - Danmark'!$D$3:$D$504,'Produktion &amp; forbrug'!A139,'Resultater - Danmark'!$A$3:$A$504,"Biogasanlæg")&gt;0,1,0)</f>
        <v>0</v>
      </c>
      <c r="E139" s="171">
        <f t="shared" si="28"/>
        <v>0</v>
      </c>
      <c r="F139" s="171">
        <f t="shared" si="23"/>
        <v>2050</v>
      </c>
      <c r="G139" s="94">
        <f>SUMIFS('Resultat-Produktion &amp; forbrug'!G$4:G$291,'Resultat-Produktion &amp; forbrug'!$A$4:$A$291,'Produktion &amp; forbrug'!$A139,'Resultat-Produktion &amp; forbrug'!$E$4:$E$291,'Produktion &amp; forbrug'!$F139)</f>
        <v>5859.9303124103544</v>
      </c>
      <c r="H139" s="94">
        <f>SUMIFS('Resultat-Produktion &amp; forbrug'!H$4:H$291,'Resultat-Produktion &amp; forbrug'!$A$4:$A$291,'Produktion &amp; forbrug'!$A139,'Resultat-Produktion &amp; forbrug'!$E$4:$E$291,'Produktion &amp; forbrug'!$F139)</f>
        <v>0</v>
      </c>
      <c r="I139" s="94">
        <f>SUMIFS('Resultat-Produktion &amp; forbrug'!I$4:I$291,'Resultat-Produktion &amp; forbrug'!$A$4:$A$291,'Produktion &amp; forbrug'!$A139,'Resultat-Produktion &amp; forbrug'!$E$4:$E$291,'Produktion &amp; forbrug'!$F139)</f>
        <v>0</v>
      </c>
      <c r="J139" s="94">
        <f>SUMIFS('Resultat-Produktion &amp; forbrug'!J$4:J$291,'Resultat-Produktion &amp; forbrug'!$A$4:$A$291,'Produktion &amp; forbrug'!$A139,'Resultat-Produktion &amp; forbrug'!$E$4:$E$291,'Produktion &amp; forbrug'!$F139)</f>
        <v>0</v>
      </c>
      <c r="K139" s="94">
        <f>SUMIFS('Resultat-Produktion &amp; forbrug'!K$4:K$291,'Resultat-Produktion &amp; forbrug'!$A$4:$A$291,'Produktion &amp; forbrug'!$A139,'Resultat-Produktion &amp; forbrug'!$E$4:$E$291,'Produktion &amp; forbrug'!$F139)</f>
        <v>0</v>
      </c>
      <c r="L139" s="94">
        <f>SUMIFS('Resultat-Produktion &amp; forbrug'!L$4:L$291,'Resultat-Produktion &amp; forbrug'!$A$4:$A$291,'Produktion &amp; forbrug'!$A139,'Resultat-Produktion &amp; forbrug'!$E$4:$E$291,'Produktion &amp; forbrug'!$F139)</f>
        <v>0</v>
      </c>
      <c r="M139" s="94">
        <f>SUMIFS('Resultat-Produktion &amp; forbrug'!M$4:M$291,'Resultat-Produktion &amp; forbrug'!$A$4:$A$291,'Produktion &amp; forbrug'!$A139,'Resultat-Produktion &amp; forbrug'!$E$4:$E$291,'Produktion &amp; forbrug'!$F139)</f>
        <v>0</v>
      </c>
      <c r="N139" s="94">
        <f>SUMIFS('Resultat-Produktion &amp; forbrug'!N$4:N$291,'Resultat-Produktion &amp; forbrug'!$A$4:$A$291,'Produktion &amp; forbrug'!$A139,'Resultat-Produktion &amp; forbrug'!$E$4:$E$291,'Produktion &amp; forbrug'!$F139)</f>
        <v>0</v>
      </c>
      <c r="O139" s="179">
        <f t="shared" si="33"/>
        <v>5859.9303124103544</v>
      </c>
      <c r="P139" s="94">
        <f t="shared" si="31"/>
        <v>0</v>
      </c>
      <c r="Q139" s="180">
        <f t="shared" si="34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IF(A139&lt;&gt;"Biogas",IFERROR(VLOOKUP(A139,[1]Biogasudbytte!$A$2:$B$18,2,FALSE)*[1]Energiindhold!$C$10,0)*K139*IFERROR(VLOOKUP(A139,Biogasanlæg!$F$3:$G$8,2,FALSE),1)+IFERROR(VLOOKUP(A139,[1]Energiindhold!$A$2:$C$11,3,FALSE),0)*M139+IF(F139&lt;&gt;År1,R139,0),0)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35"/>
        <v>0</v>
      </c>
      <c r="V139" s="169">
        <f>P139*IFERROR(VLOOKUP(A139,[1]Tørstofindhold!A$2:B$24,2,FALSE),0)</f>
        <v>0</v>
      </c>
      <c r="W139">
        <f>IF(F139=År1,Q139,SUM(P139,Q139))*IFERROR(VLOOKUP(A139,[1]Tørstofindhold!A$2:B$24,2,FALSE),0)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36"/>
        <v>0</v>
      </c>
      <c r="Z139">
        <f t="shared" si="29"/>
        <v>0</v>
      </c>
      <c r="AA139">
        <f t="shared" si="30"/>
        <v>1</v>
      </c>
      <c r="AC139" s="94">
        <f t="shared" si="32"/>
        <v>5859.9303124103544</v>
      </c>
      <c r="AD139">
        <f>AC139*E139*10000*VLOOKUP(A139,[1]kcal!$A$2:$C$49,3,FALSE)/1000000000000</f>
        <v>0</v>
      </c>
    </row>
    <row r="140" spans="1:30" x14ac:dyDescent="0.25">
      <c r="A140" s="171" t="str">
        <f t="shared" si="26"/>
        <v>Slagteriaffald til foder</v>
      </c>
      <c r="B140" s="171" t="str">
        <f t="shared" si="27"/>
        <v/>
      </c>
      <c r="C140" s="171" t="str">
        <f>IFERROR(VLOOKUP(A140,'Kategorisering af kcal'!$J$2:$K$18,2,FALSE),"")</f>
        <v/>
      </c>
      <c r="D140" s="171">
        <f>IF(COUNTIFS('Resultater - Danmark'!$D$3:$D$504,'Produktion &amp; forbrug'!A140,'Resultater - Danmark'!$A$3:$A$504,"Til energi")+COUNTIFS('Resultater - Danmark'!$D$3:$D$504,'Produktion &amp; forbrug'!A140,'Resultater - Danmark'!$A$3:$A$504,"Biogasanlæg")&gt;0,1,0)</f>
        <v>0</v>
      </c>
      <c r="E140" s="171">
        <f t="shared" si="28"/>
        <v>0</v>
      </c>
      <c r="F140" s="171">
        <f t="shared" si="23"/>
        <v>2050</v>
      </c>
      <c r="G140" s="94">
        <f>SUMIFS('Resultat-Produktion &amp; forbrug'!G$4:G$291,'Resultat-Produktion &amp; forbrug'!$A$4:$A$291,'Produktion &amp; forbrug'!$A140,'Resultat-Produktion &amp; forbrug'!$E$4:$E$291,'Produktion &amp; forbrug'!$F140)</f>
        <v>3600.9792095180228</v>
      </c>
      <c r="H140" s="94">
        <f>SUMIFS('Resultat-Produktion &amp; forbrug'!H$4:H$291,'Resultat-Produktion &amp; forbrug'!$A$4:$A$291,'Produktion &amp; forbrug'!$A140,'Resultat-Produktion &amp; forbrug'!$E$4:$E$291,'Produktion &amp; forbrug'!$F140)</f>
        <v>3773.3062257145148</v>
      </c>
      <c r="I140" s="94">
        <f>SUMIFS('Resultat-Produktion &amp; forbrug'!I$4:I$291,'Resultat-Produktion &amp; forbrug'!$A$4:$A$291,'Produktion &amp; forbrug'!$A140,'Resultat-Produktion &amp; forbrug'!$E$4:$E$291,'Produktion &amp; forbrug'!$F140)</f>
        <v>0</v>
      </c>
      <c r="J140" s="94">
        <f>SUMIFS('Resultat-Produktion &amp; forbrug'!J$4:J$291,'Resultat-Produktion &amp; forbrug'!$A$4:$A$291,'Produktion &amp; forbrug'!$A140,'Resultat-Produktion &amp; forbrug'!$E$4:$E$291,'Produktion &amp; forbrug'!$F140)</f>
        <v>0</v>
      </c>
      <c r="K140" s="94">
        <f>SUMIFS('Resultat-Produktion &amp; forbrug'!K$4:K$291,'Resultat-Produktion &amp; forbrug'!$A$4:$A$291,'Produktion &amp; forbrug'!$A140,'Resultat-Produktion &amp; forbrug'!$E$4:$E$291,'Produktion &amp; forbrug'!$F140)</f>
        <v>0</v>
      </c>
      <c r="L140" s="94">
        <f>SUMIFS('Resultat-Produktion &amp; forbrug'!L$4:L$291,'Resultat-Produktion &amp; forbrug'!$A$4:$A$291,'Produktion &amp; forbrug'!$A140,'Resultat-Produktion &amp; forbrug'!$E$4:$E$291,'Produktion &amp; forbrug'!$F140)</f>
        <v>0</v>
      </c>
      <c r="M140" s="94">
        <f>SUMIFS('Resultat-Produktion &amp; forbrug'!M$4:M$291,'Resultat-Produktion &amp; forbrug'!$A$4:$A$291,'Produktion &amp; forbrug'!$A140,'Resultat-Produktion &amp; forbrug'!$E$4:$E$291,'Produktion &amp; forbrug'!$F140)</f>
        <v>0</v>
      </c>
      <c r="N140" s="94">
        <f>SUMIFS('Resultat-Produktion &amp; forbrug'!N$4:N$291,'Resultat-Produktion &amp; forbrug'!$A$4:$A$291,'Produktion &amp; forbrug'!$A140,'Resultat-Produktion &amp; forbrug'!$E$4:$E$291,'Produktion &amp; forbrug'!$F140)</f>
        <v>0</v>
      </c>
      <c r="O140" s="179">
        <f t="shared" si="33"/>
        <v>-172.32701619649197</v>
      </c>
      <c r="P140" s="94">
        <f t="shared" si="31"/>
        <v>0</v>
      </c>
      <c r="Q140" s="180">
        <f t="shared" si="34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IF(A140&lt;&gt;"Biogas",IFERROR(VLOOKUP(A140,[1]Biogasudbytte!$A$2:$B$18,2,FALSE)*[1]Energiindhold!$C$10,0)*K140*IFERROR(VLOOKUP(A140,Biogasanlæg!$F$3:$G$8,2,FALSE),1)+IFERROR(VLOOKUP(A140,[1]Energiindhold!$A$2:$C$11,3,FALSE),0)*M140+IF(F140&lt;&gt;År1,R140,0),0)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35"/>
        <v>0</v>
      </c>
      <c r="V140" s="169">
        <f>P140*IFERROR(VLOOKUP(A140,[1]Tørstofindhold!A$2:B$24,2,FALSE),0)</f>
        <v>0</v>
      </c>
      <c r="W140">
        <f>IF(F140=År1,Q140,SUM(P140,Q140))*IFERROR(VLOOKUP(A140,[1]Tørstofindhold!A$2:B$24,2,FALSE),0)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36"/>
        <v>0</v>
      </c>
      <c r="Z140">
        <f t="shared" si="29"/>
        <v>1</v>
      </c>
      <c r="AA140">
        <f t="shared" si="30"/>
        <v>0</v>
      </c>
      <c r="AC140" s="94">
        <f t="shared" si="32"/>
        <v>-172.32701619649197</v>
      </c>
      <c r="AD140">
        <f>AC140*E140*10000*VLOOKUP(A140,[1]kcal!$A$2:$C$49,3,FALSE)/1000000000000</f>
        <v>0</v>
      </c>
    </row>
    <row r="141" spans="1:30" x14ac:dyDescent="0.25">
      <c r="A141" s="171" t="str">
        <f t="shared" si="26"/>
        <v>Spildevandsslam</v>
      </c>
      <c r="B141" s="171" t="str">
        <f t="shared" si="27"/>
        <v>Bionedbrydeligt affald</v>
      </c>
      <c r="C141" s="171" t="str">
        <f>IFERROR(VLOOKUP(A141,'Kategorisering af kcal'!$J$2:$K$18,2,FALSE),"")</f>
        <v/>
      </c>
      <c r="D141" s="171">
        <f>IF(COUNTIFS('Resultater - Danmark'!$D$3:$D$504,'Produktion &amp; forbrug'!A141,'Resultater - Danmark'!$A$3:$A$504,"Til energi")+COUNTIFS('Resultater - Danmark'!$D$3:$D$504,'Produktion &amp; forbrug'!A141,'Resultater - Danmark'!$A$3:$A$504,"Biogasanlæg")&gt;0,1,0)</f>
        <v>1</v>
      </c>
      <c r="E141" s="171">
        <f t="shared" si="28"/>
        <v>0</v>
      </c>
      <c r="F141" s="171">
        <f t="shared" si="23"/>
        <v>2050</v>
      </c>
      <c r="G141" s="94">
        <f>SUMIFS('Resultat-Produktion &amp; forbrug'!G$4:G$291,'Resultat-Produktion &amp; forbrug'!$A$4:$A$291,'Produktion &amp; forbrug'!$A141,'Resultat-Produktion &amp; forbrug'!$E$4:$E$291,'Produktion &amp; forbrug'!$F141)</f>
        <v>7502149.0435823034</v>
      </c>
      <c r="H141" s="94">
        <f>SUMIFS('Resultat-Produktion &amp; forbrug'!H$4:H$291,'Resultat-Produktion &amp; forbrug'!$A$4:$A$291,'Produktion &amp; forbrug'!$A141,'Resultat-Produktion &amp; forbrug'!$E$4:$E$291,'Produktion &amp; forbrug'!$F141)</f>
        <v>0</v>
      </c>
      <c r="I141" s="94">
        <f>SUMIFS('Resultat-Produktion &amp; forbrug'!I$4:I$291,'Resultat-Produktion &amp; forbrug'!$A$4:$A$291,'Produktion &amp; forbrug'!$A141,'Resultat-Produktion &amp; forbrug'!$E$4:$E$291,'Produktion &amp; forbrug'!$F141)</f>
        <v>0</v>
      </c>
      <c r="J141" s="94">
        <f>SUMIFS('Resultat-Produktion &amp; forbrug'!J$4:J$291,'Resultat-Produktion &amp; forbrug'!$A$4:$A$291,'Produktion &amp; forbrug'!$A141,'Resultat-Produktion &amp; forbrug'!$E$4:$E$291,'Produktion &amp; forbrug'!$F141)</f>
        <v>0</v>
      </c>
      <c r="K141" s="94">
        <f>SUMIFS('Resultat-Produktion &amp; forbrug'!K$4:K$291,'Resultat-Produktion &amp; forbrug'!$A$4:$A$291,'Produktion &amp; forbrug'!$A141,'Resultat-Produktion &amp; forbrug'!$E$4:$E$291,'Produktion &amp; forbrug'!$F141)</f>
        <v>6751934.1392240729</v>
      </c>
      <c r="L141" s="94">
        <f>SUMIFS('Resultat-Produktion &amp; forbrug'!L$4:L$291,'Resultat-Produktion &amp; forbrug'!$A$4:$A$291,'Produktion &amp; forbrug'!$A141,'Resultat-Produktion &amp; forbrug'!$E$4:$E$291,'Produktion &amp; forbrug'!$F141)</f>
        <v>0</v>
      </c>
      <c r="M141" s="94">
        <f>SUMIFS('Resultat-Produktion &amp; forbrug'!M$4:M$291,'Resultat-Produktion &amp; forbrug'!$A$4:$A$291,'Produktion &amp; forbrug'!$A141,'Resultat-Produktion &amp; forbrug'!$E$4:$E$291,'Produktion &amp; forbrug'!$F141)</f>
        <v>0</v>
      </c>
      <c r="N141" s="94">
        <f>SUMIFS('Resultat-Produktion &amp; forbrug'!N$4:N$291,'Resultat-Produktion &amp; forbrug'!$A$4:$A$291,'Produktion &amp; forbrug'!$A141,'Resultat-Produktion &amp; forbrug'!$E$4:$E$291,'Produktion &amp; forbrug'!$F141)</f>
        <v>0</v>
      </c>
      <c r="O141" s="179">
        <f t="shared" si="33"/>
        <v>750214.90435823053</v>
      </c>
      <c r="P141" s="94">
        <f t="shared" si="31"/>
        <v>750214.90435823053</v>
      </c>
      <c r="Q141" s="180">
        <f t="shared" si="34"/>
        <v>6751934.1392240729</v>
      </c>
      <c r="R141">
        <f>IFERROR(VLOOKUP(A141,[1]Energiindhold!$A$2:$C$11,3,FALSE),IFERROR(VLOOKUP(A141,[1]Biogasudbytte!$A$2:$B$18,2,FALSE)*[1]Energiindhold!$C$10,0))*P141</f>
        <v>0.37436473942380066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IF(A141&lt;&gt;"Biogas",IFERROR(VLOOKUP(A141,[1]Biogasudbytte!$A$2:$B$18,2,FALSE)*[1]Energiindhold!$C$10,0)*K141*IFERROR(VLOOKUP(A141,Biogasanlæg!$F$3:$G$8,2,FALSE),1)+IFERROR(VLOOKUP(A141,[1]Energiindhold!$A$2:$C$11,3,FALSE),0)*M141+IF(F141&lt;&gt;År1,R141,0),0)</f>
        <v>3.743647394238006</v>
      </c>
      <c r="T141">
        <f>IFERROR(VLOOKUP(A141,[1]Biogasudbytte!$A$2:$B$18,2,FALSE)*[1]Energiindhold!$C$10,0)*K141*IFERROR(VLOOKUP(A141,Biogasanlæg!$F$3:$G$8,2,FALSE),1)</f>
        <v>3.3692826548142052</v>
      </c>
      <c r="U141" s="170">
        <f t="shared" si="35"/>
        <v>0.37436473942380077</v>
      </c>
      <c r="V141" s="169">
        <f>P141*IFERROR(VLOOKUP(A141,[1]Tørstofindhold!A$2:B$24,2,FALSE),0)</f>
        <v>45012.894261493828</v>
      </c>
      <c r="W141">
        <f>IF(F141=År1,Q141,SUM(P141,Q141))*IFERROR(VLOOKUP(A141,[1]Tørstofindhold!A$2:B$24,2,FALSE),0)</f>
        <v>450128.94261493819</v>
      </c>
      <c r="X141">
        <f>K141*IFERROR(VLOOKUP(A141,[1]Tørstofindhold!A$2:B$24,2,FALSE),0)</f>
        <v>405116.04835344438</v>
      </c>
      <c r="Y141" s="170">
        <f t="shared" si="36"/>
        <v>45012.894261493813</v>
      </c>
      <c r="Z141">
        <f t="shared" si="29"/>
        <v>0</v>
      </c>
      <c r="AA141">
        <f t="shared" si="30"/>
        <v>1</v>
      </c>
      <c r="AC141" s="94">
        <f t="shared" si="32"/>
        <v>750214.90435823053</v>
      </c>
      <c r="AD141">
        <f>AC141*E141*10000*VLOOKUP(A141,[1]kcal!$A$2:$C$49,3,FALSE)/1000000000000</f>
        <v>0</v>
      </c>
    </row>
    <row r="142" spans="1:30" x14ac:dyDescent="0.25">
      <c r="A142" s="171" t="str">
        <f t="shared" si="26"/>
        <v>Svinegylle</v>
      </c>
      <c r="B142" s="171" t="str">
        <f t="shared" si="27"/>
        <v>Husdyrgødning</v>
      </c>
      <c r="C142" s="171" t="str">
        <f>IFERROR(VLOOKUP(A142,'Kategorisering af kcal'!$J$2:$K$18,2,FALSE),"")</f>
        <v/>
      </c>
      <c r="D142" s="171">
        <f>IF(COUNTIFS('Resultater - Danmark'!$D$3:$D$504,'Produktion &amp; forbrug'!A142,'Resultater - Danmark'!$A$3:$A$504,"Til energi")+COUNTIFS('Resultater - Danmark'!$D$3:$D$504,'Produktion &amp; forbrug'!A142,'Resultater - Danmark'!$A$3:$A$504,"Biogasanlæg")&gt;0,1,0)</f>
        <v>1</v>
      </c>
      <c r="E142" s="171">
        <f t="shared" si="28"/>
        <v>0</v>
      </c>
      <c r="F142" s="171">
        <f t="shared" si="23"/>
        <v>2050</v>
      </c>
      <c r="G142" s="94">
        <f>SUMIFS('Resultat-Produktion &amp; forbrug'!G$4:G$291,'Resultat-Produktion &amp; forbrug'!$A$4:$A$291,'Produktion &amp; forbrug'!$A142,'Resultat-Produktion &amp; forbrug'!$E$4:$E$291,'Produktion &amp; forbrug'!$F142)</f>
        <v>0</v>
      </c>
      <c r="H142" s="94">
        <f>SUMIFS('Resultat-Produktion &amp; forbrug'!H$4:H$291,'Resultat-Produktion &amp; forbrug'!$A$4:$A$291,'Produktion &amp; forbrug'!$A142,'Resultat-Produktion &amp; forbrug'!$E$4:$E$291,'Produktion &amp; forbrug'!$F142)</f>
        <v>0</v>
      </c>
      <c r="I142" s="94">
        <f>SUMIFS('Resultat-Produktion &amp; forbrug'!I$4:I$291,'Resultat-Produktion &amp; forbrug'!$A$4:$A$291,'Produktion &amp; forbrug'!$A142,'Resultat-Produktion &amp; forbrug'!$E$4:$E$291,'Produktion &amp; forbrug'!$F142)</f>
        <v>0</v>
      </c>
      <c r="J142" s="94">
        <f>SUMIFS('Resultat-Produktion &amp; forbrug'!J$4:J$291,'Resultat-Produktion &amp; forbrug'!$A$4:$A$291,'Produktion &amp; forbrug'!$A142,'Resultat-Produktion &amp; forbrug'!$E$4:$E$291,'Produktion &amp; forbrug'!$F142)</f>
        <v>0</v>
      </c>
      <c r="K142" s="94">
        <f>SUMIFS('Resultat-Produktion &amp; forbrug'!K$4:K$291,'Resultat-Produktion &amp; forbrug'!$A$4:$A$291,'Produktion &amp; forbrug'!$A142,'Resultat-Produktion &amp; forbrug'!$E$4:$E$291,'Produktion &amp; forbrug'!$F142)</f>
        <v>0</v>
      </c>
      <c r="L142" s="94">
        <f>SUMIFS('Resultat-Produktion &amp; forbrug'!L$4:L$291,'Resultat-Produktion &amp; forbrug'!$A$4:$A$291,'Produktion &amp; forbrug'!$A142,'Resultat-Produktion &amp; forbrug'!$E$4:$E$291,'Produktion &amp; forbrug'!$F142)</f>
        <v>0</v>
      </c>
      <c r="M142" s="94">
        <f>SUMIFS('Resultat-Produktion &amp; forbrug'!M$4:M$291,'Resultat-Produktion &amp; forbrug'!$A$4:$A$291,'Produktion &amp; forbrug'!$A142,'Resultat-Produktion &amp; forbrug'!$E$4:$E$291,'Produktion &amp; forbrug'!$F142)</f>
        <v>0</v>
      </c>
      <c r="N142" s="94">
        <f>SUMIFS('Resultat-Produktion &amp; forbrug'!N$4:N$291,'Resultat-Produktion &amp; forbrug'!$A$4:$A$291,'Produktion &amp; forbrug'!$A142,'Resultat-Produktion &amp; forbrug'!$E$4:$E$291,'Produktion &amp; forbrug'!$F142)</f>
        <v>0</v>
      </c>
      <c r="O142" s="179">
        <f t="shared" si="33"/>
        <v>0</v>
      </c>
      <c r="P142" s="94">
        <f t="shared" si="31"/>
        <v>0</v>
      </c>
      <c r="Q142" s="180">
        <f t="shared" si="34"/>
        <v>0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IF(A142&lt;&gt;"Biogas",IFERROR(VLOOKUP(A142,[1]Biogasudbytte!$A$2:$B$18,2,FALSE)*[1]Energiindhold!$C$10,0)*K142*IFERROR(VLOOKUP(A142,Biogasanlæg!$F$3:$G$8,2,FALSE),1)+IFERROR(VLOOKUP(A142,[1]Energiindhold!$A$2:$C$11,3,FALSE),0)*M142+IF(F142&lt;&gt;År1,R142,0),0)</f>
        <v>0</v>
      </c>
      <c r="T142">
        <f>IFERROR(VLOOKUP(A142,[1]Biogasudbytte!$A$2:$B$18,2,FALSE)*[1]Energiindhold!$C$10,0)*K142*IFERROR(VLOOKUP(A142,Biogasanlæg!$F$3:$G$8,2,FALSE),1)</f>
        <v>0</v>
      </c>
      <c r="U142" s="170">
        <f t="shared" si="35"/>
        <v>0</v>
      </c>
      <c r="V142" s="169">
        <f>P142*IFERROR(VLOOKUP(A142,[1]Tørstofindhold!A$2:B$24,2,FALSE),0)</f>
        <v>0</v>
      </c>
      <c r="W142">
        <f>IF(F142=År1,Q142,SUM(P142,Q142))*IFERROR(VLOOKUP(A142,[1]Tørstofindhold!A$2:B$24,2,FALSE),0)</f>
        <v>0</v>
      </c>
      <c r="X142">
        <f>K142*IFERROR(VLOOKUP(A142,[1]Tørstofindhold!A$2:B$24,2,FALSE),0)</f>
        <v>0</v>
      </c>
      <c r="Y142" s="170">
        <f t="shared" si="36"/>
        <v>0</v>
      </c>
      <c r="Z142">
        <f t="shared" si="29"/>
        <v>0</v>
      </c>
      <c r="AA142">
        <f t="shared" si="30"/>
        <v>0</v>
      </c>
      <c r="AC142" s="94">
        <f t="shared" si="32"/>
        <v>0</v>
      </c>
      <c r="AD142">
        <f>AC142*E142*10000*VLOOKUP(A142,[1]kcal!$A$2:$C$49,3,FALSE)/1000000000000</f>
        <v>0</v>
      </c>
    </row>
    <row r="143" spans="1:30" x14ac:dyDescent="0.25">
      <c r="A143" s="171" t="str">
        <f t="shared" si="26"/>
        <v>Svinekød</v>
      </c>
      <c r="B143" s="171" t="str">
        <f t="shared" si="27"/>
        <v/>
      </c>
      <c r="C143" s="171" t="str">
        <f>IFERROR(VLOOKUP(A143,'Kategorisering af kcal'!$J$2:$K$18,2,FALSE),"")</f>
        <v>Kød</v>
      </c>
      <c r="D143" s="171">
        <f>IF(COUNTIFS('Resultater - Danmark'!$D$3:$D$504,'Produktion &amp; forbrug'!A143,'Resultater - Danmark'!$A$3:$A$504,"Til energi")+COUNTIFS('Resultater - Danmark'!$D$3:$D$504,'Produktion &amp; forbrug'!A143,'Resultater - Danmark'!$A$3:$A$504,"Biogasanlæg")&gt;0,1,0)</f>
        <v>0</v>
      </c>
      <c r="E143" s="171">
        <f t="shared" si="28"/>
        <v>1</v>
      </c>
      <c r="F143" s="171">
        <f t="shared" si="23"/>
        <v>2050</v>
      </c>
      <c r="G143" s="94">
        <f>SUMIFS('Resultat-Produktion &amp; forbrug'!G$4:G$291,'Resultat-Produktion &amp; forbrug'!$A$4:$A$291,'Produktion &amp; forbrug'!$A143,'Resultat-Produktion &amp; forbrug'!$E$4:$E$291,'Produktion &amp; forbrug'!$F143)</f>
        <v>37593.267629410817</v>
      </c>
      <c r="H143" s="94">
        <f>SUMIFS('Resultat-Produktion &amp; forbrug'!H$4:H$291,'Resultat-Produktion &amp; forbrug'!$A$4:$A$291,'Produktion &amp; forbrug'!$A143,'Resultat-Produktion &amp; forbrug'!$E$4:$E$291,'Produktion &amp; forbrug'!$F143)</f>
        <v>0</v>
      </c>
      <c r="I143" s="94">
        <f>SUMIFS('Resultat-Produktion &amp; forbrug'!I$4:I$291,'Resultat-Produktion &amp; forbrug'!$A$4:$A$291,'Produktion &amp; forbrug'!$A143,'Resultat-Produktion &amp; forbrug'!$E$4:$E$291,'Produktion &amp; forbrug'!$F143)</f>
        <v>0</v>
      </c>
      <c r="J143" s="94">
        <f>SUMIFS('Resultat-Produktion &amp; forbrug'!J$4:J$291,'Resultat-Produktion &amp; forbrug'!$A$4:$A$291,'Produktion &amp; forbrug'!$A143,'Resultat-Produktion &amp; forbrug'!$E$4:$E$291,'Produktion &amp; forbrug'!$F143)</f>
        <v>237101.38949957371</v>
      </c>
      <c r="K143" s="94">
        <f>SUMIFS('Resultat-Produktion &amp; forbrug'!K$4:K$291,'Resultat-Produktion &amp; forbrug'!$A$4:$A$291,'Produktion &amp; forbrug'!$A143,'Resultat-Produktion &amp; forbrug'!$E$4:$E$291,'Produktion &amp; forbrug'!$F143)</f>
        <v>0</v>
      </c>
      <c r="L143" s="94">
        <f>SUMIFS('Resultat-Produktion &amp; forbrug'!L$4:L$291,'Resultat-Produktion &amp; forbrug'!$A$4:$A$291,'Produktion &amp; forbrug'!$A143,'Resultat-Produktion &amp; forbrug'!$E$4:$E$291,'Produktion &amp; forbrug'!$F143)</f>
        <v>0</v>
      </c>
      <c r="M143" s="94">
        <f>SUMIFS('Resultat-Produktion &amp; forbrug'!M$4:M$291,'Resultat-Produktion &amp; forbrug'!$A$4:$A$291,'Produktion &amp; forbrug'!$A143,'Resultat-Produktion &amp; forbrug'!$E$4:$E$291,'Produktion &amp; forbrug'!$F143)</f>
        <v>0</v>
      </c>
      <c r="N143" s="94">
        <f>SUMIFS('Resultat-Produktion &amp; forbrug'!N$4:N$291,'Resultat-Produktion &amp; forbrug'!$A$4:$A$291,'Produktion &amp; forbrug'!$A143,'Resultat-Produktion &amp; forbrug'!$E$4:$E$291,'Produktion &amp; forbrug'!$F143)</f>
        <v>0</v>
      </c>
      <c r="O143" s="179">
        <f t="shared" si="33"/>
        <v>-199508.1218701629</v>
      </c>
      <c r="P143" s="94">
        <f t="shared" si="31"/>
        <v>0</v>
      </c>
      <c r="Q143" s="180">
        <f t="shared" si="34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IF(A143&lt;&gt;"Biogas",IFERROR(VLOOKUP(A143,[1]Biogasudbytte!$A$2:$B$18,2,FALSE)*[1]Energiindhold!$C$10,0)*K143*IFERROR(VLOOKUP(A143,Biogasanlæg!$F$3:$G$8,2,FALSE),1)+IFERROR(VLOOKUP(A143,[1]Energiindhold!$A$2:$C$11,3,FALSE),0)*M143+IF(F143&lt;&gt;År1,R143,0),0)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35"/>
        <v>0</v>
      </c>
      <c r="V143" s="169">
        <f>P143*IFERROR(VLOOKUP(A143,[1]Tørstofindhold!A$2:B$24,2,FALSE),0)</f>
        <v>0</v>
      </c>
      <c r="W143">
        <f>IF(F143=År1,Q143,SUM(P143,Q143))*IFERROR(VLOOKUP(A143,[1]Tørstofindhold!A$2:B$24,2,FALSE),0)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36"/>
        <v>0</v>
      </c>
      <c r="Z143">
        <f t="shared" si="29"/>
        <v>1</v>
      </c>
      <c r="AA143">
        <f t="shared" si="30"/>
        <v>0</v>
      </c>
      <c r="AC143" s="94">
        <f t="shared" si="32"/>
        <v>37593.267629410817</v>
      </c>
      <c r="AD143">
        <f>AC143*E143*10000*VLOOKUP(A143,[1]kcal!$A$2:$C$49,3,FALSE)/1000000000000</f>
        <v>7.330687187735109E-2</v>
      </c>
    </row>
    <row r="144" spans="1:30" x14ac:dyDescent="0.25">
      <c r="A144" s="171" t="str">
        <f t="shared" si="26"/>
        <v>Tang</v>
      </c>
      <c r="B144" s="171" t="str">
        <f t="shared" si="27"/>
        <v>Havbiomasse</v>
      </c>
      <c r="C144" s="171" t="str">
        <f>IFERROR(VLOOKUP(A144,'Kategorisering af kcal'!$J$2:$K$18,2,FALSE),"")</f>
        <v>Fisk mm</v>
      </c>
      <c r="D144" s="171">
        <f>IF(COUNTIFS('Resultater - Danmark'!$D$3:$D$504,'Produktion &amp; forbrug'!A144,'Resultater - Danmark'!$A$3:$A$504,"Til energi")+COUNTIFS('Resultater - Danmark'!$D$3:$D$504,'Produktion &amp; forbrug'!A144,'Resultater - Danmark'!$A$3:$A$504,"Biogasanlæg")&gt;0,1,0)</f>
        <v>1</v>
      </c>
      <c r="E144" s="171">
        <f t="shared" si="28"/>
        <v>1</v>
      </c>
      <c r="F144" s="171">
        <f t="shared" si="23"/>
        <v>2050</v>
      </c>
      <c r="G144" s="94">
        <f>SUMIFS('Resultat-Produktion &amp; forbrug'!G$4:G$291,'Resultat-Produktion &amp; forbrug'!$A$4:$A$291,'Produktion &amp; forbrug'!$A144,'Resultat-Produktion &amp; forbrug'!$E$4:$E$291,'Produktion &amp; forbrug'!$F144)</f>
        <v>382.5</v>
      </c>
      <c r="H144" s="94">
        <f>SUMIFS('Resultat-Produktion &amp; forbrug'!H$4:H$291,'Resultat-Produktion &amp; forbrug'!$A$4:$A$291,'Produktion &amp; forbrug'!$A144,'Resultat-Produktion &amp; forbrug'!$E$4:$E$291,'Produktion &amp; forbrug'!$F144)</f>
        <v>0</v>
      </c>
      <c r="I144" s="94">
        <f>SUMIFS('Resultat-Produktion &amp; forbrug'!I$4:I$291,'Resultat-Produktion &amp; forbrug'!$A$4:$A$291,'Produktion &amp; forbrug'!$A144,'Resultat-Produktion &amp; forbrug'!$E$4:$E$291,'Produktion &amp; forbrug'!$F144)</f>
        <v>0</v>
      </c>
      <c r="J144" s="94">
        <f>SUMIFS('Resultat-Produktion &amp; forbrug'!J$4:J$291,'Resultat-Produktion &amp; forbrug'!$A$4:$A$291,'Produktion &amp; forbrug'!$A144,'Resultat-Produktion &amp; forbrug'!$E$4:$E$291,'Produktion &amp; forbrug'!$F144)</f>
        <v>0</v>
      </c>
      <c r="K144" s="94">
        <f>SUMIFS('Resultat-Produktion &amp; forbrug'!K$4:K$291,'Resultat-Produktion &amp; forbrug'!$A$4:$A$291,'Produktion &amp; forbrug'!$A144,'Resultat-Produktion &amp; forbrug'!$E$4:$E$291,'Produktion &amp; forbrug'!$F144)</f>
        <v>0</v>
      </c>
      <c r="L144" s="94">
        <f>SUMIFS('Resultat-Produktion &amp; forbrug'!L$4:L$291,'Resultat-Produktion &amp; forbrug'!$A$4:$A$291,'Produktion &amp; forbrug'!$A144,'Resultat-Produktion &amp; forbrug'!$E$4:$E$291,'Produktion &amp; forbrug'!$F144)</f>
        <v>0</v>
      </c>
      <c r="M144" s="94">
        <f>SUMIFS('Resultat-Produktion &amp; forbrug'!M$4:M$291,'Resultat-Produktion &amp; forbrug'!$A$4:$A$291,'Produktion &amp; forbrug'!$A144,'Resultat-Produktion &amp; forbrug'!$E$4:$E$291,'Produktion &amp; forbrug'!$F144)</f>
        <v>0</v>
      </c>
      <c r="N144" s="94">
        <f>SUMIFS('Resultat-Produktion &amp; forbrug'!N$4:N$291,'Resultat-Produktion &amp; forbrug'!$A$4:$A$291,'Produktion &amp; forbrug'!$A144,'Resultat-Produktion &amp; forbrug'!$E$4:$E$291,'Produktion &amp; forbrug'!$F144)</f>
        <v>0</v>
      </c>
      <c r="O144" s="179">
        <f t="shared" si="33"/>
        <v>382.5</v>
      </c>
      <c r="P144" s="94">
        <f t="shared" si="31"/>
        <v>382.5</v>
      </c>
      <c r="Q144" s="180">
        <f t="shared" si="34"/>
        <v>0</v>
      </c>
      <c r="R144">
        <f>IFERROR(VLOOKUP(A144,[1]Energiindhold!$A$2:$C$11,3,FALSE),IFERROR(VLOOKUP(A144,[1]Biogasudbytte!$A$2:$B$18,2,FALSE)*[1]Energiindhold!$C$10,0))*P144</f>
        <v>3.4329375000000003E-4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IF(A144&lt;&gt;"Biogas",IFERROR(VLOOKUP(A144,[1]Biogasudbytte!$A$2:$B$18,2,FALSE)*[1]Energiindhold!$C$10,0)*K144*IFERROR(VLOOKUP(A144,Biogasanlæg!$F$3:$G$8,2,FALSE),1)+IFERROR(VLOOKUP(A144,[1]Energiindhold!$A$2:$C$11,3,FALSE),0)*M144+IF(F144&lt;&gt;År1,R144,0),0)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si="35"/>
        <v>3.4329375000000003E-4</v>
      </c>
      <c r="V144" s="169">
        <f>P144*IFERROR(VLOOKUP(A144,[1]Tørstofindhold!A$2:B$24,2,FALSE),0)</f>
        <v>57.375</v>
      </c>
      <c r="W144">
        <f>IF(F144=År1,Q144,SUM(P144,Q144))*IFERROR(VLOOKUP(A144,[1]Tørstofindhold!A$2:B$24,2,FALSE),0)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si="36"/>
        <v>57.375</v>
      </c>
      <c r="Z144">
        <f t="shared" si="29"/>
        <v>0</v>
      </c>
      <c r="AA144">
        <f t="shared" si="30"/>
        <v>1</v>
      </c>
      <c r="AC144" s="94">
        <f t="shared" si="32"/>
        <v>382.5</v>
      </c>
      <c r="AD144">
        <f>AC144*E144*10000*VLOOKUP(A144,[1]kcal!$A$2:$C$49,3,FALSE)/1000000000000</f>
        <v>1.5605999999999999E-4</v>
      </c>
    </row>
    <row r="145" spans="1:30" x14ac:dyDescent="0.25">
      <c r="A145" s="171" t="str">
        <f t="shared" si="26"/>
        <v>Total til biogas</v>
      </c>
      <c r="B145" s="171" t="str">
        <f t="shared" si="27"/>
        <v/>
      </c>
      <c r="C145" s="171" t="str">
        <f>IFERROR(VLOOKUP(A145,'Kategorisering af kcal'!$J$2:$K$18,2,FALSE),"")</f>
        <v/>
      </c>
      <c r="D145" s="171">
        <f>IF(COUNTIFS('Resultater - Danmark'!$D$3:$D$504,'Produktion &amp; forbrug'!A145,'Resultater - Danmark'!$A$3:$A$504,"Til energi")+COUNTIFS('Resultater - Danmark'!$D$3:$D$504,'Produktion &amp; forbrug'!A145,'Resultater - Danmark'!$A$3:$A$504,"Biogasanlæg")&gt;0,1,0)</f>
        <v>1</v>
      </c>
      <c r="E145" s="171">
        <f t="shared" si="28"/>
        <v>0</v>
      </c>
      <c r="F145" s="171">
        <f t="shared" si="23"/>
        <v>2050</v>
      </c>
      <c r="G145" s="94">
        <f>SUMIFS('Resultat-Produktion &amp; forbrug'!G$4:G$291,'Resultat-Produktion &amp; forbrug'!$A$4:$A$291,'Produktion &amp; forbrug'!$A145,'Resultat-Produktion &amp; forbrug'!$E$4:$E$291,'Produktion &amp; forbrug'!$F145)</f>
        <v>0</v>
      </c>
      <c r="H145" s="94">
        <f>SUMIFS('Resultat-Produktion &amp; forbrug'!H$4:H$291,'Resultat-Produktion &amp; forbrug'!$A$4:$A$291,'Produktion &amp; forbrug'!$A145,'Resultat-Produktion &amp; forbrug'!$E$4:$E$291,'Produktion &amp; forbrug'!$F145)</f>
        <v>0</v>
      </c>
      <c r="I145" s="94">
        <f>SUMIFS('Resultat-Produktion &amp; forbrug'!I$4:I$291,'Resultat-Produktion &amp; forbrug'!$A$4:$A$291,'Produktion &amp; forbrug'!$A145,'Resultat-Produktion &amp; forbrug'!$E$4:$E$291,'Produktion &amp; forbrug'!$F145)</f>
        <v>0</v>
      </c>
      <c r="J145" s="94">
        <f>SUMIFS('Resultat-Produktion &amp; forbrug'!J$4:J$291,'Resultat-Produktion &amp; forbrug'!$A$4:$A$291,'Produktion &amp; forbrug'!$A145,'Resultat-Produktion &amp; forbrug'!$E$4:$E$291,'Produktion &amp; forbrug'!$F145)</f>
        <v>0</v>
      </c>
      <c r="K145" s="94">
        <f>SUMIFS('Resultat-Produktion &amp; forbrug'!K$4:K$291,'Resultat-Produktion &amp; forbrug'!$A$4:$A$291,'Produktion &amp; forbrug'!$A145,'Resultat-Produktion &amp; forbrug'!$E$4:$E$291,'Produktion &amp; forbrug'!$F145)</f>
        <v>0</v>
      </c>
      <c r="L145" s="94">
        <f>SUMIFS('Resultat-Produktion &amp; forbrug'!L$4:L$291,'Resultat-Produktion &amp; forbrug'!$A$4:$A$291,'Produktion &amp; forbrug'!$A145,'Resultat-Produktion &amp; forbrug'!$E$4:$E$291,'Produktion &amp; forbrug'!$F145)</f>
        <v>0</v>
      </c>
      <c r="M145" s="94">
        <f>SUMIFS('Resultat-Produktion &amp; forbrug'!M$4:M$291,'Resultat-Produktion &amp; forbrug'!$A$4:$A$291,'Produktion &amp; forbrug'!$A145,'Resultat-Produktion &amp; forbrug'!$E$4:$E$291,'Produktion &amp; forbrug'!$F145)</f>
        <v>0</v>
      </c>
      <c r="N145" s="94">
        <f>SUMIFS('Resultat-Produktion &amp; forbrug'!N$4:N$291,'Resultat-Produktion &amp; forbrug'!$A$4:$A$291,'Produktion &amp; forbrug'!$A145,'Resultat-Produktion &amp; forbrug'!$E$4:$E$291,'Produktion &amp; forbrug'!$F145)</f>
        <v>0</v>
      </c>
      <c r="O145" s="179">
        <f t="shared" si="33"/>
        <v>0</v>
      </c>
      <c r="P145" s="94">
        <f t="shared" si="31"/>
        <v>0</v>
      </c>
      <c r="Q145" s="180">
        <f t="shared" si="34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IF(A145&lt;&gt;"Biogas",IFERROR(VLOOKUP(A145,[1]Biogasudbytte!$A$2:$B$18,2,FALSE)*[1]Energiindhold!$C$10,0)*K145*IFERROR(VLOOKUP(A145,Biogasanlæg!$F$3:$G$8,2,FALSE),1)+IFERROR(VLOOKUP(A145,[1]Energiindhold!$A$2:$C$11,3,FALSE),0)*M145+IF(F145&lt;&gt;År1,R145,0),0)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35"/>
        <v>0</v>
      </c>
      <c r="V145" s="169">
        <f>P145*IFERROR(VLOOKUP(A145,[1]Tørstofindhold!A$2:B$24,2,FALSE),0)</f>
        <v>0</v>
      </c>
      <c r="W145">
        <f>IF(F145=År1,Q145,SUM(P145,Q145))*IFERROR(VLOOKUP(A145,[1]Tørstofindhold!A$2:B$24,2,FALSE),0)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36"/>
        <v>0</v>
      </c>
      <c r="Z145">
        <f t="shared" si="29"/>
        <v>0</v>
      </c>
      <c r="AA145">
        <f t="shared" si="30"/>
        <v>0</v>
      </c>
      <c r="AC145" s="94">
        <f t="shared" si="32"/>
        <v>0</v>
      </c>
      <c r="AD145">
        <f>AC145*E145*10000*VLOOKUP(A145,[1]kcal!$A$2:$C$49,3,FALSE)/1000000000000</f>
        <v>0</v>
      </c>
    </row>
    <row r="146" spans="1:30" x14ac:dyDescent="0.25">
      <c r="A146" s="171" t="str">
        <f t="shared" si="26"/>
        <v>Træ til energi</v>
      </c>
      <c r="B146" s="171" t="str">
        <f t="shared" si="27"/>
        <v>Vedmasse</v>
      </c>
      <c r="C146" s="171" t="str">
        <f>IFERROR(VLOOKUP(A146,'Kategorisering af kcal'!$J$2:$K$18,2,FALSE),"")</f>
        <v/>
      </c>
      <c r="D146" s="171">
        <f>IF(COUNTIFS('Resultater - Danmark'!$D$3:$D$504,'Produktion &amp; forbrug'!A146,'Resultater - Danmark'!$A$3:$A$504,"Til energi")+COUNTIFS('Resultater - Danmark'!$D$3:$D$504,'Produktion &amp; forbrug'!A146,'Resultater - Danmark'!$A$3:$A$504,"Biogasanlæg")&gt;0,1,0)</f>
        <v>1</v>
      </c>
      <c r="E146" s="171">
        <f t="shared" si="28"/>
        <v>0</v>
      </c>
      <c r="F146" s="171">
        <f t="shared" si="23"/>
        <v>2050</v>
      </c>
      <c r="G146" s="94">
        <f ca="1">SUMIFS('Resultat-Produktion &amp; forbrug'!G$4:G$291,'Resultat-Produktion &amp; forbrug'!$A$4:$A$291,'Produktion &amp; forbrug'!$A146,'Resultat-Produktion &amp; forbrug'!$E$4:$E$291,'Produktion &amp; forbrug'!$F146)</f>
        <v>2925496.1196818841</v>
      </c>
      <c r="H146" s="94">
        <f>SUMIFS('Resultat-Produktion &amp; forbrug'!H$4:H$291,'Resultat-Produktion &amp; forbrug'!$A$4:$A$291,'Produktion &amp; forbrug'!$A146,'Resultat-Produktion &amp; forbrug'!$E$4:$E$291,'Produktion &amp; forbrug'!$F146)</f>
        <v>0</v>
      </c>
      <c r="I146" s="94">
        <f>SUMIFS('Resultat-Produktion &amp; forbrug'!I$4:I$291,'Resultat-Produktion &amp; forbrug'!$A$4:$A$291,'Produktion &amp; forbrug'!$A146,'Resultat-Produktion &amp; forbrug'!$E$4:$E$291,'Produktion &amp; forbrug'!$F146)</f>
        <v>0</v>
      </c>
      <c r="J146" s="94">
        <f>SUMIFS('Resultat-Produktion &amp; forbrug'!J$4:J$291,'Resultat-Produktion &amp; forbrug'!$A$4:$A$291,'Produktion &amp; forbrug'!$A146,'Resultat-Produktion &amp; forbrug'!$E$4:$E$291,'Produktion &amp; forbrug'!$F146)</f>
        <v>0</v>
      </c>
      <c r="K146" s="94">
        <f>SUMIFS('Resultat-Produktion &amp; forbrug'!K$4:K$291,'Resultat-Produktion &amp; forbrug'!$A$4:$A$291,'Produktion &amp; forbrug'!$A146,'Resultat-Produktion &amp; forbrug'!$E$4:$E$291,'Produktion &amp; forbrug'!$F146)</f>
        <v>0</v>
      </c>
      <c r="L146" s="94">
        <f>SUMIFS('Resultat-Produktion &amp; forbrug'!L$4:L$291,'Resultat-Produktion &amp; forbrug'!$A$4:$A$291,'Produktion &amp; forbrug'!$A146,'Resultat-Produktion &amp; forbrug'!$E$4:$E$291,'Produktion &amp; forbrug'!$F146)</f>
        <v>0</v>
      </c>
      <c r="M146" s="94">
        <f ca="1">SUMIFS('Resultat-Produktion &amp; forbrug'!M$4:M$291,'Resultat-Produktion &amp; forbrug'!$A$4:$A$291,'Produktion &amp; forbrug'!$A146,'Resultat-Produktion &amp; forbrug'!$E$4:$E$291,'Produktion &amp; forbrug'!$F146)</f>
        <v>2925496.1196818841</v>
      </c>
      <c r="N146" s="94">
        <f>SUMIFS('Resultat-Produktion &amp; forbrug'!N$4:N$291,'Resultat-Produktion &amp; forbrug'!$A$4:$A$291,'Produktion &amp; forbrug'!$A146,'Resultat-Produktion &amp; forbrug'!$E$4:$E$291,'Produktion &amp; forbrug'!$F146)</f>
        <v>0</v>
      </c>
      <c r="O146" s="179">
        <f t="shared" ca="1" si="33"/>
        <v>0</v>
      </c>
      <c r="P146" s="94">
        <f t="shared" ca="1" si="31"/>
        <v>0</v>
      </c>
      <c r="Q146" s="180">
        <f t="shared" ca="1" si="34"/>
        <v>2925496.1196818841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IF(A146&lt;&gt;"Biogas",IFERROR(VLOOKUP(A146,[1]Biogasudbytte!$A$2:$B$18,2,FALSE)*[1]Energiindhold!$C$10,0)*K146*IFERROR(VLOOKUP(A146,Biogasanlæg!$F$3:$G$8,2,FALSE),1)+IFERROR(VLOOKUP(A146,[1]Energiindhold!$A$2:$C$11,3,FALSE),0)*M146+IF(F146&lt;&gt;År1,R146,0),0)</f>
        <v>42.400879579560225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35"/>
        <v>42.400879579560225</v>
      </c>
      <c r="V146" s="169">
        <f ca="1">P146*IFERROR(VLOOKUP(A146,[1]Tørstofindhold!A$2:B$24,2,FALSE),0)</f>
        <v>0</v>
      </c>
      <c r="W146">
        <f ca="1">IF(F146=År1,Q146,SUM(P146,Q146))*IFERROR(VLOOKUP(A146,[1]Tørstofindhold!A$2:B$24,2,FALSE),0)</f>
        <v>1446901.6225259984</v>
      </c>
      <c r="X146">
        <f>K146*IFERROR(VLOOKUP(A146,[1]Tørstofindhold!A$2:B$24,2,FALSE),0)</f>
        <v>0</v>
      </c>
      <c r="Y146" s="170">
        <f t="shared" ca="1" si="36"/>
        <v>1446901.6225259984</v>
      </c>
      <c r="Z146">
        <f t="shared" ca="1" si="29"/>
        <v>0</v>
      </c>
      <c r="AA146">
        <f t="shared" ca="1" si="30"/>
        <v>0</v>
      </c>
      <c r="AC146" s="94">
        <f t="shared" ca="1" si="32"/>
        <v>2925496.1196818841</v>
      </c>
      <c r="AD146">
        <f ca="1">AC146*E146*10000*VLOOKUP(A146,[1]kcal!$A$2:$C$49,3,FALSE)/1000000000000</f>
        <v>0</v>
      </c>
    </row>
    <row r="147" spans="1:30" x14ac:dyDescent="0.25">
      <c r="A147" s="171" t="str">
        <f t="shared" si="26"/>
        <v>Træmaterialer</v>
      </c>
      <c r="B147" s="171" t="str">
        <f t="shared" si="27"/>
        <v/>
      </c>
      <c r="C147" s="171" t="str">
        <f>IFERROR(VLOOKUP(A147,'Kategorisering af kcal'!$J$2:$K$18,2,FALSE),"")</f>
        <v/>
      </c>
      <c r="D147" s="171">
        <f>IF(COUNTIFS('Resultater - Danmark'!$D$3:$D$504,'Produktion &amp; forbrug'!A147,'Resultater - Danmark'!$A$3:$A$504,"Til energi")+COUNTIFS('Resultater - Danmark'!$D$3:$D$504,'Produktion &amp; forbrug'!A147,'Resultater - Danmark'!$A$3:$A$504,"Biogasanlæg")&gt;0,1,0)</f>
        <v>0</v>
      </c>
      <c r="E147" s="171">
        <f t="shared" si="28"/>
        <v>0</v>
      </c>
      <c r="F147" s="171">
        <f t="shared" si="23"/>
        <v>2050</v>
      </c>
      <c r="G147" s="94">
        <f ca="1">SUMIFS('Resultat-Produktion &amp; forbrug'!G$4:G$291,'Resultat-Produktion &amp; forbrug'!$A$4:$A$291,'Produktion &amp; forbrug'!$A147,'Resultat-Produktion &amp; forbrug'!$E$4:$E$291,'Produktion &amp; forbrug'!$F147)</f>
        <v>840705.04818703001</v>
      </c>
      <c r="H147" s="94">
        <f>SUMIFS('Resultat-Produktion &amp; forbrug'!H$4:H$291,'Resultat-Produktion &amp; forbrug'!$A$4:$A$291,'Produktion &amp; forbrug'!$A147,'Resultat-Produktion &amp; forbrug'!$E$4:$E$291,'Produktion &amp; forbrug'!$F147)</f>
        <v>0</v>
      </c>
      <c r="I147" s="94">
        <f>SUMIFS('Resultat-Produktion &amp; forbrug'!I$4:I$291,'Resultat-Produktion &amp; forbrug'!$A$4:$A$291,'Produktion &amp; forbrug'!$A147,'Resultat-Produktion &amp; forbrug'!$E$4:$E$291,'Produktion &amp; forbrug'!$F147)</f>
        <v>0</v>
      </c>
      <c r="J147" s="94">
        <f>SUMIFS('Resultat-Produktion &amp; forbrug'!J$4:J$291,'Resultat-Produktion &amp; forbrug'!$A$4:$A$291,'Produktion &amp; forbrug'!$A147,'Resultat-Produktion &amp; forbrug'!$E$4:$E$291,'Produktion &amp; forbrug'!$F147)</f>
        <v>0</v>
      </c>
      <c r="K147" s="94">
        <f>SUMIFS('Resultat-Produktion &amp; forbrug'!K$4:K$291,'Resultat-Produktion &amp; forbrug'!$A$4:$A$291,'Produktion &amp; forbrug'!$A147,'Resultat-Produktion &amp; forbrug'!$E$4:$E$291,'Produktion &amp; forbrug'!$F147)</f>
        <v>0</v>
      </c>
      <c r="L147" s="94">
        <f>SUMIFS('Resultat-Produktion &amp; forbrug'!L$4:L$291,'Resultat-Produktion &amp; forbrug'!$A$4:$A$291,'Produktion &amp; forbrug'!$A147,'Resultat-Produktion &amp; forbrug'!$E$4:$E$291,'Produktion &amp; forbrug'!$F147)</f>
        <v>0</v>
      </c>
      <c r="M147" s="94">
        <f>SUMIFS('Resultat-Produktion &amp; forbrug'!M$4:M$291,'Resultat-Produktion &amp; forbrug'!$A$4:$A$291,'Produktion &amp; forbrug'!$A147,'Resultat-Produktion &amp; forbrug'!$E$4:$E$291,'Produktion &amp; forbrug'!$F147)</f>
        <v>0</v>
      </c>
      <c r="N147" s="94">
        <f ca="1">SUMIFS('Resultat-Produktion &amp; forbrug'!N$4:N$291,'Resultat-Produktion &amp; forbrug'!$A$4:$A$291,'Produktion &amp; forbrug'!$A147,'Resultat-Produktion &amp; forbrug'!$E$4:$E$291,'Produktion &amp; forbrug'!$F147)</f>
        <v>840705.04818703001</v>
      </c>
      <c r="O147" s="179">
        <f t="shared" ca="1" si="33"/>
        <v>0</v>
      </c>
      <c r="P147" s="94">
        <f t="shared" si="31"/>
        <v>0</v>
      </c>
      <c r="Q147" s="180">
        <f t="shared" si="34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IF(A147&lt;&gt;"Biogas",IFERROR(VLOOKUP(A147,[1]Biogasudbytte!$A$2:$B$18,2,FALSE)*[1]Energiindhold!$C$10,0)*K147*IFERROR(VLOOKUP(A147,Biogasanlæg!$F$3:$G$8,2,FALSE),1)+IFERROR(VLOOKUP(A147,[1]Energiindhold!$A$2:$C$11,3,FALSE),0)*M147+IF(F147&lt;&gt;År1,R147,0),0)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35"/>
        <v>0</v>
      </c>
      <c r="V147" s="169">
        <f>P147*IFERROR(VLOOKUP(A147,[1]Tørstofindhold!A$2:B$24,2,FALSE),0)</f>
        <v>0</v>
      </c>
      <c r="W147">
        <f>IF(F147=År1,Q147,SUM(P147,Q147))*IFERROR(VLOOKUP(A147,[1]Tørstofindhold!A$2:B$24,2,FALSE),0)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36"/>
        <v>0</v>
      </c>
      <c r="Z147">
        <f t="shared" ca="1" si="29"/>
        <v>0</v>
      </c>
      <c r="AA147">
        <f t="shared" ca="1" si="30"/>
        <v>0</v>
      </c>
      <c r="AC147" s="94">
        <f t="shared" ca="1" si="32"/>
        <v>840705.04818703001</v>
      </c>
      <c r="AD147">
        <f ca="1">AC147*E147*10000*VLOOKUP(A147,[1]kcal!$A$2:$C$49,3,FALSE)/1000000000000</f>
        <v>0</v>
      </c>
    </row>
  </sheetData>
  <mergeCells count="6">
    <mergeCell ref="AC1:AD1"/>
    <mergeCell ref="A1:D1"/>
    <mergeCell ref="G1:N1"/>
    <mergeCell ref="O1:Q1"/>
    <mergeCell ref="R1:U1"/>
    <mergeCell ref="V1:Y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A3344-AD57-444A-886B-D927C8C34766}">
  <dimension ref="A1:T30"/>
  <sheetViews>
    <sheetView tabSelected="1" workbookViewId="0">
      <selection activeCell="B15" sqref="B15"/>
    </sheetView>
  </sheetViews>
  <sheetFormatPr defaultRowHeight="15" x14ac:dyDescent="0.25"/>
  <cols>
    <col min="16" max="16" width="22.7109375" bestFit="1" customWidth="1"/>
    <col min="17" max="17" width="16.42578125" bestFit="1" customWidth="1"/>
  </cols>
  <sheetData>
    <row r="1" spans="1:20" x14ac:dyDescent="0.25">
      <c r="B1" t="s">
        <v>372</v>
      </c>
      <c r="J1" t="s">
        <v>370</v>
      </c>
      <c r="K1" t="s">
        <v>371</v>
      </c>
      <c r="O1" s="404" t="s">
        <v>376</v>
      </c>
      <c r="Q1" t="s">
        <v>374</v>
      </c>
      <c r="R1" t="s">
        <v>372</v>
      </c>
      <c r="S1" t="s">
        <v>377</v>
      </c>
      <c r="T1" t="s">
        <v>375</v>
      </c>
    </row>
    <row r="2" spans="1:20" x14ac:dyDescent="0.25">
      <c r="B2">
        <v>2019</v>
      </c>
      <c r="C2">
        <v>2050</v>
      </c>
      <c r="D2" t="s">
        <v>367</v>
      </c>
      <c r="E2" t="s">
        <v>373</v>
      </c>
      <c r="J2" s="171" t="s">
        <v>15</v>
      </c>
      <c r="K2" t="s">
        <v>15</v>
      </c>
      <c r="O2" t="s">
        <v>48</v>
      </c>
      <c r="P2" t="s">
        <v>343</v>
      </c>
      <c r="Q2" s="94">
        <v>5231636613147</v>
      </c>
      <c r="R2">
        <f>Q2/1000000000000</f>
        <v>5.2316366131469998</v>
      </c>
      <c r="S2">
        <v>8817</v>
      </c>
      <c r="T2">
        <f>S2*1000</f>
        <v>8817000</v>
      </c>
    </row>
    <row r="3" spans="1:20" x14ac:dyDescent="0.25">
      <c r="A3" t="s">
        <v>15</v>
      </c>
      <c r="B3">
        <f>SUMIFS('Produktion &amp; forbrug'!$AD$4:$AD$147,'Produktion &amp; forbrug'!$C$4:$C$147,$A3,'Produktion &amp; forbrug'!$F$4:$F$147,B$2)</f>
        <v>0.32429999999999998</v>
      </c>
      <c r="C3">
        <f>SUMIFS('Produktion &amp; forbrug'!$AD$4:$AD$147,'Produktion &amp; forbrug'!$C$4:$C$147,$A3,'Produktion &amp; forbrug'!$F$4:$F$147,C$2)</f>
        <v>5.8260327728392416E-2</v>
      </c>
      <c r="D3" s="446">
        <f>SUMIFS($R$2:$R$22,$O$2:$O$22,A3)</f>
        <v>9.7142426071000001E-2</v>
      </c>
      <c r="E3">
        <f>B3-D3</f>
        <v>0.22715757392899999</v>
      </c>
      <c r="J3" s="171" t="s">
        <v>49</v>
      </c>
      <c r="K3" t="s">
        <v>49</v>
      </c>
      <c r="O3" t="s">
        <v>12</v>
      </c>
      <c r="P3" t="s">
        <v>344</v>
      </c>
      <c r="Q3" s="94">
        <v>260376167034</v>
      </c>
      <c r="R3">
        <f t="shared" ref="R3:R22" si="0">Q3/1000000000000</f>
        <v>0.26037616703400002</v>
      </c>
      <c r="S3">
        <v>1358</v>
      </c>
      <c r="T3">
        <f t="shared" ref="T3:T22" si="1">S3*1000</f>
        <v>1358000</v>
      </c>
    </row>
    <row r="4" spans="1:20" x14ac:dyDescent="0.25">
      <c r="A4" t="s">
        <v>49</v>
      </c>
      <c r="B4">
        <f>SUMIFS('Produktion &amp; forbrug'!$AD$4:$AD$147,'Produktion &amp; forbrug'!$C$4:$C$147,$A4,'Produktion &amp; forbrug'!$F$4:$F$147,B$2)</f>
        <v>1.4789708396899257</v>
      </c>
      <c r="C4">
        <f>SUMIFS('Produktion &amp; forbrug'!$AD$4:$AD$147,'Produktion &amp; forbrug'!$C$4:$C$147,$A4,'Produktion &amp; forbrug'!$F$4:$F$147,C$2)</f>
        <v>13.28758609436645</v>
      </c>
      <c r="D4" s="446">
        <f t="shared" ref="D4:D14" si="2">SUMIFS($R$2:$R$22,$O$2:$O$22,A4)</f>
        <v>5.0694444444000002E-2</v>
      </c>
      <c r="E4">
        <f t="shared" ref="E4:E14" si="3">B4-D4</f>
        <v>1.4282763952459256</v>
      </c>
      <c r="J4" t="s">
        <v>96</v>
      </c>
      <c r="K4" t="s">
        <v>341</v>
      </c>
      <c r="O4" t="s">
        <v>52</v>
      </c>
      <c r="P4" t="s">
        <v>345</v>
      </c>
      <c r="Q4" s="94">
        <v>-251146789</v>
      </c>
      <c r="R4">
        <f t="shared" si="0"/>
        <v>-2.5114678899999999E-4</v>
      </c>
      <c r="S4">
        <v>2409</v>
      </c>
      <c r="T4">
        <f t="shared" si="1"/>
        <v>2409000</v>
      </c>
    </row>
    <row r="5" spans="1:20" x14ac:dyDescent="0.25">
      <c r="A5" t="s">
        <v>341</v>
      </c>
      <c r="B5">
        <f>SUMIFS('Produktion &amp; forbrug'!$AD$4:$AD$147,'Produktion &amp; forbrug'!$C$4:$C$147,$A5,'Produktion &amp; forbrug'!$F$4:$F$147,B$2)</f>
        <v>3.654108115551467</v>
      </c>
      <c r="C5">
        <f>SUMIFS('Produktion &amp; forbrug'!$AD$4:$AD$147,'Produktion &amp; forbrug'!$C$4:$C$147,$A5,'Produktion &amp; forbrug'!$F$4:$F$147,C$2)</f>
        <v>9.0757074497335263E-2</v>
      </c>
      <c r="D5" s="446">
        <f t="shared" si="2"/>
        <v>3.6517976461030002</v>
      </c>
      <c r="E5">
        <f t="shared" si="3"/>
        <v>2.3104694484668009E-3</v>
      </c>
      <c r="J5" t="s">
        <v>54</v>
      </c>
      <c r="K5" t="s">
        <v>54</v>
      </c>
      <c r="O5" t="s">
        <v>52</v>
      </c>
      <c r="P5" t="s">
        <v>346</v>
      </c>
      <c r="Q5" s="94">
        <v>1421949701937</v>
      </c>
      <c r="R5">
        <f t="shared" si="0"/>
        <v>1.421949701937</v>
      </c>
      <c r="S5">
        <v>476</v>
      </c>
      <c r="T5">
        <f t="shared" si="1"/>
        <v>476000</v>
      </c>
    </row>
    <row r="6" spans="1:20" x14ac:dyDescent="0.25">
      <c r="A6" t="s">
        <v>54</v>
      </c>
      <c r="B6">
        <f>SUMIFS('Produktion &amp; forbrug'!$AD$4:$AD$147,'Produktion &amp; forbrug'!$C$4:$C$147,$A6,'Produktion &amp; forbrug'!$F$4:$F$147,B$2)</f>
        <v>2.1699053488951431E-2</v>
      </c>
      <c r="C6">
        <f>SUMIFS('Produktion &amp; forbrug'!$AD$4:$AD$147,'Produktion &amp; forbrug'!$C$4:$C$147,$A6,'Produktion &amp; forbrug'!$F$4:$F$147,C$2)</f>
        <v>1.2244478500758904</v>
      </c>
      <c r="D6" s="446">
        <f t="shared" si="2"/>
        <v>1.6267328699000001E-2</v>
      </c>
      <c r="E6">
        <f t="shared" si="3"/>
        <v>5.4317247899514295E-3</v>
      </c>
      <c r="J6" s="171" t="s">
        <v>6</v>
      </c>
      <c r="K6" t="s">
        <v>6</v>
      </c>
      <c r="O6" t="s">
        <v>49</v>
      </c>
      <c r="P6" t="s">
        <v>347</v>
      </c>
      <c r="Q6" s="94">
        <v>50694444444</v>
      </c>
      <c r="R6">
        <f t="shared" si="0"/>
        <v>5.0694444444000002E-2</v>
      </c>
      <c r="S6">
        <v>34</v>
      </c>
      <c r="T6">
        <f t="shared" si="1"/>
        <v>34000</v>
      </c>
    </row>
    <row r="7" spans="1:20" x14ac:dyDescent="0.25">
      <c r="A7" t="s">
        <v>6</v>
      </c>
      <c r="B7">
        <f>SUMIFS('Produktion &amp; forbrug'!$AD$4:$AD$147,'Produktion &amp; forbrug'!$C$4:$C$147,$A7,'Produktion &amp; forbrug'!$F$4:$F$147,B$2)</f>
        <v>0.10932575033613341</v>
      </c>
      <c r="C7">
        <f>SUMIFS('Produktion &amp; forbrug'!$AD$4:$AD$147,'Produktion &amp; forbrug'!$C$4:$C$147,$A7,'Produktion &amp; forbrug'!$F$4:$F$147,C$2)</f>
        <v>1.8312635696829016</v>
      </c>
      <c r="D7" s="446">
        <f t="shared" si="2"/>
        <v>6.6397776303000006E-2</v>
      </c>
      <c r="E7">
        <f t="shared" si="3"/>
        <v>4.2927974033133406E-2</v>
      </c>
      <c r="J7" t="s">
        <v>159</v>
      </c>
      <c r="K7" t="s">
        <v>369</v>
      </c>
      <c r="O7" t="s">
        <v>364</v>
      </c>
      <c r="P7" t="s">
        <v>348</v>
      </c>
      <c r="Q7" s="94">
        <v>0</v>
      </c>
      <c r="R7">
        <f t="shared" si="0"/>
        <v>0</v>
      </c>
      <c r="S7">
        <v>0</v>
      </c>
      <c r="T7">
        <f t="shared" si="1"/>
        <v>0</v>
      </c>
    </row>
    <row r="8" spans="1:20" x14ac:dyDescent="0.25">
      <c r="A8" t="s">
        <v>369</v>
      </c>
      <c r="B8">
        <f>SUMIFS('Produktion &amp; forbrug'!$AD$4:$AD$147,'Produktion &amp; forbrug'!$C$4:$C$147,$A8,'Produktion &amp; forbrug'!$F$4:$F$147,B$2)</f>
        <v>-1.1364356732063328</v>
      </c>
      <c r="C8">
        <f>SUMIFS('Produktion &amp; forbrug'!$AD$4:$AD$147,'Produktion &amp; forbrug'!$C$4:$C$147,$A8,'Produktion &amp; forbrug'!$F$4:$F$147,C$2)</f>
        <v>3.5048370324038451</v>
      </c>
      <c r="D8" s="446">
        <f t="shared" si="2"/>
        <v>-0.729376068376</v>
      </c>
      <c r="E8">
        <f t="shared" si="3"/>
        <v>-0.40705960483033277</v>
      </c>
      <c r="J8" s="171" t="s">
        <v>12</v>
      </c>
      <c r="K8" t="s">
        <v>12</v>
      </c>
      <c r="O8" t="s">
        <v>369</v>
      </c>
      <c r="P8" t="s">
        <v>349</v>
      </c>
      <c r="Q8" s="94">
        <v>-729376068376</v>
      </c>
      <c r="R8">
        <f t="shared" si="0"/>
        <v>-0.729376068376</v>
      </c>
      <c r="S8">
        <v>580</v>
      </c>
      <c r="T8">
        <f t="shared" si="1"/>
        <v>580000</v>
      </c>
    </row>
    <row r="9" spans="1:20" x14ac:dyDescent="0.25">
      <c r="A9" t="s">
        <v>12</v>
      </c>
      <c r="B9">
        <f>SUMIFS('Produktion &amp; forbrug'!$AD$4:$AD$147,'Produktion &amp; forbrug'!$C$4:$C$147,$A9,'Produktion &amp; forbrug'!$F$4:$F$147,B$2)</f>
        <v>1.765277402754017</v>
      </c>
      <c r="C9">
        <f>SUMIFS('Produktion &amp; forbrug'!$AD$4:$AD$147,'Produktion &amp; forbrug'!$C$4:$C$147,$A9,'Produktion &amp; forbrug'!$F$4:$F$147,C$2)</f>
        <v>5.2695137504379271E-3</v>
      </c>
      <c r="D9" s="446">
        <f t="shared" si="2"/>
        <v>0.26037616703400002</v>
      </c>
      <c r="E9">
        <f t="shared" si="3"/>
        <v>1.5049012357200171</v>
      </c>
      <c r="J9" s="171" t="s">
        <v>48</v>
      </c>
      <c r="K9" t="s">
        <v>48</v>
      </c>
      <c r="P9" t="s">
        <v>350</v>
      </c>
      <c r="Q9" s="94">
        <v>-933787106447</v>
      </c>
      <c r="R9">
        <f t="shared" si="0"/>
        <v>-0.93378710644700003</v>
      </c>
      <c r="S9">
        <v>214</v>
      </c>
      <c r="T9">
        <f t="shared" si="1"/>
        <v>214000</v>
      </c>
    </row>
    <row r="10" spans="1:20" x14ac:dyDescent="0.25">
      <c r="A10" t="s">
        <v>48</v>
      </c>
      <c r="B10">
        <f>SUMIFS('Produktion &amp; forbrug'!$AD$4:$AD$147,'Produktion &amp; forbrug'!$C$4:$C$147,$A10,'Produktion &amp; forbrug'!$F$4:$F$147,B$2)</f>
        <v>10.337098879069501</v>
      </c>
      <c r="C10">
        <f>SUMIFS('Produktion &amp; forbrug'!$AD$4:$AD$147,'Produktion &amp; forbrug'!$C$4:$C$147,$A10,'Produktion &amp; forbrug'!$F$4:$F$147,C$2)</f>
        <v>-2.4527543339581124</v>
      </c>
      <c r="D10" s="446">
        <f t="shared" si="2"/>
        <v>5.5838533356869995</v>
      </c>
      <c r="E10">
        <f t="shared" si="3"/>
        <v>4.7532455433825014</v>
      </c>
      <c r="J10" t="s">
        <v>53</v>
      </c>
      <c r="K10" t="s">
        <v>48</v>
      </c>
      <c r="O10" t="s">
        <v>6</v>
      </c>
      <c r="P10" t="s">
        <v>351</v>
      </c>
      <c r="Q10" s="94">
        <v>66397776303</v>
      </c>
      <c r="R10">
        <f t="shared" si="0"/>
        <v>6.6397776303000006E-2</v>
      </c>
      <c r="S10">
        <v>287</v>
      </c>
      <c r="T10">
        <f t="shared" si="1"/>
        <v>287000</v>
      </c>
    </row>
    <row r="11" spans="1:20" x14ac:dyDescent="0.25">
      <c r="A11" t="s">
        <v>116</v>
      </c>
      <c r="B11">
        <f>SUMIFS('Produktion &amp; forbrug'!$AD$4:$AD$147,'Produktion &amp; forbrug'!$C$4:$C$147,$A11,'Produktion &amp; forbrug'!$F$4:$F$147,B$2)</f>
        <v>2.1316857659999999</v>
      </c>
      <c r="C11">
        <f>SUMIFS('Produktion &amp; forbrug'!$AD$4:$AD$147,'Produktion &amp; forbrug'!$C$4:$C$147,$A11,'Produktion &amp; forbrug'!$F$4:$F$147,C$2)</f>
        <v>0.12990425369437966</v>
      </c>
      <c r="D11" s="446">
        <f t="shared" si="2"/>
        <v>3.2659921037490003</v>
      </c>
      <c r="E11">
        <f t="shared" si="3"/>
        <v>-1.1343063377490004</v>
      </c>
      <c r="J11" s="171" t="s">
        <v>116</v>
      </c>
      <c r="K11" t="s">
        <v>116</v>
      </c>
      <c r="O11" t="s">
        <v>54</v>
      </c>
      <c r="P11" t="s">
        <v>352</v>
      </c>
      <c r="Q11" s="94">
        <v>16267328699</v>
      </c>
      <c r="R11">
        <f t="shared" si="0"/>
        <v>1.6267328699000001E-2</v>
      </c>
      <c r="S11">
        <v>67</v>
      </c>
      <c r="T11">
        <f t="shared" si="1"/>
        <v>67000</v>
      </c>
    </row>
    <row r="12" spans="1:20" x14ac:dyDescent="0.25">
      <c r="A12" t="s">
        <v>368</v>
      </c>
      <c r="B12">
        <f>SUMIFS('Produktion &amp; forbrug'!$AD$4:$AD$147,'Produktion &amp; forbrug'!$C$4:$C$147,$A12,'Produktion &amp; forbrug'!$F$4:$F$147,B$2)</f>
        <v>7.6169499999999995E-4</v>
      </c>
      <c r="C12">
        <f>SUMIFS('Produktion &amp; forbrug'!$AD$4:$AD$147,'Produktion &amp; forbrug'!$C$4:$C$147,$A12,'Produktion &amp; forbrug'!$F$4:$F$147,C$2)</f>
        <v>8.8654299999999994E-4</v>
      </c>
      <c r="D12" s="446">
        <f t="shared" si="2"/>
        <v>0.75554379344599998</v>
      </c>
      <c r="E12">
        <f t="shared" si="3"/>
        <v>-0.75478209844599997</v>
      </c>
      <c r="J12" s="171" t="s">
        <v>106</v>
      </c>
      <c r="K12" t="s">
        <v>368</v>
      </c>
      <c r="O12" t="s">
        <v>365</v>
      </c>
      <c r="P12" t="s">
        <v>353</v>
      </c>
      <c r="Q12" s="94">
        <v>0</v>
      </c>
      <c r="R12">
        <f t="shared" si="0"/>
        <v>0</v>
      </c>
      <c r="S12">
        <v>0</v>
      </c>
      <c r="T12">
        <f t="shared" si="1"/>
        <v>0</v>
      </c>
    </row>
    <row r="13" spans="1:20" x14ac:dyDescent="0.25">
      <c r="A13" t="s">
        <v>55</v>
      </c>
      <c r="B13">
        <f>SUMIFS('Produktion &amp; forbrug'!$AD$4:$AD$147,'Produktion &amp; forbrug'!$C$4:$C$147,$A13,'Produktion &amp; forbrug'!$F$4:$F$147,B$2)</f>
        <v>0.78236622704276404</v>
      </c>
      <c r="C13">
        <f>SUMIFS('Produktion &amp; forbrug'!$AD$4:$AD$147,'Produktion &amp; forbrug'!$C$4:$C$147,$A13,'Produktion &amp; forbrug'!$F$4:$F$147,C$2)</f>
        <v>2.0963905854001091E-3</v>
      </c>
      <c r="D13" s="446">
        <f t="shared" si="2"/>
        <v>3.1937500000000001E-2</v>
      </c>
      <c r="E13">
        <f t="shared" si="3"/>
        <v>0.75042872704276409</v>
      </c>
      <c r="J13" s="171" t="s">
        <v>14</v>
      </c>
      <c r="K13" t="s">
        <v>341</v>
      </c>
      <c r="O13" t="s">
        <v>366</v>
      </c>
      <c r="P13" t="s">
        <v>354</v>
      </c>
      <c r="Q13" s="94">
        <v>0</v>
      </c>
      <c r="R13">
        <f t="shared" si="0"/>
        <v>0</v>
      </c>
      <c r="S13">
        <v>0</v>
      </c>
      <c r="T13">
        <f t="shared" si="1"/>
        <v>0</v>
      </c>
    </row>
    <row r="14" spans="1:20" x14ac:dyDescent="0.25">
      <c r="A14" t="s">
        <v>52</v>
      </c>
      <c r="B14">
        <f>SUMIFS('Produktion &amp; forbrug'!$AD$4:$AD$147,'Produktion &amp; forbrug'!$C$4:$C$147,$A14,'Produktion &amp; forbrug'!$F$4:$F$147,B$2)</f>
        <v>0.49133266422523447</v>
      </c>
      <c r="C14">
        <f>SUMIFS('Produktion &amp; forbrug'!$AD$4:$AD$147,'Produktion &amp; forbrug'!$C$4:$C$147,$A14,'Produktion &amp; forbrug'!$F$4:$F$147,C$2)</f>
        <v>-2.3713783578749016E-2</v>
      </c>
      <c r="D14" s="446">
        <f t="shared" si="2"/>
        <v>1.4216985551479999</v>
      </c>
      <c r="E14">
        <f t="shared" si="3"/>
        <v>-0.93036589092276545</v>
      </c>
      <c r="J14" s="171" t="s">
        <v>55</v>
      </c>
      <c r="K14" t="s">
        <v>55</v>
      </c>
      <c r="O14" t="s">
        <v>48</v>
      </c>
      <c r="P14" t="s">
        <v>355</v>
      </c>
      <c r="Q14" s="94">
        <v>352216722540</v>
      </c>
      <c r="R14">
        <f t="shared" si="0"/>
        <v>0.35221672254000003</v>
      </c>
      <c r="S14">
        <v>683</v>
      </c>
      <c r="T14">
        <f t="shared" si="1"/>
        <v>683000</v>
      </c>
    </row>
    <row r="15" spans="1:20" x14ac:dyDescent="0.25">
      <c r="B15">
        <f>SUM(B3:B14)</f>
        <v>19.960490719951661</v>
      </c>
      <c r="C15">
        <f t="shared" ref="C15" si="4">SUM(C3:C14)</f>
        <v>17.658840532248174</v>
      </c>
      <c r="D15">
        <f t="shared" ref="D15" si="5">SUM(D3:D14)</f>
        <v>14.472325008307999</v>
      </c>
      <c r="J15" t="s">
        <v>231</v>
      </c>
      <c r="K15" t="s">
        <v>369</v>
      </c>
      <c r="O15" t="s">
        <v>341</v>
      </c>
      <c r="P15" t="s">
        <v>356</v>
      </c>
      <c r="Q15" s="94">
        <v>3337430939227</v>
      </c>
      <c r="R15">
        <f t="shared" si="0"/>
        <v>3.3374309392270001</v>
      </c>
      <c r="S15">
        <v>1997</v>
      </c>
      <c r="T15">
        <f t="shared" si="1"/>
        <v>1997000</v>
      </c>
    </row>
    <row r="16" spans="1:20" x14ac:dyDescent="0.25">
      <c r="J16" t="s">
        <v>52</v>
      </c>
      <c r="K16" t="s">
        <v>52</v>
      </c>
      <c r="O16" t="s">
        <v>341</v>
      </c>
      <c r="P16" t="s">
        <v>357</v>
      </c>
      <c r="Q16" s="94">
        <v>314366706876</v>
      </c>
      <c r="R16">
        <f t="shared" si="0"/>
        <v>0.31436670687599999</v>
      </c>
      <c r="S16">
        <v>258</v>
      </c>
      <c r="T16">
        <f t="shared" si="1"/>
        <v>258000</v>
      </c>
    </row>
    <row r="17" spans="1:20" x14ac:dyDescent="0.25">
      <c r="B17">
        <v>2019</v>
      </c>
      <c r="C17">
        <v>2050</v>
      </c>
      <c r="D17" t="s">
        <v>367</v>
      </c>
      <c r="E17" t="s">
        <v>373</v>
      </c>
      <c r="J17" s="171" t="s">
        <v>13</v>
      </c>
      <c r="K17" t="s">
        <v>341</v>
      </c>
      <c r="O17" t="s">
        <v>116</v>
      </c>
      <c r="P17" t="s">
        <v>358</v>
      </c>
      <c r="Q17" s="94">
        <v>1421114566929</v>
      </c>
      <c r="R17">
        <f t="shared" si="0"/>
        <v>1.421114566929</v>
      </c>
      <c r="S17">
        <v>533</v>
      </c>
      <c r="T17">
        <f t="shared" si="1"/>
        <v>533000</v>
      </c>
    </row>
    <row r="18" spans="1:20" x14ac:dyDescent="0.25">
      <c r="A18" t="s">
        <v>15</v>
      </c>
      <c r="B18">
        <f>SUMIFS('Produktion &amp; forbrug'!$AC$4:$AC$147,'Produktion &amp; forbrug'!$C$4:$C$147,$A18,'Produktion &amp; forbrug'!$F$4:$F$147,B$2)</f>
        <v>235000</v>
      </c>
      <c r="C18">
        <f>SUMIFS('Produktion &amp; forbrug'!$AC$4:$AC$147,'Produktion &amp; forbrug'!$C$4:$C$147,$A18,'Produktion &amp; forbrug'!$F$4:$F$147,C$2)</f>
        <v>42217.628788690155</v>
      </c>
      <c r="D18" s="446">
        <f>SUMIFS($T$2:$T$22,$O$2:$O$22,A18)</f>
        <v>76000</v>
      </c>
      <c r="E18">
        <f>B18-D18</f>
        <v>159000</v>
      </c>
      <c r="J18" s="171" t="s">
        <v>99</v>
      </c>
      <c r="K18" t="s">
        <v>368</v>
      </c>
      <c r="O18" t="s">
        <v>15</v>
      </c>
      <c r="P18" t="s">
        <v>359</v>
      </c>
      <c r="Q18" s="94">
        <v>97142426071</v>
      </c>
      <c r="R18">
        <f t="shared" si="0"/>
        <v>9.7142426071000001E-2</v>
      </c>
      <c r="S18">
        <v>76</v>
      </c>
      <c r="T18">
        <f t="shared" si="1"/>
        <v>76000</v>
      </c>
    </row>
    <row r="19" spans="1:20" x14ac:dyDescent="0.25">
      <c r="A19" t="s">
        <v>49</v>
      </c>
      <c r="B19">
        <f>SUMIFS('Produktion &amp; forbrug'!$AC$4:$AC$147,'Produktion &amp; forbrug'!$C$4:$C$147,$A19,'Produktion &amp; forbrug'!$F$4:$F$147,B$2)</f>
        <v>212954.76453418657</v>
      </c>
      <c r="C19">
        <f>SUMIFS('Produktion &amp; forbrug'!$AC$4:$AC$147,'Produktion &amp; forbrug'!$C$4:$C$147,$A19,'Produktion &amp; forbrug'!$F$4:$F$147,C$2)</f>
        <v>1913259.3368418214</v>
      </c>
      <c r="D19" s="446">
        <f t="shared" ref="D19:D29" si="6">SUMIFS($T$2:$T$22,$O$2:$O$22,A19)</f>
        <v>34000</v>
      </c>
      <c r="E19">
        <f t="shared" ref="E19:E29" si="7">B19-D19</f>
        <v>178954.76453418657</v>
      </c>
      <c r="O19" t="s">
        <v>116</v>
      </c>
      <c r="P19" t="s">
        <v>360</v>
      </c>
      <c r="Q19" s="94">
        <v>1844877536820</v>
      </c>
      <c r="R19">
        <f t="shared" si="0"/>
        <v>1.8448775368200001</v>
      </c>
      <c r="S19">
        <v>4909</v>
      </c>
      <c r="T19">
        <f t="shared" si="1"/>
        <v>4909000</v>
      </c>
    </row>
    <row r="20" spans="1:20" x14ac:dyDescent="0.25">
      <c r="A20" t="s">
        <v>341</v>
      </c>
      <c r="B20">
        <f>SUMIFS('Produktion &amp; forbrug'!$AC$4:$AC$147,'Produktion &amp; forbrug'!$C$4:$C$147,$A20,'Produktion &amp; forbrug'!$F$4:$F$147,B$2)</f>
        <v>1918344.9215345967</v>
      </c>
      <c r="C20">
        <f>SUMIFS('Produktion &amp; forbrug'!$AC$4:$AC$147,'Produktion &amp; forbrug'!$C$4:$C$147,$A20,'Produktion &amp; forbrug'!$F$4:$F$147,C$2)</f>
        <v>47976.600149072015</v>
      </c>
      <c r="D20" s="446">
        <f t="shared" si="6"/>
        <v>2255000</v>
      </c>
      <c r="E20">
        <f t="shared" si="7"/>
        <v>-336655.07846540329</v>
      </c>
      <c r="O20" t="s">
        <v>368</v>
      </c>
      <c r="P20" t="s">
        <v>361</v>
      </c>
      <c r="Q20" s="94">
        <v>759139852559</v>
      </c>
      <c r="R20">
        <f t="shared" si="0"/>
        <v>0.75913985255899996</v>
      </c>
      <c r="S20">
        <v>868</v>
      </c>
      <c r="T20">
        <f t="shared" si="1"/>
        <v>868000</v>
      </c>
    </row>
    <row r="21" spans="1:20" x14ac:dyDescent="0.25">
      <c r="A21" t="s">
        <v>54</v>
      </c>
      <c r="B21">
        <f>SUMIFS('Produktion &amp; forbrug'!$AC$4:$AC$147,'Produktion &amp; forbrug'!$C$4:$C$147,$A21,'Produktion &amp; forbrug'!$F$4:$F$147,B$2)</f>
        <v>41728.949017214291</v>
      </c>
      <c r="C21">
        <f>SUMIFS('Produktion &amp; forbrug'!$AC$4:$AC$147,'Produktion &amp; forbrug'!$C$4:$C$147,$A21,'Produktion &amp; forbrug'!$F$4:$F$147,C$2)</f>
        <v>2354707.4039920969</v>
      </c>
      <c r="D21" s="446">
        <f t="shared" si="6"/>
        <v>67000</v>
      </c>
      <c r="E21">
        <f t="shared" si="7"/>
        <v>-25271.050982785709</v>
      </c>
      <c r="O21" t="s">
        <v>368</v>
      </c>
      <c r="P21" t="s">
        <v>362</v>
      </c>
      <c r="Q21" s="94">
        <v>-3596059113</v>
      </c>
      <c r="R21">
        <f t="shared" si="0"/>
        <v>-3.596059113E-3</v>
      </c>
      <c r="S21">
        <v>0</v>
      </c>
      <c r="T21">
        <f t="shared" si="1"/>
        <v>0</v>
      </c>
    </row>
    <row r="22" spans="1:20" x14ac:dyDescent="0.25">
      <c r="A22" t="s">
        <v>6</v>
      </c>
      <c r="B22">
        <f>SUMIFS('Produktion &amp; forbrug'!$AC$4:$AC$147,'Produktion &amp; forbrug'!$C$4:$C$147,$A22,'Produktion &amp; forbrug'!$F$4:$F$147,B$2)</f>
        <v>280322.43675931642</v>
      </c>
      <c r="C22">
        <f>SUMIFS('Produktion &amp; forbrug'!$AC$4:$AC$147,'Produktion &amp; forbrug'!$C$4:$C$147,$A22,'Produktion &amp; forbrug'!$F$4:$F$147,C$2)</f>
        <v>4695547.6145715425</v>
      </c>
      <c r="D22" s="446">
        <f t="shared" si="6"/>
        <v>287000</v>
      </c>
      <c r="E22">
        <f t="shared" si="7"/>
        <v>-6677.5632406835794</v>
      </c>
      <c r="O22" t="s">
        <v>55</v>
      </c>
      <c r="P22" t="s">
        <v>363</v>
      </c>
      <c r="Q22" s="94">
        <v>31937500000</v>
      </c>
      <c r="R22">
        <f t="shared" si="0"/>
        <v>3.1937500000000001E-2</v>
      </c>
      <c r="S22">
        <v>0</v>
      </c>
      <c r="T22">
        <f t="shared" si="1"/>
        <v>0</v>
      </c>
    </row>
    <row r="23" spans="1:20" x14ac:dyDescent="0.25">
      <c r="A23" t="s">
        <v>369</v>
      </c>
      <c r="B23">
        <f>SUMIFS('Produktion &amp; forbrug'!$AC$4:$AC$147,'Produktion &amp; forbrug'!$C$4:$C$147,$A23,'Produktion &amp; forbrug'!$F$4:$F$147,B$2)</f>
        <v>-5204010.1923478451</v>
      </c>
      <c r="C23">
        <f>SUMIFS('Produktion &amp; forbrug'!$AC$4:$AC$147,'Produktion &amp; forbrug'!$C$4:$C$147,$A23,'Produktion &amp; forbrug'!$F$4:$F$147,C$2)</f>
        <v>-43529.1082484324</v>
      </c>
      <c r="D23" s="446">
        <f t="shared" si="6"/>
        <v>580000</v>
      </c>
      <c r="E23">
        <f t="shared" si="7"/>
        <v>-5784010.1923478451</v>
      </c>
    </row>
    <row r="24" spans="1:20" x14ac:dyDescent="0.25">
      <c r="A24" t="s">
        <v>12</v>
      </c>
      <c r="B24">
        <f>SUMIFS('Produktion &amp; forbrug'!$AC$4:$AC$147,'Produktion &amp; forbrug'!$C$4:$C$147,$A24,'Produktion &amp; forbrug'!$F$4:$F$147,B$2)</f>
        <v>2263176.157376945</v>
      </c>
      <c r="C24">
        <f>SUMIFS('Produktion &amp; forbrug'!$AC$4:$AC$147,'Produktion &amp; forbrug'!$C$4:$C$147,$A24,'Produktion &amp; forbrug'!$F$4:$F$147,C$2)</f>
        <v>6755.786859535805</v>
      </c>
      <c r="D24" s="446">
        <f t="shared" si="6"/>
        <v>1358000</v>
      </c>
      <c r="E24">
        <f t="shared" si="7"/>
        <v>905176.15737694502</v>
      </c>
    </row>
    <row r="25" spans="1:20" x14ac:dyDescent="0.25">
      <c r="A25" t="s">
        <v>48</v>
      </c>
      <c r="B25">
        <f>SUMIFS('Produktion &amp; forbrug'!$AC$4:$AC$147,'Produktion &amp; forbrug'!$C$4:$C$147,$A25,'Produktion &amp; forbrug'!$F$4:$F$147,B$2)</f>
        <v>3781951.1214967929</v>
      </c>
      <c r="C25">
        <f>SUMIFS('Produktion &amp; forbrug'!$AC$4:$AC$147,'Produktion &amp; forbrug'!$C$4:$C$147,$A25,'Produktion &amp; forbrug'!$F$4:$F$147,C$2)</f>
        <v>-1058227.9897801904</v>
      </c>
      <c r="D25" s="446">
        <f t="shared" si="6"/>
        <v>9500000</v>
      </c>
      <c r="E25">
        <f t="shared" si="7"/>
        <v>-5718048.8785032071</v>
      </c>
    </row>
    <row r="26" spans="1:20" x14ac:dyDescent="0.25">
      <c r="A26" t="s">
        <v>116</v>
      </c>
      <c r="B26">
        <f>SUMIFS('Produktion &amp; forbrug'!$AC$4:$AC$147,'Produktion &amp; forbrug'!$C$4:$C$147,$A26,'Produktion &amp; forbrug'!$F$4:$F$147,B$2)</f>
        <v>3383628.2</v>
      </c>
      <c r="C26">
        <f>SUMIFS('Produktion &amp; forbrug'!$AC$4:$AC$147,'Produktion &amp; forbrug'!$C$4:$C$147,$A26,'Produktion &amp; forbrug'!$F$4:$F$147,C$2)</f>
        <v>206197.22808631693</v>
      </c>
      <c r="D26" s="446">
        <f t="shared" si="6"/>
        <v>5442000</v>
      </c>
      <c r="E26">
        <f t="shared" si="7"/>
        <v>-2058371.7999999998</v>
      </c>
    </row>
    <row r="27" spans="1:20" x14ac:dyDescent="0.25">
      <c r="A27" t="s">
        <v>368</v>
      </c>
      <c r="B27">
        <f>SUMIFS('Produktion &amp; forbrug'!$AC$4:$AC$147,'Produktion &amp; forbrug'!$C$4:$C$147,$A27,'Produktion &amp; forbrug'!$F$4:$F$147,B$2)</f>
        <v>956.59999999999991</v>
      </c>
      <c r="C27">
        <f>SUMIFS('Produktion &amp; forbrug'!$AC$4:$AC$147,'Produktion &amp; forbrug'!$C$4:$C$147,$A27,'Produktion &amp; forbrug'!$F$4:$F$147,C$2)</f>
        <v>1262.5999999999999</v>
      </c>
      <c r="D27" s="446">
        <f t="shared" si="6"/>
        <v>868000</v>
      </c>
      <c r="E27">
        <f t="shared" si="7"/>
        <v>-867043.4</v>
      </c>
    </row>
    <row r="28" spans="1:20" x14ac:dyDescent="0.25">
      <c r="A28" t="s">
        <v>55</v>
      </c>
      <c r="B28">
        <f>SUMIFS('Produktion &amp; forbrug'!$AC$4:$AC$147,'Produktion &amp; forbrug'!$C$4:$C$147,$A28,'Produktion &amp; forbrug'!$F$4:$F$147,B$2)</f>
        <v>2006067.2488276002</v>
      </c>
      <c r="C28">
        <f>SUMIFS('Produktion &amp; forbrug'!$AC$4:$AC$147,'Produktion &amp; forbrug'!$C$4:$C$147,$A28,'Produktion &amp; forbrug'!$F$4:$F$147,C$2)</f>
        <v>5375.3604753848949</v>
      </c>
      <c r="D28" s="446">
        <f t="shared" si="6"/>
        <v>0</v>
      </c>
      <c r="E28">
        <f t="shared" si="7"/>
        <v>2006067.2488276002</v>
      </c>
    </row>
    <row r="29" spans="1:20" x14ac:dyDescent="0.25">
      <c r="A29" t="s">
        <v>52</v>
      </c>
      <c r="B29">
        <f>SUMIFS('Produktion &amp; forbrug'!$AC$4:$AC$147,'Produktion &amp; forbrug'!$C$4:$C$147,$A29,'Produktion &amp; forbrug'!$F$4:$F$147,B$2)</f>
        <v>1637775.5474174484</v>
      </c>
      <c r="C29">
        <f>SUMIFS('Produktion &amp; forbrug'!$AC$4:$AC$147,'Produktion &amp; forbrug'!$C$4:$C$147,$A29,'Produktion &amp; forbrug'!$F$4:$F$147,C$2)</f>
        <v>-79045.945262496723</v>
      </c>
      <c r="D29" s="446">
        <f t="shared" si="6"/>
        <v>2885000</v>
      </c>
      <c r="E29">
        <f t="shared" si="7"/>
        <v>-1247224.4525825516</v>
      </c>
    </row>
    <row r="30" spans="1:20" x14ac:dyDescent="0.25">
      <c r="B30">
        <f>SUM(B18:B29)</f>
        <v>10557895.754616257</v>
      </c>
      <c r="C30">
        <f t="shared" ref="C30:E30" si="8">SUM(C18:C29)</f>
        <v>8092496.5164733408</v>
      </c>
      <c r="D30">
        <f t="shared" si="8"/>
        <v>23352000</v>
      </c>
    </row>
  </sheetData>
  <hyperlinks>
    <hyperlink ref="O1" r:id="rId1" xr:uid="{86ADADE7-AA62-48E5-BE43-B928399DBE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33" t="s">
        <v>23</v>
      </c>
      <c r="B2" s="434"/>
      <c r="C2" s="434"/>
      <c r="D2" s="434"/>
      <c r="E2" s="434"/>
      <c r="F2" s="434"/>
      <c r="G2" s="434"/>
      <c r="H2" s="434"/>
      <c r="I2" s="434"/>
      <c r="J2" s="434"/>
      <c r="K2" s="434"/>
      <c r="L2" s="434"/>
      <c r="M2" s="434"/>
      <c r="N2" s="434"/>
      <c r="O2" s="434"/>
      <c r="P2" s="434"/>
      <c r="Q2" s="434"/>
      <c r="R2" s="434"/>
      <c r="S2" s="434"/>
      <c r="T2" s="434"/>
      <c r="U2" s="435"/>
      <c r="W2" s="31"/>
      <c r="X2" s="28">
        <f>År1</f>
        <v>2019</v>
      </c>
      <c r="Y2" s="24">
        <f>År2</f>
        <v>2030</v>
      </c>
      <c r="Z2" s="29">
        <f>År3</f>
        <v>2050</v>
      </c>
    </row>
    <row r="3" spans="1:26" x14ac:dyDescent="0.25">
      <c r="A3" s="60"/>
      <c r="B3" s="61"/>
      <c r="C3" s="439" t="s">
        <v>7</v>
      </c>
      <c r="D3" s="440"/>
      <c r="E3" s="440"/>
      <c r="F3" s="440"/>
      <c r="G3" s="440"/>
      <c r="H3" s="440"/>
      <c r="I3" s="440"/>
      <c r="J3" s="440"/>
      <c r="K3" s="441"/>
      <c r="L3" s="439" t="s">
        <v>8</v>
      </c>
      <c r="M3" s="440"/>
      <c r="N3" s="440"/>
      <c r="O3" s="440"/>
      <c r="P3" s="440"/>
      <c r="Q3" s="440"/>
      <c r="R3" s="440"/>
      <c r="S3" s="440"/>
      <c r="T3" s="441"/>
      <c r="U3" s="70"/>
      <c r="W3" s="30" t="s">
        <v>272</v>
      </c>
      <c r="X3" s="34">
        <f>C24+C51</f>
        <v>11808068</v>
      </c>
      <c r="Y3" s="11">
        <f>D24+D51</f>
        <v>5860456.5888618324</v>
      </c>
      <c r="Z3" s="22">
        <f>E24+E51</f>
        <v>1169559.3041937244</v>
      </c>
    </row>
    <row r="4" spans="1:26" ht="15.75" thickBot="1" x14ac:dyDescent="0.3">
      <c r="A4" s="60"/>
      <c r="B4" s="62"/>
      <c r="C4" s="153">
        <f>År1</f>
        <v>2019</v>
      </c>
      <c r="D4" s="153">
        <f>År1</f>
        <v>2019</v>
      </c>
      <c r="E4" s="153">
        <f>År1</f>
        <v>2019</v>
      </c>
      <c r="F4" s="154">
        <f>År2</f>
        <v>2030</v>
      </c>
      <c r="G4" s="154">
        <f>År2</f>
        <v>2030</v>
      </c>
      <c r="H4" s="154">
        <f>År2</f>
        <v>2030</v>
      </c>
      <c r="I4" s="154">
        <f>År3</f>
        <v>2050</v>
      </c>
      <c r="J4" s="154">
        <f>År3</f>
        <v>2050</v>
      </c>
      <c r="K4" s="154">
        <f>År3</f>
        <v>2050</v>
      </c>
      <c r="L4" s="153">
        <f>År1</f>
        <v>2019</v>
      </c>
      <c r="M4" s="153">
        <f>År1</f>
        <v>2019</v>
      </c>
      <c r="N4" s="153">
        <f>År1</f>
        <v>2019</v>
      </c>
      <c r="O4" s="154">
        <f>År2</f>
        <v>2030</v>
      </c>
      <c r="P4" s="154">
        <f>År2</f>
        <v>2030</v>
      </c>
      <c r="Q4" s="154">
        <f>År2</f>
        <v>2030</v>
      </c>
      <c r="R4" s="154">
        <f>År3</f>
        <v>2050</v>
      </c>
      <c r="S4" s="154">
        <f>År3</f>
        <v>2050</v>
      </c>
      <c r="T4" s="154">
        <f>År3</f>
        <v>2050</v>
      </c>
      <c r="U4" s="70"/>
      <c r="W4" s="30" t="s">
        <v>273</v>
      </c>
      <c r="X4" s="34">
        <f t="shared" ref="X4:Z5" si="0">C25+C52</f>
        <v>1267084</v>
      </c>
      <c r="Y4" s="11">
        <f t="shared" si="0"/>
        <v>568849.05744466209</v>
      </c>
      <c r="Z4" s="22">
        <f t="shared" si="0"/>
        <v>-10807.957958172134</v>
      </c>
    </row>
    <row r="5" spans="1:26" ht="15.75" thickBot="1" x14ac:dyDescent="0.3">
      <c r="A5" s="60"/>
      <c r="B5" s="39" t="s">
        <v>29</v>
      </c>
      <c r="C5" s="28" t="str">
        <f>Jordbund1</f>
        <v>JB1-10</v>
      </c>
      <c r="D5" s="24" t="str">
        <f>Organ6</f>
        <v>OC6</v>
      </c>
      <c r="E5" s="24" t="str">
        <f>Organ12</f>
        <v>OC12</v>
      </c>
      <c r="F5" s="24" t="str">
        <f>Jordbund1</f>
        <v>JB1-10</v>
      </c>
      <c r="G5" s="24" t="str">
        <f>Organ6</f>
        <v>OC6</v>
      </c>
      <c r="H5" s="24" t="str">
        <f>Organ12</f>
        <v>OC12</v>
      </c>
      <c r="I5" s="24" t="str">
        <f>Jordbund1</f>
        <v>JB1-10</v>
      </c>
      <c r="J5" s="24" t="str">
        <f>Organ6</f>
        <v>OC6</v>
      </c>
      <c r="K5" s="29" t="str">
        <f>Organ12</f>
        <v>OC12</v>
      </c>
      <c r="L5" s="28" t="str">
        <f>Jordbund1</f>
        <v>JB1-10</v>
      </c>
      <c r="M5" s="24" t="str">
        <f>Organ6</f>
        <v>OC6</v>
      </c>
      <c r="N5" s="24" t="str">
        <f>Organ12</f>
        <v>OC12</v>
      </c>
      <c r="O5" s="24" t="str">
        <f>Jordbund1</f>
        <v>JB1-10</v>
      </c>
      <c r="P5" s="24" t="str">
        <f>Organ6</f>
        <v>OC6</v>
      </c>
      <c r="Q5" s="24" t="str">
        <f>Organ12</f>
        <v>OC12</v>
      </c>
      <c r="R5" s="24" t="str">
        <f>Jordbund1</f>
        <v>JB1-10</v>
      </c>
      <c r="S5" s="24" t="str">
        <f>Organ6</f>
        <v>OC6</v>
      </c>
      <c r="T5" s="29" t="str">
        <f>Organ12</f>
        <v>OC12</v>
      </c>
      <c r="U5" s="70"/>
      <c r="W5" s="45" t="s">
        <v>274</v>
      </c>
      <c r="X5" s="47">
        <f t="shared" si="0"/>
        <v>19782594</v>
      </c>
      <c r="Y5" s="15">
        <f t="shared" si="0"/>
        <v>10377919.948376702</v>
      </c>
      <c r="Z5" s="23">
        <f t="shared" si="0"/>
        <v>272840.10660097841</v>
      </c>
    </row>
    <row r="6" spans="1:26" x14ac:dyDescent="0.25">
      <c r="A6" s="60"/>
      <c r="B6" s="40" t="str">
        <f>[1]Afgrødefordeling!C2</f>
        <v>Korn</v>
      </c>
      <c r="C6" s="34">
        <f>VLOOKUP($B6,'[1]Afgrødefordeling - jordtype'!$F$4:$I$17,MATCH(C$5,'[1]Afgrødefordeling - jordtype'!$F$3:$I$3,0),FALSE)*(1-Landbrug!$C$5)*Arealanvendelse!J$26</f>
        <v>856024.05830682674</v>
      </c>
      <c r="D6" s="34">
        <f>VLOOKUP($B6,'[1]Afgrødefordeling - jordtype'!$F$4:$I$17,MATCH(D$5,'[1]Afgrødefordeling - jordtype'!$F$3:$I$3,0),FALSE)*(1-Landbrug!$C$5)*Arealanvendelse!K$26</f>
        <v>22635.91835790575</v>
      </c>
      <c r="E6" s="34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637347.23520128522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16851.178700525419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8266.7568307088786</v>
      </c>
      <c r="I6" s="11">
        <f>IF(Landbrug!$E$47&gt;0,SUMIF(Landbrug!$B$32:$B$45,$B6,IF($I$4=År2,Landbrug!$D$32:$D$45,Landbrug!$E$32:$E$45)),'[1]Afgrødefordeling - jordtype'!$G4)*(1-Landbrug!$E$5)*Arealanvendelse!P$26</f>
        <v>0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1830.4013535168494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4">
        <f>VLOOKUP($B6,'[1]Afgrødefordeling - jordtype'!$F$4:$I$17,MATCH(C$5,'[1]Afgrødefordeling - jordtype'!$F$3:$I$3,0),FALSE)*(Landbrug!$C$5)*Arealanvendelse!J$26</f>
        <v>109452.53235846422</v>
      </c>
      <c r="M6" s="34">
        <f>VLOOKUP($B6,'[1]Afgrødefordeling - jordtype'!$F$4:$I$17,MATCH(D$5,'[1]Afgrødefordeling - jordtype'!$F$3:$I$3,0),FALSE)*(Landbrug!$C$5)*Arealanvendelse!K$26</f>
        <v>2894.2627984460178</v>
      </c>
      <c r="N6" s="34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99671.748639212907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2635.2769023667065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1292.799377456608</v>
      </c>
      <c r="R6" s="11">
        <f>IF(Landbrug!$E$47&gt;0,SUMIF(Landbrug!$B$32:$B$45,$B6,IF($R$4=År2,Landbrug!$D$32:$D$45,Landbrug!$E$32:$E$45)),'[1]Afgrødefordeling - jordtype'!$G4)*(Landbrug!$E$5)*Arealanvendelse!P$26</f>
        <v>0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388.26695377630136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0"/>
      <c r="W6" s="30" t="s">
        <v>275</v>
      </c>
      <c r="X6" s="33">
        <f t="shared" ref="X6:Z8" si="1">F24+F51</f>
        <v>490924</v>
      </c>
      <c r="Y6" s="11">
        <f t="shared" si="1"/>
        <v>2882282.9912483166</v>
      </c>
      <c r="Z6" s="22">
        <f t="shared" si="1"/>
        <v>1107266.7852076024</v>
      </c>
    </row>
    <row r="7" spans="1:26" x14ac:dyDescent="0.25">
      <c r="A7" s="60"/>
      <c r="B7" s="40" t="str">
        <f>[1]Afgrødefordeling!C3</f>
        <v>Bælgsæd</v>
      </c>
      <c r="C7" s="34">
        <f>VLOOKUP($B7,'[1]Afgrødefordeling - jordtype'!$F$4:$I$17,MATCH(C$5,'[1]Afgrødefordeling - jordtype'!$F$3:$I$3,0),FALSE)*(1-Landbrug!$C$5)*Arealanvendelse!J$26</f>
        <v>59143.999319161092</v>
      </c>
      <c r="D7" s="34">
        <f>VLOOKUP($B7,'[1]Afgrødefordeling - jordtype'!$F$4:$I$17,MATCH(D$5,'[1]Afgrødefordeling - jordtype'!$F$3:$I$3,0),FALSE)*(1-Landbrug!$C$5)*Arealanvendelse!K$26</f>
        <v>1940.4460603454415</v>
      </c>
      <c r="E7" s="34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189649.66510867511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1444.5538636691219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475.99342925102297</v>
      </c>
      <c r="I7" s="11">
        <f>IF(Landbrug!$E$47&gt;0,SUMIF(Landbrug!$B$32:$B$45,$B7,IF($I$4=År2,Landbrug!$D$32:$D$45,Landbrug!$E$32:$E$45)),'[1]Afgrødefordeling - jordtype'!$G5)*(1-Landbrug!$E$5)*Arealanvendelse!P$26</f>
        <v>337598.06480333197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156.90969719557435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4">
        <f>VLOOKUP($B7,'[1]Afgrødefordeling - jordtype'!$F$4:$I$17,MATCH(C$5,'[1]Afgrødefordeling - jordtype'!$F$3:$I$3,0),FALSE)*(Landbrug!$C$5)*Arealanvendelse!J$26</f>
        <v>7562.2413137472431</v>
      </c>
      <c r="M7" s="34">
        <f>VLOOKUP($B7,'[1]Afgrødefordeling - jordtype'!$F$4:$I$17,MATCH(D$5,'[1]Afgrødefordeling - jordtype'!$F$3:$I$3,0),FALSE)*(Landbrug!$C$5)*Arealanvendelse!K$26</f>
        <v>248.10837166177816</v>
      </c>
      <c r="N7" s="34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29658.422765814572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225.90701213281457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74.438382743186438</v>
      </c>
      <c r="R7" s="11">
        <f>IF(Landbrug!$E$47&gt;0,SUMIF(Landbrug!$B$32:$B$45,$B7,IF($R$4=År2,Landbrug!$D$32:$D$45,Landbrug!$E$32:$E$45)),'[1]Afgrødefordeling - jordtype'!$G5)*(Landbrug!$E$5)*Arealanvendelse!P$26</f>
        <v>71611.710715858295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33.283875162697591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0"/>
      <c r="W7" s="30" t="s">
        <v>276</v>
      </c>
      <c r="X7" s="33">
        <f t="shared" si="1"/>
        <v>224348</v>
      </c>
      <c r="Y7" s="11">
        <f t="shared" si="1"/>
        <v>477892.82642630563</v>
      </c>
      <c r="Z7" s="22">
        <f t="shared" si="1"/>
        <v>249022.35795817213</v>
      </c>
    </row>
    <row r="8" spans="1:26" ht="15.75" thickBot="1" x14ac:dyDescent="0.3">
      <c r="A8" s="60"/>
      <c r="B8" s="40" t="str">
        <f>[1]Afgrødefordeling!C4</f>
        <v>Raps</v>
      </c>
      <c r="C8" s="34">
        <f>VLOOKUP($B8,'[1]Afgrødefordeling - jordtype'!$F$4:$I$17,MATCH(C$5,'[1]Afgrødefordeling - jordtype'!$F$3:$I$3,0),FALSE)*(1-Landbrug!$C$5)*Arealanvendelse!J$26</f>
        <v>99458.982869280968</v>
      </c>
      <c r="D8" s="34">
        <f>VLOOKUP($B8,'[1]Afgrødefordeling - jordtype'!$F$4:$I$17,MATCH(D$5,'[1]Afgrødefordeling - jordtype'!$F$3:$I$3,0),FALSE)*(1-Landbrug!$C$5)*Arealanvendelse!K$26</f>
        <v>2077.7966510372653</v>
      </c>
      <c r="E8" s="34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101555.35706467889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1546.8037177185506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616.38993680991337</v>
      </c>
      <c r="I8" s="11">
        <f>IF(Landbrug!$E$47&gt;0,SUMIF(Landbrug!$B$32:$B$45,$B8,IF($I$4=År2,Landbrug!$D$32:$D$45,Landbrug!$E$32:$E$45)),'[1]Afgrødefordeling - jordtype'!$G6)*(1-Landbrug!$E$5)*Arealanvendelse!P$26</f>
        <v>202558.83888199917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168.0162360659466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4">
        <f>VLOOKUP($B8,'[1]Afgrødefordeling - jordtype'!$F$4:$I$17,MATCH(C$5,'[1]Afgrødefordeling - jordtype'!$F$3:$I$3,0),FALSE)*(Landbrug!$C$5)*Arealanvendelse!J$26</f>
        <v>12716.97615879156</v>
      </c>
      <c r="M8" s="34">
        <f>VLOOKUP($B8,'[1]Afgrødefordeling - jordtype'!$F$4:$I$17,MATCH(D$5,'[1]Afgrødefordeling - jordtype'!$F$3:$I$3,0),FALSE)*(Landbrug!$C$5)*Arealanvendelse!K$26</f>
        <v>265.67022617540744</v>
      </c>
      <c r="N8" s="34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15881.766583829967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241.89738784691369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96.394334912357877</v>
      </c>
      <c r="R8" s="11">
        <f>IF(Landbrug!$E$47&gt;0,SUMIF(Landbrug!$B$32:$B$45,$B8,IF($R$4=År2,Landbrug!$D$32:$D$45,Landbrug!$E$32:$E$45)),'[1]Afgrødefordeling - jordtype'!$G6)*(Landbrug!$E$5)*Arealanvendelse!P$26</f>
        <v>42967.026429514983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35.63980765035231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0"/>
      <c r="W8" s="45" t="s">
        <v>277</v>
      </c>
      <c r="X8" s="46">
        <f t="shared" si="1"/>
        <v>3277287</v>
      </c>
      <c r="Y8" s="15">
        <f t="shared" si="1"/>
        <v>8152586.7161394255</v>
      </c>
      <c r="Z8" s="23">
        <f t="shared" si="1"/>
        <v>10022440.49339902</v>
      </c>
    </row>
    <row r="9" spans="1:26" x14ac:dyDescent="0.25">
      <c r="A9" s="60"/>
      <c r="B9" s="40" t="str">
        <f>[1]Afgrødefordeling!C5</f>
        <v>Græs</v>
      </c>
      <c r="C9" s="34">
        <f>VLOOKUP($B9,'[1]Afgrødefordeling - jordtype'!$F$4:$I$17,MATCH(C$5,'[1]Afgrødefordeling - jordtype'!$F$3:$I$3,0),FALSE)*(1-Landbrug!$C$5)*Arealanvendelse!J$26</f>
        <v>189636.9989648702</v>
      </c>
      <c r="D9" s="34">
        <f>VLOOKUP($B9,'[1]Afgrødefordeling - jordtype'!$F$4:$I$17,MATCH(D$5,'[1]Afgrødefordeling - jordtype'!$F$3:$I$3,0),FALSE)*(1-Landbrug!$C$5)*Arealanvendelse!K$26</f>
        <v>19174.640913496198</v>
      </c>
      <c r="E9" s="34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139905.49065394065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14274.450695696209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14215.89771790568</v>
      </c>
      <c r="I9" s="11">
        <f>IF(Landbrug!$E$47&gt;0,SUMIF(Landbrug!$B$32:$B$45,$B9,IF($I$4=År2,Landbrug!$D$32:$D$45,Landbrug!$E$32:$E$45)),'[1]Afgrødefordeling - jordtype'!$G7)*(1-Landbrug!$E$5)*Arealanvendelse!P$26</f>
        <v>472637.29072466469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1550.5131325500222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4">
        <f>VLOOKUP($B9,'[1]Afgrødefordeling - jordtype'!$F$4:$I$17,MATCH(C$5,'[1]Afgrødefordeling - jordtype'!$F$3:$I$3,0),FALSE)*(Landbrug!$C$5)*Arealanvendelse!J$26</f>
        <v>24247.273851881382</v>
      </c>
      <c r="M9" s="34">
        <f>VLOOKUP($B9,'[1]Afgrødefordeling - jordtype'!$F$4:$I$17,MATCH(D$5,'[1]Afgrødefordeling - jordtype'!$F$3:$I$3,0),FALSE)*(Landbrug!$C$5)*Arealanvendelse!K$26</f>
        <v>2451.6986230474936</v>
      </c>
      <c r="N9" s="34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21879.164335436981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2232.3144796492898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2223.1576537275891</v>
      </c>
      <c r="R9" s="11">
        <f>IF(Landbrug!$E$47&gt;0,SUMIF(Landbrug!$B$32:$B$45,$B9,IF($R$4=År2,Landbrug!$D$32:$D$45,Landbrug!$E$32:$E$45)),'[1]Afgrødefordeling - jordtype'!$G7)*(Landbrug!$E$5)*Arealanvendelse!P$26</f>
        <v>100256.39500220161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328.89672508636835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0"/>
    </row>
    <row r="10" spans="1:26" x14ac:dyDescent="0.25">
      <c r="A10" s="60"/>
      <c r="B10" s="40" t="str">
        <f>[1]Afgrødefordeling!C6</f>
        <v>Grøntsager</v>
      </c>
      <c r="C10" s="34">
        <f>VLOOKUP($B10,'[1]Afgrødefordeling - jordtype'!$F$4:$I$17,MATCH(C$5,'[1]Afgrødefordeling - jordtype'!$F$3:$I$3,0),FALSE)*(1-Landbrug!$C$5)*Arealanvendelse!J$26</f>
        <v>7338.5205805106789</v>
      </c>
      <c r="D10" s="34">
        <f>VLOOKUP($B10,'[1]Afgrødefordeling - jordtype'!$F$4:$I$17,MATCH(D$5,'[1]Afgrødefordeling - jordtype'!$F$3:$I$3,0),FALSE)*(1-Landbrug!$C$5)*Arealanvendelse!K$26</f>
        <v>89.680516787297492</v>
      </c>
      <c r="E10" s="34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46635.163551313555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66.762142822909354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16.523315723463227</v>
      </c>
      <c r="I10" s="11">
        <f>IF(Landbrug!$E$47&gt;0,SUMIF(Landbrug!$B$32:$B$45,$B10,IF($I$4=År2,Landbrug!$D$32:$D$45,Landbrug!$E$32:$E$45)),'[1]Afgrødefordeling - jordtype'!$G8)*(1-Landbrug!$E$5)*Arealanvendelse!P$26</f>
        <v>135039.22592133281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7.2518082419319594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4">
        <f>VLOOKUP($B10,'[1]Afgrødefordeling - jordtype'!$F$4:$I$17,MATCH(C$5,'[1]Afgrødefordeling - jordtype'!$F$3:$I$3,0),FALSE)*(Landbrug!$C$5)*Arealanvendelse!J$26</f>
        <v>938.31435402683587</v>
      </c>
      <c r="M10" s="34">
        <f>VLOOKUP($B10,'[1]Afgrødefordeling - jordtype'!$F$4:$I$17,MATCH(D$5,'[1]Afgrødefordeling - jordtype'!$F$3:$I$3,0),FALSE)*(Landbrug!$C$5)*Arealanvendelse!K$26</f>
        <v>11.466686678176497</v>
      </c>
      <c r="N10" s="34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7293.0547784789933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10.440618787588701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2.5840039471658796</v>
      </c>
      <c r="R10" s="11">
        <f>IF(Landbrug!$E$47&gt;0,SUMIF(Landbrug!$B$32:$B$45,$B10,IF($R$4=År2,Landbrug!$D$32:$D$45,Landbrug!$E$32:$E$45)),'[1]Afgrødefordeling - jordtype'!$G8)*(Landbrug!$E$5)*Arealanvendelse!P$26</f>
        <v>28644.684286343319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1.5382623543492036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0"/>
    </row>
    <row r="11" spans="1:26" x14ac:dyDescent="0.25">
      <c r="A11" s="60"/>
      <c r="B11" s="40" t="str">
        <f>[1]Afgrødefordeling!C7</f>
        <v>Kartofler</v>
      </c>
      <c r="C11" s="34">
        <f>VLOOKUP($B11,'[1]Afgrødefordeling - jordtype'!$F$4:$I$17,MATCH(C$5,'[1]Afgrødefordeling - jordtype'!$F$3:$I$3,0),FALSE)*(1-Landbrug!$C$5)*Arealanvendelse!J$26</f>
        <v>43716.498839298802</v>
      </c>
      <c r="D11" s="34">
        <f>VLOOKUP($B11,'[1]Afgrødefordeling - jordtype'!$F$4:$I$17,MATCH(D$5,'[1]Afgrødefordeling - jordtype'!$F$3:$I$3,0),FALSE)*(1-Landbrug!$C$5)*Arealanvendelse!K$26</f>
        <v>1415.8229166406438</v>
      </c>
      <c r="E11" s="34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34039.446970381257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1054.0011940040383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874.58394661057821</v>
      </c>
      <c r="I11" s="11">
        <f>IF(Landbrug!$E$47&gt;0,SUMIF(Landbrug!$B$32:$B$45,$B11,IF($I$4=År2,Landbrug!$D$32:$D$45,Landbrug!$E$32:$E$45)),'[1]Afgrødefordeling - jordtype'!$G9)*(1-Landbrug!$E$5)*Arealanvendelse!P$26</f>
        <v>0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114.48725613794682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4">
        <f>VLOOKUP($B11,'[1]Afgrødefordeling - jordtype'!$F$4:$I$17,MATCH(C$5,'[1]Afgrødefordeling - jordtype'!$F$3:$I$3,0),FALSE)*(Landbrug!$C$5)*Arealanvendelse!J$26</f>
        <v>5589.6577407781906</v>
      </c>
      <c r="M11" s="34">
        <f>VLOOKUP($B11,'[1]Afgrødefordeling - jordtype'!$F$4:$I$17,MATCH(D$5,'[1]Afgrødefordeling - jordtype'!$F$3:$I$3,0),FALSE)*(Landbrug!$C$5)*Arealanvendelse!K$26</f>
        <v>181.02926207936162</v>
      </c>
      <c r="N11" s="34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5323.269663479693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164.83030955805884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136.7720866678431</v>
      </c>
      <c r="R11" s="11">
        <f>IF(Landbrug!$E$47&gt;0,SUMIF(Landbrug!$B$32:$B$45,$B11,IF($R$4=År2,Landbrug!$D$32:$D$45,Landbrug!$E$32:$E$45)),'[1]Afgrødefordeling - jordtype'!$G9)*(Landbrug!$E$5)*Arealanvendelse!P$26</f>
        <v>0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24.285175544412962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0"/>
    </row>
    <row r="12" spans="1:26" x14ac:dyDescent="0.25">
      <c r="A12" s="60"/>
      <c r="B12" s="40" t="str">
        <f>[1]Afgrødefordeling!C8</f>
        <v>Roer</v>
      </c>
      <c r="C12" s="34">
        <f>VLOOKUP($B12,'[1]Afgrødefordeling - jordtype'!$F$4:$I$17,MATCH(C$5,'[1]Afgrødefordeling - jordtype'!$F$3:$I$3,0),FALSE)*(1-Landbrug!$C$5)*Arealanvendelse!J$26</f>
        <v>4267.6414750315462</v>
      </c>
      <c r="D12" s="34">
        <f>VLOOKUP($B12,'[1]Afgrødefordeling - jordtype'!$F$4:$I$17,MATCH(D$5,'[1]Afgrødefordeling - jordtype'!$F$3:$I$3,0),FALSE)*(1-Landbrug!$C$5)*Arealanvendelse!K$26</f>
        <v>37.144566460621057</v>
      </c>
      <c r="E12" s="34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20934.388749875463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27.652057994053425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9.4578056299713129</v>
      </c>
      <c r="I12" s="11">
        <f>IF(Landbrug!$E$47&gt;0,SUMIF(Landbrug!$B$32:$B$45,$B12,IF($I$4=År2,Landbrug!$D$32:$D$45,Landbrug!$E$32:$E$45)),'[1]Afgrødefordeling - jordtype'!$G10)*(1-Landbrug!$E$5)*Arealanvendelse!P$26</f>
        <v>0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3.0036097343305523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4">
        <f>VLOOKUP($B12,'[1]Afgrødefordeling - jordtype'!$F$4:$I$17,MATCH(C$5,'[1]Afgrødefordeling - jordtype'!$F$3:$I$3,0),FALSE)*(Landbrug!$C$5)*Arealanvendelse!J$26</f>
        <v>545.66710141783074</v>
      </c>
      <c r="M12" s="34">
        <f>VLOOKUP($B12,'[1]Afgrødefordeling - jordtype'!$F$4:$I$17,MATCH(D$5,'[1]Afgrødefordeling - jordtype'!$F$3:$I$3,0),FALSE)*(Landbrug!$C$5)*Arealanvendelse!K$26</f>
        <v>4.7493605150697995</v>
      </c>
      <c r="N12" s="34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3273.8309953351877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4.3243758213994576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1.479061920040055</v>
      </c>
      <c r="R12" s="11">
        <f>IF(Landbrug!$E$47&gt;0,SUMIF(Landbrug!$B$32:$B$45,$B12,IF($R$4=År2,Landbrug!$D$32:$D$45,Landbrug!$E$32:$E$45)),'[1]Afgrødefordeling - jordtype'!$G10)*(Landbrug!$E$5)*Arealanvendelse!P$26</f>
        <v>0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0.63712933758526868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0"/>
    </row>
    <row r="13" spans="1:26" x14ac:dyDescent="0.25">
      <c r="A13" s="60"/>
      <c r="B13" s="40" t="str">
        <f>[1]Afgrødefordeling!C9</f>
        <v>Majs</v>
      </c>
      <c r="C13" s="34">
        <f>VLOOKUP($B13,'[1]Afgrødefordeling - jordtype'!$F$4:$I$17,MATCH(C$5,'[1]Afgrødefordeling - jordtype'!$F$3:$I$3,0),FALSE)*(1-Landbrug!$C$5)*Arealanvendelse!J$26</f>
        <v>146143.69836902106</v>
      </c>
      <c r="D13" s="34">
        <f>VLOOKUP($B13,'[1]Afgrødefordeling - jordtype'!$F$4:$I$17,MATCH(D$5,'[1]Afgrødefordeling - jordtype'!$F$3:$I$3,0),FALSE)*(1-Landbrug!$C$5)*Arealanvendelse!K$26</f>
        <v>4794.8053396620016</v>
      </c>
      <c r="E13" s="34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87052.305295785307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3569.4651454094223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1176.1707180927949</v>
      </c>
      <c r="I13" s="11">
        <f>IF(Landbrug!$E$47&gt;0,SUMIF(Landbrug!$B$32:$B$45,$B13,IF($I$4=År2,Landbrug!$D$32:$D$45,Landbrug!$E$32:$E$45)),'[1]Afgrødefordeling - jordtype'!$G11)*(1-Landbrug!$E$5)*Arealanvendelse!P$26</f>
        <v>0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387.72087992188403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4">
        <f>VLOOKUP($B13,'[1]Afgrødefordeling - jordtype'!$F$4:$I$17,MATCH(C$5,'[1]Afgrødefordeling - jordtype'!$F$3:$I$3,0),FALSE)*(Landbrug!$C$5)*Arealanvendelse!J$26</f>
        <v>18686.154576496141</v>
      </c>
      <c r="M13" s="34">
        <f>VLOOKUP($B13,'[1]Afgrødefordeling - jordtype'!$F$4:$I$17,MATCH(D$5,'[1]Afgrødefordeling - jordtype'!$F$3:$I$3,0),FALSE)*(Landbrug!$C$5)*Arealanvendelse!K$26</f>
        <v>613.07107142517441</v>
      </c>
      <c r="N13" s="34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13613.702253160789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558.21193393475642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183.93582916151516</v>
      </c>
      <c r="R13" s="11">
        <f>IF(Landbrug!$E$47&gt;0,SUMIF(Landbrug!$B$32:$B$45,$B13,IF($R$4=År2,Landbrug!$D$32:$D$45,Landbrug!$E$32:$E$45)),'[1]Afgrødefordeling - jordtype'!$G11)*(Landbrug!$E$5)*Arealanvendelse!P$26</f>
        <v>0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82.243823013732964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0"/>
    </row>
    <row r="14" spans="1:26" x14ac:dyDescent="0.25">
      <c r="A14" s="60"/>
      <c r="B14" s="40" t="str">
        <f>[1]Afgrødefordeling!C10</f>
        <v>Frugt</v>
      </c>
      <c r="C14" s="34">
        <f>VLOOKUP($B14,'[1]Afgrødefordeling - jordtype'!$F$4:$I$17,MATCH(C$5,'[1]Afgrødefordeling - jordtype'!$F$3:$I$3,0),FALSE)*(1-Landbrug!$C$5)*Arealanvendelse!J$26</f>
        <v>2685.4308255346846</v>
      </c>
      <c r="D14" s="34">
        <f>VLOOKUP($B14,'[1]Afgrødefordeling - jordtype'!$F$4:$I$17,MATCH(D$5,'[1]Afgrødefordeling - jordtype'!$F$3:$I$3,0),FALSE)*(1-Landbrug!$C$5)*Arealanvendelse!K$26</f>
        <v>81.683630839432524</v>
      </c>
      <c r="E14" s="34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3155.9435616144051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60.808907260539151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33.705478633164141</v>
      </c>
      <c r="I14" s="11">
        <f>IF(Landbrug!$E$47&gt;0,SUMIF(Landbrug!$B$32:$B$45,$B14,IF($I$4=År2,Landbrug!$D$32:$D$45,Landbrug!$E$32:$E$45)),'[1]Afgrødefordeling - jordtype'!$G12)*(1-Landbrug!$E$5)*Arealanvendelse!P$26</f>
        <v>188373.71840347553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6.6051584956547265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4">
        <f>VLOOKUP($B14,'[1]Afgrødefordeling - jordtype'!$F$4:$I$17,MATCH(C$5,'[1]Afgrødefordeling - jordtype'!$F$3:$I$3,0),FALSE)*(Landbrug!$C$5)*Arealanvendelse!J$26</f>
        <v>343.36325185722677</v>
      </c>
      <c r="M14" s="34">
        <f>VLOOKUP($B14,'[1]Afgrødefordeling - jordtype'!$F$4:$I$17,MATCH(D$5,'[1]Afgrødefordeling - jordtype'!$F$3:$I$3,0),FALSE)*(Landbrug!$C$5)*Arealanvendelse!K$26</f>
        <v>10.444192731327741</v>
      </c>
      <c r="N14" s="34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493.54323047064037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9.5096201642477052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5.2710419196030802</v>
      </c>
      <c r="R14" s="11">
        <f>IF(Landbrug!$E$47&gt;0,SUMIF(Landbrug!$B$32:$B$45,$B14,IF($R$4=År2,Landbrug!$D$32:$D$45,Landbrug!$E$32:$E$45)),'[1]Afgrødefordeling - jordtype'!$G12)*(Landbrug!$E$5)*Arealanvendelse!P$26</f>
        <v>39958.061479525117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1.4010942263510027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0"/>
    </row>
    <row r="15" spans="1:26" x14ac:dyDescent="0.25">
      <c r="A15" s="60"/>
      <c r="B15" s="40" t="str">
        <f>[1]Afgrødefordeling!C11</f>
        <v>Øvrige</v>
      </c>
      <c r="C15" s="34">
        <f>VLOOKUP($B15,'[1]Afgrødefordeling - jordtype'!$F$4:$I$17,MATCH(C$5,'[1]Afgrødefordeling - jordtype'!$F$3:$I$3,0),FALSE)*(1-Landbrug!$C$5)*Arealanvendelse!J$26</f>
        <v>47494.264779726094</v>
      </c>
      <c r="D15" s="34">
        <f>VLOOKUP($B15,'[1]Afgrødefordeling - jordtype'!$F$4:$I$17,MATCH(D$5,'[1]Afgrødefordeling - jordtype'!$F$3:$I$3,0),FALSE)*(1-Landbrug!$C$5)*Arealanvendelse!K$26</f>
        <v>1444.648640496996</v>
      </c>
      <c r="E15" s="34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43477.4503319453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1075.4603376621412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596.11177153005485</v>
      </c>
      <c r="I15" s="11">
        <f>IF(Landbrug!$E$47&gt;0,SUMIF(Landbrug!$B$32:$B$45,$B15,IF($I$4=År2,Landbrug!$D$32:$D$45,Landbrug!$E$32:$E$45)),'[1]Afgrødefordeling - jordtype'!$G13)*(1-Landbrug!$E$5)*Arealanvendelse!P$26</f>
        <v>0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116.81818184321391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4">
        <f>VLOOKUP($B15,'[1]Afgrødefordeling - jordtype'!$F$4:$I$17,MATCH(C$5,'[1]Afgrødefordeling - jordtype'!$F$3:$I$3,0),FALSE)*(Landbrug!$C$5)*Arealanvendelse!J$26</f>
        <v>6072.6886145309409</v>
      </c>
      <c r="M15" s="34">
        <f>VLOOKUP($B15,'[1]Afgrødefordeling - jordtype'!$F$4:$I$17,MATCH(D$5,'[1]Afgrødefordeling - jordtype'!$F$3:$I$3,0),FALSE)*(Landbrug!$C$5)*Arealanvendelse!K$26</f>
        <v>184.71496278196111</v>
      </c>
      <c r="N15" s="34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6799.2347995216924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168.18620451542492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93.223127631604285</v>
      </c>
      <c r="R15" s="11">
        <f>IF(Landbrug!$E$47&gt;0,SUMIF(Landbrug!$B$32:$B$45,$B15,IF($R$4=År2,Landbrug!$D$32:$D$45,Landbrug!$E$32:$E$45)),'[1]Afgrødefordeling - jordtype'!$G13)*(Landbrug!$E$5)*Arealanvendelse!P$26</f>
        <v>0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24.77961433037871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0"/>
    </row>
    <row r="16" spans="1:26" x14ac:dyDescent="0.25">
      <c r="A16" s="60"/>
      <c r="B16" s="40" t="str">
        <f>[1]Afgrødefordeling!C12</f>
        <v>Frø</v>
      </c>
      <c r="C16" s="34">
        <f>VLOOKUP($B16,'[1]Afgrødefordeling - jordtype'!$F$4:$I$17,MATCH(C$5,'[1]Afgrødefordeling - jordtype'!$F$3:$I$3,0),FALSE)*(1-Landbrug!$C$5)*Arealanvendelse!J$26</f>
        <v>49959.789539022684</v>
      </c>
      <c r="D16" s="34">
        <f>VLOOKUP($B16,'[1]Afgrødefordeling - jordtype'!$F$4:$I$17,MATCH(D$5,'[1]Afgrødefordeling - jordtype'!$F$3:$I$3,0),FALSE)*(1-Landbrug!$C$5)*Arealanvendelse!K$26</f>
        <v>3565.8188704270801</v>
      </c>
      <c r="E16" s="34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62794.725438569862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2654.553265707737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1896.6283551983877</v>
      </c>
      <c r="I16" s="11">
        <f>IF(Landbrug!$E$47&gt;0,SUMIF(Landbrug!$B$32:$B$45,$B16,IF($I$4=År2,Landbrug!$D$32:$D$45,Landbrug!$E$32:$E$45)),'[1]Afgrødefordeling - jordtype'!$G14)*(1-Landbrug!$E$5)*Arealanvendelse!P$26</f>
        <v>0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288.34172237355216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4">
        <f>VLOOKUP($B16,'[1]Afgrødefordeling - jordtype'!$F$4:$I$17,MATCH(C$5,'[1]Afgrødefordeling - jordtype'!$F$3:$I$3,0),FALSE)*(Landbrug!$C$5)*Arealanvendelse!J$26</f>
        <v>6387.934343758774</v>
      </c>
      <c r="M16" s="34">
        <f>VLOOKUP($B16,'[1]Afgrødefordeling - jordtype'!$F$4:$I$17,MATCH(D$5,'[1]Afgrødefordeling - jordtype'!$F$3:$I$3,0),FALSE)*(Landbrug!$C$5)*Arealanvendelse!K$26</f>
        <v>455.9310004345117</v>
      </c>
      <c r="N16" s="34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9820.1729671030407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415.13315071565842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296.60482424723369</v>
      </c>
      <c r="R16" s="11">
        <f>IF(Landbrug!$E$47&gt;0,SUMIF(Landbrug!$B$32:$B$45,$B16,IF($R$4=År2,Landbrug!$D$32:$D$45,Landbrug!$E$32:$E$45)),'[1]Afgrødefordeling - jordtype'!$G14)*(Landbrug!$E$5)*Arealanvendelse!P$26</f>
        <v>0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61.163395654995902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0"/>
    </row>
    <row r="17" spans="1:21" x14ac:dyDescent="0.25">
      <c r="A17" s="60"/>
      <c r="B17" s="41" t="str">
        <f>[1]Afgrødefordeling!C13</f>
        <v>Juletræer</v>
      </c>
      <c r="C17" s="34">
        <f>VLOOKUP($B17,'[1]Afgrødefordeling - jordtype'!$F$4:$I$17,MATCH(C$5,'[1]Afgrødefordeling - jordtype'!$F$3:$I$3,0),FALSE)*(1-Landbrug!$C$5)*Arealanvendelse!J$26</f>
        <v>13468.89657573873</v>
      </c>
      <c r="D17" s="34">
        <f>VLOOKUP($B17,'[1]Afgrødefordeling - jordtype'!$F$4:$I$17,MATCH(D$5,'[1]Afgrødefordeling - jordtype'!$F$3:$I$3,0),FALSE)*(1-Landbrug!$C$5)*Arealanvendelse!K$26</f>
        <v>409.68784794078073</v>
      </c>
      <c r="E17" s="34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11793.931779450841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304.98975247773001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169.05131252281291</v>
      </c>
      <c r="I17" s="11">
        <f>IF(Landbrug!$E$47&gt;0,SUMIF(Landbrug!$B$32:$B$45,$B17,IF($I$4=År2,Landbrug!$D$32:$D$45,Landbrug!$E$32:$E$45)),'[1]Afgrødefordeling - jordtype'!$G15)*(1-Landbrug!$E$5)*Arealanvendelse!P$26</f>
        <v>10245.338260561472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33.128463335719047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4">
        <f>VLOOKUP($B17,'[1]Afgrødefordeling - jordtype'!$F$4:$I$17,MATCH(C$5,'[1]Afgrødefordeling - jordtype'!$F$3:$I$3,0),FALSE)*(Landbrug!$C$5)*Arealanvendelse!J$26</f>
        <v>1722.1535119056764</v>
      </c>
      <c r="M17" s="34">
        <f>VLOOKUP($B17,'[1]Afgrødefordeling - jordtype'!$F$4:$I$17,MATCH(D$5,'[1]Afgrødefordeling - jordtype'!$F$3:$I$3,0),FALSE)*(Landbrug!$C$5)*Arealanvendelse!K$26</f>
        <v>52.383308621374375</v>
      </c>
      <c r="N17" s="34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1844.3977456310754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47.695918751252741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26.437142892102489</v>
      </c>
      <c r="R17" s="11">
        <f>IF(Landbrug!$E$47&gt;0,SUMIF(Landbrug!$B$32:$B$45,$B17,IF($R$4=År2,Landbrug!$D$32:$D$45,Landbrug!$E$32:$E$45)),'[1]Afgrødefordeling - jordtype'!$G15)*(Landbrug!$E$5)*Arealanvendelse!P$26</f>
        <v>2173.2535704221305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7.0272497984858573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0"/>
    </row>
    <row r="18" spans="1:21" x14ac:dyDescent="0.25">
      <c r="A18" s="60"/>
      <c r="B18" s="41" t="str">
        <f>[1]Afgrødefordeling!C14</f>
        <v>Pil &amp; poppel</v>
      </c>
      <c r="C18" s="34">
        <f>VLOOKUP($B18,'[1]Afgrødefordeling - jordtype'!$F$4:$I$17,MATCH(C$5,'[1]Afgrødefordeling - jordtype'!$F$3:$I$3,0),FALSE)*(1-Landbrug!$C$5)*Arealanvendelse!J$26</f>
        <v>4954.292308391774</v>
      </c>
      <c r="D18" s="34">
        <f>VLOOKUP($B18,'[1]Afgrødefordeling - jordtype'!$F$4:$I$17,MATCH(D$5,'[1]Afgrødefordeling - jordtype'!$F$3:$I$3,0),FALSE)*(1-Landbrug!$C$5)*Arealanvendelse!K$26</f>
        <v>672.85851532837171</v>
      </c>
      <c r="E18" s="34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4535.2843920639016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500.90563602022252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399.04965430443821</v>
      </c>
      <c r="I18" s="11">
        <f>IF(Landbrug!$E$47&gt;0,SUMIF(Landbrug!$B$32:$B$45,$B18,IF($I$4=År2,Landbrug!$D$32:$D$45,Landbrug!$E$32:$E$45)),'[1]Afgrødefordeling - jordtype'!$G16)*(1-Landbrug!$E$5)*Arealanvendelse!P$26</f>
        <v>3939.7822179621876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54.409152644440603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4">
        <f>VLOOKUP($B18,'[1]Afgrødefordeling - jordtype'!$F$4:$I$17,MATCH(C$5,'[1]Afgrødefordeling - jordtype'!$F$3:$I$3,0),FALSE)*(Landbrug!$C$5)*Arealanvendelse!J$26</f>
        <v>633.46331675549425</v>
      </c>
      <c r="M18" s="34">
        <f>VLOOKUP($B18,'[1]Afgrødefordeling - jordtype'!$F$4:$I$17,MATCH(D$5,'[1]Afgrødefordeling - jordtype'!$F$3:$I$3,0),FALSE)*(Landbrug!$C$5)*Arealanvendelse!K$26</f>
        <v>86.032708668626768</v>
      </c>
      <c r="N18" s="34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709.25188181035526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78.334286065593687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62.405506200768976</v>
      </c>
      <c r="R18" s="11">
        <f>IF(Landbrug!$E$47&gt;0,SUMIF(Landbrug!$B$32:$B$45,$B18,IF($R$4=År2,Landbrug!$D$32:$D$45,Landbrug!$E$32:$E$45)),'[1]Afgrødefordeling - jordtype'!$G16)*(Landbrug!$E$5)*Arealanvendelse!P$26</f>
        <v>835.7113795677368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11.541335409426795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0"/>
    </row>
    <row r="19" spans="1:21" x14ac:dyDescent="0.25">
      <c r="A19" s="60"/>
      <c r="B19" s="41" t="str">
        <f>[1]Afgrødefordeling!C15</f>
        <v>Permanent græs</v>
      </c>
      <c r="C19" s="34">
        <f>VLOOKUP($B19,'[1]Afgrødefordeling - jordtype'!$F$4:$I$17,MATCH(C$5,'[1]Afgrødefordeling - jordtype'!$F$3:$I$3,0),FALSE)*(1-Landbrug!$C$5)*Arealanvendelse!J$26</f>
        <v>119415.94261463804</v>
      </c>
      <c r="D19" s="34">
        <f>VLOOKUP($B19,'[1]Afgrødefordeling - jordtype'!$F$4:$I$17,MATCH(D$5,'[1]Afgrødefordeling - jordtype'!$F$3:$I$3,0),FALSE)*(1-Landbrug!$C$5)*Arealanvendelse!K$26</f>
        <v>19018.389680733297</v>
      </c>
      <c r="E19" s="34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170995.5996881497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14158.130367806998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14758.95687153021</v>
      </c>
      <c r="I19" s="11">
        <f>IF(Landbrug!$E$47&gt;0,SUMIF(Landbrug!$B$32:$B$45,$B19,IF($I$4=År2,Landbrug!$D$32:$D$45,Landbrug!$E$32:$E$45)),'[1]Afgrødefordeling - jordtype'!$G17)*(1-Landbrug!$E$5)*Arealanvendelse!P$26</f>
        <v>0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1537.8782368318195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4">
        <f>VLOOKUP($B19,'[1]Afgrødefordeling - jordtype'!$F$4:$I$17,MATCH(C$5,'[1]Afgrødefordeling - jordtype'!$F$3:$I$3,0),FALSE)*(Landbrug!$C$5)*Arealanvendelse!J$26</f>
        <v>15268.703252333511</v>
      </c>
      <c r="M19" s="34">
        <f>VLOOKUP($B19,'[1]Afgrødefordeling - jordtype'!$F$4:$I$17,MATCH(D$5,'[1]Afgrødefordeling - jordtype'!$F$3:$I$3,0),FALSE)*(Landbrug!$C$5)*Arealanvendelse!K$26</f>
        <v>2431.7201038177204</v>
      </c>
      <c r="N19" s="34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26741.200854422976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2214.1236884405648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2308.0841309550201</v>
      </c>
      <c r="R19" s="11">
        <f>IF(Landbrug!$E$47&gt;0,SUMIF(Landbrug!$B$32:$B$45,$B19,IF($R$4=År2,Landbrug!$D$32:$D$45,Landbrug!$E$32:$E$45)),'[1]Afgrødefordeling - jordtype'!$G17)*(Landbrug!$E$5)*Arealanvendelse!P$26</f>
        <v>0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326.21659569159806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0"/>
    </row>
    <row r="20" spans="1:21" ht="15.75" thickBot="1" x14ac:dyDescent="0.3">
      <c r="A20" s="60"/>
      <c r="B20" s="42" t="s">
        <v>30</v>
      </c>
      <c r="C20" s="35">
        <f t="shared" ref="C20:T20" si="2">SUM(C6:C19)</f>
        <v>1643709.0153670528</v>
      </c>
      <c r="D20" s="36">
        <f t="shared" si="2"/>
        <v>77359.342508101181</v>
      </c>
      <c r="E20" s="36">
        <f t="shared" si="2"/>
        <v>60217.469135875617</v>
      </c>
      <c r="F20" s="37">
        <f t="shared" si="2"/>
        <v>1553871.9877877294</v>
      </c>
      <c r="G20" s="37">
        <f t="shared" si="2"/>
        <v>57589.715784775086</v>
      </c>
      <c r="H20" s="37">
        <f t="shared" si="2"/>
        <v>43505.277144451371</v>
      </c>
      <c r="I20" s="37">
        <f t="shared" si="2"/>
        <v>1350392.2592133279</v>
      </c>
      <c r="J20" s="37">
        <f t="shared" si="2"/>
        <v>6255.4848888888864</v>
      </c>
      <c r="K20" s="38">
        <f t="shared" si="2"/>
        <v>0</v>
      </c>
      <c r="L20" s="35">
        <f t="shared" si="2"/>
        <v>210167.12374674503</v>
      </c>
      <c r="M20" s="36">
        <f t="shared" si="2"/>
        <v>9891.2826770840002</v>
      </c>
      <c r="N20" s="36">
        <f t="shared" si="2"/>
        <v>7699.4967900503034</v>
      </c>
      <c r="O20" s="37">
        <f t="shared" si="2"/>
        <v>243002.76149370888</v>
      </c>
      <c r="P20" s="37">
        <f t="shared" si="2"/>
        <v>9006.1858887502694</v>
      </c>
      <c r="Q20" s="37">
        <f t="shared" si="2"/>
        <v>6803.5865043826379</v>
      </c>
      <c r="R20" s="37">
        <f t="shared" si="2"/>
        <v>286446.84286343318</v>
      </c>
      <c r="S20" s="37">
        <f t="shared" si="2"/>
        <v>1326.9210370370365</v>
      </c>
      <c r="T20" s="38">
        <f t="shared" si="2"/>
        <v>0</v>
      </c>
      <c r="U20" s="90"/>
    </row>
    <row r="21" spans="1:21" ht="15.75" thickBot="1" x14ac:dyDescent="0.3">
      <c r="A21" s="60"/>
      <c r="B21" s="67"/>
      <c r="C21" s="68"/>
      <c r="D21" s="68"/>
      <c r="E21" s="68"/>
      <c r="F21" s="68"/>
      <c r="G21" s="68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70"/>
    </row>
    <row r="22" spans="1:21" x14ac:dyDescent="0.25">
      <c r="A22" s="60"/>
      <c r="B22" s="44"/>
      <c r="C22" s="439" t="s">
        <v>7</v>
      </c>
      <c r="D22" s="440"/>
      <c r="E22" s="441"/>
      <c r="F22" s="445" t="s">
        <v>8</v>
      </c>
      <c r="G22" s="440"/>
      <c r="H22" s="441"/>
      <c r="I22" s="71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70"/>
    </row>
    <row r="23" spans="1:21" x14ac:dyDescent="0.25">
      <c r="A23" s="60"/>
      <c r="B23" s="31" t="s">
        <v>26</v>
      </c>
      <c r="C23" s="28">
        <f>År1</f>
        <v>2019</v>
      </c>
      <c r="D23" s="24">
        <f>År2</f>
        <v>2030</v>
      </c>
      <c r="E23" s="29">
        <f>År3</f>
        <v>2050</v>
      </c>
      <c r="F23" s="32">
        <f>År1</f>
        <v>2019</v>
      </c>
      <c r="G23" s="24">
        <f>År2</f>
        <v>2030</v>
      </c>
      <c r="H23" s="29">
        <f>År3</f>
        <v>2050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70"/>
    </row>
    <row r="24" spans="1:21" x14ac:dyDescent="0.25">
      <c r="A24" s="60"/>
      <c r="B24" s="30" t="s">
        <v>22</v>
      </c>
      <c r="C24" s="34">
        <f>SUM([1]Dyrehold!$E24:$E26)-F24</f>
        <v>10266966</v>
      </c>
      <c r="D24" s="11">
        <f>($F24+$C24)*Landbrug!D11*(1-Landbrug!D6)</f>
        <v>4451192.319631801</v>
      </c>
      <c r="E24" s="22">
        <f>($F24+$C24)*Landbrug!E11*(1-Landbrug!E6)</f>
        <v>0</v>
      </c>
      <c r="F24" s="33">
        <f>SUM([1]Dyrehold!E58:G61)</f>
        <v>475477</v>
      </c>
      <c r="G24" s="11">
        <f>($F24+$C24)*Landbrug!D11*Landbrug!D6</f>
        <v>2734998.260478348</v>
      </c>
      <c r="H24" s="22">
        <f>($F24+$C24)*Landbrug!E11*Landbrug!E6</f>
        <v>720277.08940132696</v>
      </c>
      <c r="I24" s="72"/>
      <c r="J24" s="68"/>
      <c r="K24" s="68"/>
      <c r="L24" s="89"/>
      <c r="M24" s="68"/>
      <c r="N24" s="68"/>
      <c r="O24" s="68"/>
      <c r="P24" s="68"/>
      <c r="Q24" s="68"/>
      <c r="R24" s="68"/>
      <c r="S24" s="68"/>
      <c r="T24" s="68"/>
      <c r="U24" s="70"/>
    </row>
    <row r="25" spans="1:21" x14ac:dyDescent="0.25">
      <c r="A25" s="60"/>
      <c r="B25" s="30" t="s">
        <v>3</v>
      </c>
      <c r="C25" s="34">
        <f>SUM([1]Dyrehold!$D24:$D26)-F25</f>
        <v>1184629</v>
      </c>
      <c r="D25" s="11">
        <f>($F25+$C25)*Landbrug!D12*(1-Landbrug!D7)</f>
        <v>519487.36510723934</v>
      </c>
      <c r="E25" s="22">
        <f>($F25+$C25)*Landbrug!E12*(1-Landbrug!E7)</f>
        <v>0</v>
      </c>
      <c r="F25" s="33">
        <f>SUM([1]Dyrehold!E36:G51)</f>
        <v>207835</v>
      </c>
      <c r="G25" s="11">
        <f>($F25+$C25)*Landbrug!D12*Landbrug!D7</f>
        <v>428286.51876372844</v>
      </c>
      <c r="H25" s="22">
        <f>($F25+$C25)*Landbrug!E12*Landbrug!E7</f>
        <v>139246.39999999999</v>
      </c>
      <c r="I25" s="72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70"/>
    </row>
    <row r="26" spans="1:21" ht="15.75" thickBot="1" x14ac:dyDescent="0.3">
      <c r="A26" s="60"/>
      <c r="B26" s="45" t="s">
        <v>4</v>
      </c>
      <c r="C26" s="47">
        <f>SUM([1]Dyrehold!$F24:$F26)-F26</f>
        <v>18212034</v>
      </c>
      <c r="D26" s="15">
        <f>($F26+$C26)*Landbrug!D13*(1-Landbrug!D8)</f>
        <v>9267841.2008731291</v>
      </c>
      <c r="E26" s="23">
        <f>($F26+$C26)*Landbrug!E13*(1-Landbrug!E8)</f>
        <v>0</v>
      </c>
      <c r="F26" s="46">
        <f>SUM([1]Dyrehold!E65:G78)</f>
        <v>3062300</v>
      </c>
      <c r="G26" s="15">
        <f>($F26+$C26)*Landbrug!D13*Landbrug!D8</f>
        <v>7477118.4636429986</v>
      </c>
      <c r="H26" s="23">
        <f>($F26+$C26)*Landbrug!E13*Landbrug!E8</f>
        <v>8509733.5999999996</v>
      </c>
      <c r="I26" s="72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70"/>
    </row>
    <row r="27" spans="1:21" ht="15.75" thickBot="1" x14ac:dyDescent="0.3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6"/>
    </row>
    <row r="28" spans="1:21" ht="15.75" thickBot="1" x14ac:dyDescent="0.3">
      <c r="B28" s="6"/>
      <c r="F28" s="83"/>
      <c r="G28" s="83"/>
      <c r="H28" s="83"/>
    </row>
    <row r="29" spans="1:21" ht="21.75" thickBot="1" x14ac:dyDescent="0.4">
      <c r="A29" s="436" t="s">
        <v>24</v>
      </c>
      <c r="B29" s="437"/>
      <c r="C29" s="437"/>
      <c r="D29" s="437"/>
      <c r="E29" s="437"/>
      <c r="F29" s="437"/>
      <c r="G29" s="437"/>
      <c r="H29" s="437"/>
      <c r="I29" s="437"/>
      <c r="J29" s="437"/>
      <c r="K29" s="437"/>
      <c r="L29" s="437"/>
      <c r="M29" s="437"/>
      <c r="N29" s="437"/>
      <c r="O29" s="437"/>
      <c r="P29" s="437"/>
      <c r="Q29" s="437"/>
      <c r="R29" s="437"/>
      <c r="S29" s="437"/>
      <c r="T29" s="437"/>
      <c r="U29" s="438"/>
    </row>
    <row r="30" spans="1:21" x14ac:dyDescent="0.25">
      <c r="A30" s="55"/>
      <c r="B30" s="52"/>
      <c r="C30" s="442" t="s">
        <v>7</v>
      </c>
      <c r="D30" s="443"/>
      <c r="E30" s="443"/>
      <c r="F30" s="443"/>
      <c r="G30" s="443"/>
      <c r="H30" s="443"/>
      <c r="I30" s="443"/>
      <c r="J30" s="443"/>
      <c r="K30" s="444"/>
      <c r="L30" s="442" t="s">
        <v>8</v>
      </c>
      <c r="M30" s="443"/>
      <c r="N30" s="443"/>
      <c r="O30" s="443"/>
      <c r="P30" s="443"/>
      <c r="Q30" s="443"/>
      <c r="R30" s="443"/>
      <c r="S30" s="443"/>
      <c r="T30" s="444"/>
      <c r="U30" s="52"/>
    </row>
    <row r="31" spans="1:21" ht="15.75" thickBot="1" x14ac:dyDescent="0.3">
      <c r="A31" s="55"/>
      <c r="B31" s="54"/>
      <c r="C31" s="153">
        <f>År1</f>
        <v>2019</v>
      </c>
      <c r="D31" s="153">
        <f>År1</f>
        <v>2019</v>
      </c>
      <c r="E31" s="153">
        <f>År1</f>
        <v>2019</v>
      </c>
      <c r="F31" s="154">
        <f>År2</f>
        <v>2030</v>
      </c>
      <c r="G31" s="154">
        <f>År2</f>
        <v>2030</v>
      </c>
      <c r="H31" s="154">
        <f>År2</f>
        <v>2030</v>
      </c>
      <c r="I31" s="154">
        <f>År3</f>
        <v>2050</v>
      </c>
      <c r="J31" s="154">
        <f>År3</f>
        <v>2050</v>
      </c>
      <c r="K31" s="154">
        <f>År3</f>
        <v>2050</v>
      </c>
      <c r="L31" s="153">
        <f>År1</f>
        <v>2019</v>
      </c>
      <c r="M31" s="153">
        <f>År1</f>
        <v>2019</v>
      </c>
      <c r="N31" s="153">
        <f>År1</f>
        <v>2019</v>
      </c>
      <c r="O31" s="154">
        <f>År2</f>
        <v>2030</v>
      </c>
      <c r="P31" s="154">
        <f>År2</f>
        <v>2030</v>
      </c>
      <c r="Q31" s="154">
        <f>År2</f>
        <v>2030</v>
      </c>
      <c r="R31" s="154">
        <f>År3</f>
        <v>2050</v>
      </c>
      <c r="S31" s="154">
        <f>År3</f>
        <v>2050</v>
      </c>
      <c r="T31" s="154">
        <f>År3</f>
        <v>2050</v>
      </c>
      <c r="U31" s="52"/>
    </row>
    <row r="32" spans="1:21" x14ac:dyDescent="0.25">
      <c r="A32" s="55"/>
      <c r="B32" s="59" t="s">
        <v>29</v>
      </c>
      <c r="C32" s="28" t="str">
        <f>Jordbund1</f>
        <v>JB1-10</v>
      </c>
      <c r="D32" s="24" t="str">
        <f>Organ6</f>
        <v>OC6</v>
      </c>
      <c r="E32" s="24" t="str">
        <f>Organ12</f>
        <v>OC12</v>
      </c>
      <c r="F32" s="24" t="str">
        <f>Jordbund1</f>
        <v>JB1-10</v>
      </c>
      <c r="G32" s="24" t="str">
        <f>Organ6</f>
        <v>OC6</v>
      </c>
      <c r="H32" s="24" t="str">
        <f>Organ12</f>
        <v>OC12</v>
      </c>
      <c r="I32" s="24" t="str">
        <f>Jordbund1</f>
        <v>JB1-10</v>
      </c>
      <c r="J32" s="24" t="str">
        <f>Organ6</f>
        <v>OC6</v>
      </c>
      <c r="K32" s="29" t="str">
        <f>Organ12</f>
        <v>OC12</v>
      </c>
      <c r="L32" s="28" t="str">
        <f>Jordbund1</f>
        <v>JB1-10</v>
      </c>
      <c r="M32" s="24" t="str">
        <f>Organ6</f>
        <v>OC6</v>
      </c>
      <c r="N32" s="24" t="str">
        <f>Organ12</f>
        <v>OC12</v>
      </c>
      <c r="O32" s="24" t="str">
        <f>Jordbund1</f>
        <v>JB1-10</v>
      </c>
      <c r="P32" s="24" t="str">
        <f>Organ6</f>
        <v>OC6</v>
      </c>
      <c r="Q32" s="24" t="str">
        <f>Organ12</f>
        <v>OC12</v>
      </c>
      <c r="R32" s="24" t="str">
        <f>Jordbund1</f>
        <v>JB1-10</v>
      </c>
      <c r="S32" s="24" t="str">
        <f>Organ6</f>
        <v>OC6</v>
      </c>
      <c r="T32" s="29" t="str">
        <f>Organ12</f>
        <v>OC12</v>
      </c>
      <c r="U32" s="52"/>
    </row>
    <row r="33" spans="1:21" x14ac:dyDescent="0.25">
      <c r="A33" s="55"/>
      <c r="B33" s="40" t="str">
        <f>[1]Afgrødefordeling!C2</f>
        <v>Korn</v>
      </c>
      <c r="C33" s="34">
        <f>VLOOKUP($B33,'[1]Afgrødefordeling - jordtype'!$O$4:$R$17,MATCH(C$5,'[1]Afgrødefordeling - jordtype'!$O$3:$R$3,0),FALSE)*(1-Landbrug!$C$5)*Arealanvendelse!J$36</f>
        <v>289324.40705334052</v>
      </c>
      <c r="D33" s="34">
        <f>VLOOKUP($B33,'[1]Afgrødefordeling - jordtype'!$O$4:$R$17,MATCH(D$5,'[1]Afgrødefordeling - jordtype'!$O$3:$R$3,0),FALSE)*(1-Landbrug!$C$5)*Arealanvendelse!K$36</f>
        <v>4501.5258539517936</v>
      </c>
      <c r="E33" s="34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190577.22290130702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3357.5605834995149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1796.1549250748035</v>
      </c>
      <c r="I33" s="11">
        <f>IF(Landbrug!$E$47&gt;0,SUMIF(Landbrug!$B$32:$B$45,$B33,IF($I$31=År2,Landbrug!$D$32:$D$45,Landbrug!$E$32:$E$45)),'[1]Afgrødefordeling - jordtype'!$P4)*(1-Landbrug!$E$5)*Arealanvendelse!P$36</f>
        <v>0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364.7034753931315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4">
        <f>VLOOKUP($B33,'[1]Afgrødefordeling - jordtype'!$O$4:$R$17,MATCH(C$5,'[1]Afgrødefordeling - jordtype'!$O$3:$R$3,0),FALSE)*(Landbrug!$C$5)*Arealanvendelse!J$36</f>
        <v>36993.456805099093</v>
      </c>
      <c r="M33" s="34">
        <f>VLOOKUP($B33,'[1]Afgrødefordeling - jordtype'!$O$4:$R$17,MATCH(D$5,'[1]Afgrødefordeling - jordtype'!$O$3:$R$3,0),FALSE)*(Landbrug!$C$5)*Arealanvendelse!K$36</f>
        <v>575.57191227389683</v>
      </c>
      <c r="N33" s="34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29803.479184120606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525.07317210500355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280.89225514973896</v>
      </c>
      <c r="R33" s="11">
        <f>IF(Landbrug!$E$47&gt;0,SUMIF(Landbrug!$B$32:$B$45,$B33,IF($R$31=År2,Landbrug!$D$32:$D$45,Landbrug!$E$32:$E$45)),'[1]Afgrødefordeling - jordtype'!$P4)*(Landbrug!$E$5)*Arealanvendelse!P$36</f>
        <v>0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77.361343265209698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2"/>
    </row>
    <row r="34" spans="1:21" x14ac:dyDescent="0.25">
      <c r="A34" s="55"/>
      <c r="B34" s="40" t="str">
        <f>[1]Afgrødefordeling!C3</f>
        <v>Bælgsæd</v>
      </c>
      <c r="C34" s="34">
        <f>VLOOKUP($B34,'[1]Afgrødefordeling - jordtype'!$O$4:$R$17,MATCH(C$5,'[1]Afgrødefordeling - jordtype'!$O$3:$R$3,0),FALSE)*(1-Landbrug!$C$5)*Arealanvendelse!J$36</f>
        <v>6305.778237432175</v>
      </c>
      <c r="D34" s="34">
        <f>VLOOKUP($B34,'[1]Afgrødefordeling - jordtype'!$O$4:$R$17,MATCH(D$5,'[1]Afgrødefordeling - jordtype'!$O$3:$R$3,0),FALSE)*(1-Landbrug!$C$5)*Arealanvendelse!K$36</f>
        <v>121.72845469783576</v>
      </c>
      <c r="E34" s="34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56708.344375510875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90.793805177184794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32.624096434599416</v>
      </c>
      <c r="I34" s="11">
        <f>IF(Landbrug!$E$47&gt;0,SUMIF(Landbrug!$B$32:$B$45,$B34,IF($I$31=År2,Landbrug!$D$32:$D$45,Landbrug!$E$32:$E$45)),'[1]Afgrødefordeling - jordtype'!$P5)*(1-Landbrug!$E$5)*Arealanvendelse!P$36</f>
        <v>105826.23519666794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9.8621649464842704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4">
        <f>VLOOKUP($B34,'[1]Afgrødefordeling - jordtype'!$O$4:$R$17,MATCH(C$5,'[1]Afgrødefordeling - jordtype'!$O$3:$R$3,0),FALSE)*(Landbrug!$C$5)*Arealanvendelse!J$36</f>
        <v>806.26635417583145</v>
      </c>
      <c r="M34" s="34">
        <f>VLOOKUP($B34,'[1]Afgrødefordeling - jordtype'!$O$4:$R$17,MATCH(D$5,'[1]Afgrødefordeling - jordtype'!$O$3:$R$3,0),FALSE)*(Landbrug!$C$5)*Arealanvendelse!K$36</f>
        <v>15.564384549090725</v>
      </c>
      <c r="N34" s="34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8868.3523425919848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14.198817893608684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5.1019296230003928</v>
      </c>
      <c r="R34" s="11">
        <f>IF(Landbrug!$E$47&gt;0,SUMIF(Landbrug!$B$32:$B$45,$B34,IF($R$31=År2,Landbrug!$D$32:$D$45,Landbrug!$E$32:$E$45)),'[1]Afgrødefordeling - jordtype'!$P5)*(Landbrug!$E$5)*Arealanvendelse!P$36</f>
        <v>22447.989284141684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2.0919743825875723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2"/>
    </row>
    <row r="35" spans="1:21" x14ac:dyDescent="0.25">
      <c r="A35" s="55"/>
      <c r="B35" s="40" t="str">
        <f>[1]Afgrødefordeling!C4</f>
        <v>Raps</v>
      </c>
      <c r="C35" s="34">
        <f>VLOOKUP($B35,'[1]Afgrødefordeling - jordtype'!$O$4:$R$17,MATCH(C$5,'[1]Afgrødefordeling - jordtype'!$O$3:$R$3,0),FALSE)*(1-Landbrug!$C$5)*Arealanvendelse!J$36</f>
        <v>40000.111452135221</v>
      </c>
      <c r="D35" s="34">
        <f>VLOOKUP($B35,'[1]Afgrødefordeling - jordtype'!$O$4:$R$17,MATCH(D$5,'[1]Afgrødefordeling - jordtype'!$O$3:$R$3,0),FALSE)*(1-Landbrug!$C$5)*Arealanvendelse!K$36</f>
        <v>491.68024413286827</v>
      </c>
      <c r="E35" s="34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30366.708838118309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366.73036231407929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159.36107732825297</v>
      </c>
      <c r="I35" s="11">
        <f>IF(Landbrug!$E$47&gt;0,SUMIF(Landbrug!$B$32:$B$45,$B35,IF($I$31=År2,Landbrug!$D$32:$D$45,Landbrug!$E$32:$E$45)),'[1]Afgrødefordeling - jordtype'!$P6)*(1-Landbrug!$E$5)*Arealanvendelse!P$36</f>
        <v>63495.741118000762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39.83482482056197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4">
        <f>VLOOKUP($B35,'[1]Afgrødefordeling - jordtype'!$O$4:$R$17,MATCH(C$5,'[1]Afgrødefordeling - jordtype'!$O$3:$R$3,0),FALSE)*(Landbrug!$C$5)*Arealanvendelse!J$36</f>
        <v>5114.4748217902852</v>
      </c>
      <c r="M35" s="34">
        <f>VLOOKUP($B35,'[1]Afgrødefordeling - jordtype'!$O$4:$R$17,MATCH(D$5,'[1]Afgrødefordeling - jordtype'!$O$3:$R$3,0),FALSE)*(Landbrug!$C$5)*Arealanvendelse!K$36</f>
        <v>62.866980558250944</v>
      </c>
      <c r="N35" s="34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4748.9073508841821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57.351243517032643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24.921732401207365</v>
      </c>
      <c r="R35" s="11">
        <f>IF(Landbrug!$E$47&gt;0,SUMIF(Landbrug!$B$32:$B$45,$B35,IF($R$31=År2,Landbrug!$D$32:$D$45,Landbrug!$E$32:$E$45)),'[1]Afgrødefordeling - jordtype'!$P6)*(Landbrug!$E$5)*Arealanvendelse!P$36</f>
        <v>13468.79357048501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8.4498113255737515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2"/>
    </row>
    <row r="36" spans="1:21" x14ac:dyDescent="0.25">
      <c r="A36" s="55"/>
      <c r="B36" s="40" t="str">
        <f>[1]Afgrødefordeling!C5</f>
        <v>Græs</v>
      </c>
      <c r="C36" s="34">
        <f>VLOOKUP($B36,'[1]Afgrødefordeling - jordtype'!$O$4:$R$17,MATCH(C$5,'[1]Afgrødefordeling - jordtype'!$O$3:$R$3,0),FALSE)*(1-Landbrug!$C$5)*Arealanvendelse!J$36</f>
        <v>24301.063764662133</v>
      </c>
      <c r="D36" s="34">
        <f>VLOOKUP($B36,'[1]Afgrødefordeling - jordtype'!$O$4:$R$17,MATCH(D$5,'[1]Afgrødefordeling - jordtype'!$O$3:$R$3,0),FALSE)*(1-Landbrug!$C$5)*Arealanvendelse!K$36</f>
        <v>1445.7459335058077</v>
      </c>
      <c r="E36" s="34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41834.0245393113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1078.3409265177115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1171.0785614452748</v>
      </c>
      <c r="I36" s="11">
        <f>IF(Landbrug!$E$47&gt;0,SUMIF(Landbrug!$B$32:$B$45,$B36,IF($I$31=År2,Landbrug!$D$32:$D$45,Landbrug!$E$32:$E$45)),'[1]Afgrødefordeling - jordtype'!$P7)*(1-Landbrug!$E$5)*Arealanvendelse!P$36</f>
        <v>148156.72927533509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117.13107590444632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4">
        <f>VLOOKUP($B36,'[1]Afgrødefordeling - jordtype'!$O$4:$R$17,MATCH(C$5,'[1]Afgrødefordeling - jordtype'!$O$3:$R$3,0),FALSE)*(Landbrug!$C$5)*Arealanvendelse!J$36</f>
        <v>3107.1708116565819</v>
      </c>
      <c r="M36" s="34">
        <f>VLOOKUP($B36,'[1]Afgrødefordeling - jordtype'!$O$4:$R$17,MATCH(D$5,'[1]Afgrødefordeling - jordtype'!$O$3:$R$3,0),FALSE)*(Landbrug!$C$5)*Arealanvendelse!K$36</f>
        <v>184.85526432768077</v>
      </c>
      <c r="N36" s="34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6542.2271379776948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168.63668631323898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183.13949063618546</v>
      </c>
      <c r="R36" s="11">
        <f>IF(Landbrug!$E$47&gt;0,SUMIF(Landbrug!$B$32:$B$45,$B36,IF($R$31=År2,Landbrug!$D$32:$D$45,Landbrug!$E$32:$E$45)),'[1]Afgrødefordeling - jordtype'!$P7)*(Landbrug!$E$5)*Arealanvendelse!P$36</f>
        <v>31427.184997798355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24.845985797912856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2"/>
    </row>
    <row r="37" spans="1:21" x14ac:dyDescent="0.25">
      <c r="A37" s="55"/>
      <c r="B37" s="40" t="str">
        <f>[1]Afgrødefordeling!C6</f>
        <v>Grøntsager</v>
      </c>
      <c r="C37" s="34">
        <f>VLOOKUP($B37,'[1]Afgrødefordeling - jordtype'!$O$4:$R$17,MATCH(C$5,'[1]Afgrødefordeling - jordtype'!$O$3:$R$3,0),FALSE)*(1-Landbrug!$C$5)*Arealanvendelse!J$36</f>
        <v>3807.9830483618994</v>
      </c>
      <c r="D37" s="34">
        <f>VLOOKUP($B37,'[1]Afgrødefordeling - jordtype'!$O$4:$R$17,MATCH(D$5,'[1]Afgrødefordeling - jordtype'!$O$3:$R$3,0),FALSE)*(1-Landbrug!$C$5)*Arealanvendelse!K$36</f>
        <v>27.380862281417578</v>
      </c>
      <c r="E37" s="34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13944.674846437101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20.422609337589453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5.5117970826864369</v>
      </c>
      <c r="I37" s="11">
        <f>IF(Landbrug!$E$47&gt;0,SUMIF(Landbrug!$B$32:$B$45,$B37,IF($I$31=År2,Landbrug!$D$32:$D$45,Landbrug!$E$32:$E$45)),'[1]Afgrødefordeling - jordtype'!$P8)*(1-Landbrug!$E$5)*Arealanvendelse!P$36</f>
        <v>42330.49407866718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2.2183357282125327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4">
        <f>VLOOKUP($B37,'[1]Afgrødefordeling - jordtype'!$O$4:$R$17,MATCH(C$5,'[1]Afgrødefordeling - jordtype'!$O$3:$R$3,0),FALSE)*(Landbrug!$C$5)*Arealanvendelse!J$36</f>
        <v>486.89447893054626</v>
      </c>
      <c r="M37" s="34">
        <f>VLOOKUP($B37,'[1]Afgrødefordeling - jordtype'!$O$4:$R$17,MATCH(D$5,'[1]Afgrødefordeling - jordtype'!$O$3:$R$3,0),FALSE)*(Landbrug!$C$5)*Arealanvendelse!K$36</f>
        <v>3.5009585136978965</v>
      </c>
      <c r="N37" s="34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2180.7423793258981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3.1937962103345354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0.86196412729768701</v>
      </c>
      <c r="R37" s="11">
        <f>IF(Landbrug!$E$47&gt;0,SUMIF(Landbrug!$B$32:$B$45,$B37,IF($R$31=År2,Landbrug!$D$32:$D$45,Landbrug!$E$32:$E$45)),'[1]Afgrødefordeling - jordtype'!$P8)*(Landbrug!$E$5)*Arealanvendelse!P$36</f>
        <v>8979.1957136566725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0.47055606356023416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2"/>
    </row>
    <row r="38" spans="1:21" x14ac:dyDescent="0.25">
      <c r="A38" s="55"/>
      <c r="B38" s="40" t="str">
        <f>[1]Afgrødefordeling!C7</f>
        <v>Kartofler</v>
      </c>
      <c r="C38" s="34">
        <f>VLOOKUP($B38,'[1]Afgrødefordeling - jordtype'!$O$4:$R$17,MATCH(C$5,'[1]Afgrødefordeling - jordtype'!$O$3:$R$3,0),FALSE)*(1-Landbrug!$C$5)*Arealanvendelse!J$36</f>
        <v>2442.8304745575424</v>
      </c>
      <c r="D38" s="34">
        <f>VLOOKUP($B38,'[1]Afgrødefordeling - jordtype'!$O$4:$R$17,MATCH(D$5,'[1]Afgrødefordeling - jordtype'!$O$3:$R$3,0),FALSE)*(1-Landbrug!$C$5)*Arealanvendelse!K$36</f>
        <v>46.549971840812717</v>
      </c>
      <c r="E38" s="34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10178.350064800734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34.720305000251777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31.416585856718971</v>
      </c>
      <c r="I38" s="11">
        <f>IF(Landbrug!$E$47&gt;0,SUMIF(Landbrug!$B$32:$B$45,$B38,IF($I$31=År2,Landbrug!$D$32:$D$45,Landbrug!$E$32:$E$45)),'[1]Afgrødefordeling - jordtype'!$P9)*(1-Landbrug!$E$5)*Arealanvendelse!P$36</f>
        <v>0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3.7713737653851549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4">
        <f>VLOOKUP($B38,'[1]Afgrødefordeling - jordtype'!$O$4:$R$17,MATCH(C$5,'[1]Afgrødefordeling - jordtype'!$O$3:$R$3,0),FALSE)*(Landbrug!$C$5)*Arealanvendelse!J$36</f>
        <v>312.34400361551104</v>
      </c>
      <c r="M38" s="34">
        <f>VLOOKUP($B38,'[1]Afgrødefordeling - jordtype'!$O$4:$R$17,MATCH(D$5,'[1]Afgrødefordeling - jordtype'!$O$3:$R$3,0),FALSE)*(Landbrug!$C$5)*Arealanvendelse!K$36</f>
        <v>5.9519498894339895</v>
      </c>
      <c r="N38" s="34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1591.7444890152233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5.429745861483144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4.9130926999694466</v>
      </c>
      <c r="R38" s="11">
        <f>IF(Landbrug!$E$47&gt;0,SUMIF(Landbrug!$B$32:$B$45,$B38,IF($R$31=År2,Landbrug!$D$32:$D$45,Landbrug!$E$32:$E$45)),'[1]Afgrødefordeling - jordtype'!$P9)*(Landbrug!$E$5)*Arealanvendelse!P$36</f>
        <v>0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0.79998837447563886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2"/>
    </row>
    <row r="39" spans="1:21" x14ac:dyDescent="0.25">
      <c r="A39" s="55"/>
      <c r="B39" s="40" t="str">
        <f>[1]Afgrødefordeling!C8</f>
        <v>Roer</v>
      </c>
      <c r="C39" s="34">
        <f>VLOOKUP($B39,'[1]Afgrødefordeling - jordtype'!$O$4:$R$17,MATCH(C$5,'[1]Afgrødefordeling - jordtype'!$O$3:$R$3,0),FALSE)*(1-Landbrug!$C$5)*Arealanvendelse!J$36</f>
        <v>25394.708101233733</v>
      </c>
      <c r="D39" s="34">
        <f>VLOOKUP($B39,'[1]Afgrødefordeling - jordtype'!$O$4:$R$17,MATCH(D$5,'[1]Afgrødefordeling - jordtype'!$O$3:$R$3,0),FALSE)*(1-Landbrug!$C$5)*Arealanvendelse!K$36</f>
        <v>130.05082769586514</v>
      </c>
      <c r="E39" s="34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6259.7238220193121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97.001227381554372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36.178887809125172</v>
      </c>
      <c r="I39" s="11">
        <f>IF(Landbrug!$E$47&gt;0,SUMIF(Landbrug!$B$32:$B$45,$B39,IF($I$31=År2,Landbrug!$D$32:$D$45,Landbrug!$E$32:$E$45)),'[1]Afgrødefordeling - jordtype'!$P10)*(1-Landbrug!$E$5)*Arealanvendelse!P$36</f>
        <v>0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10.536424842878008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4">
        <f>VLOOKUP($B39,'[1]Afgrødefordeling - jordtype'!$O$4:$R$17,MATCH(C$5,'[1]Afgrødefordeling - jordtype'!$O$3:$R$3,0),FALSE)*(Landbrug!$C$5)*Arealanvendelse!J$36</f>
        <v>3247.0058326185153</v>
      </c>
      <c r="M39" s="34">
        <f>VLOOKUP($B39,'[1]Afgrødefordeling - jordtype'!$O$4:$R$17,MATCH(D$5,'[1]Afgrødefordeling - jordtype'!$O$3:$R$3,0),FALSE)*(Landbrug!$C$5)*Arealanvendelse!K$36</f>
        <v>16.628495763053266</v>
      </c>
      <c r="N39" s="34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978.92888660944459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15.169567575226109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5.6578467946418041</v>
      </c>
      <c r="R39" s="11">
        <f>IF(Landbrug!$E$47&gt;0,SUMIF(Landbrug!$B$32:$B$45,$B39,IF($R$31=År2,Landbrug!$D$32:$D$45,Landbrug!$E$32:$E$45)),'[1]Afgrødefordeling - jordtype'!$P10)*(Landbrug!$E$5)*Arealanvendelse!P$36</f>
        <v>0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2.234999209095335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2"/>
    </row>
    <row r="40" spans="1:21" x14ac:dyDescent="0.25">
      <c r="A40" s="55"/>
      <c r="B40" s="40" t="str">
        <f>[1]Afgrødefordeling!C9</f>
        <v>Majs</v>
      </c>
      <c r="C40" s="34">
        <f>VLOOKUP($B40,'[1]Afgrødefordeling - jordtype'!$O$4:$R$17,MATCH(C$5,'[1]Afgrødefordeling - jordtype'!$O$3:$R$3,0),FALSE)*(1-Landbrug!$C$5)*Arealanvendelse!J$36</f>
        <v>7182.5684723440072</v>
      </c>
      <c r="D40" s="34">
        <f>VLOOKUP($B40,'[1]Afgrødefordeling - jordtype'!$O$4:$R$17,MATCH(D$5,'[1]Afgrødefordeling - jordtype'!$O$3:$R$3,0),FALSE)*(1-Landbrug!$C$5)*Arealanvendelse!K$36</f>
        <v>138.65425138323147</v>
      </c>
      <c r="E40" s="34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26030.059713349256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103.41827733151489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37.160330995922486</v>
      </c>
      <c r="I40" s="11">
        <f>IF(Landbrug!$E$47&gt;0,SUMIF(Landbrug!$B$32:$B$45,$B40,IF($I$31=År2,Landbrug!$D$32:$D$45,Landbrug!$E$32:$E$45)),'[1]Afgrødefordeling - jordtype'!$P11)*(1-Landbrug!$E$5)*Arealanvendelse!P$36</f>
        <v>0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11.233454832455337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4">
        <f>VLOOKUP($B40,'[1]Afgrødefordeling - jordtype'!$O$4:$R$17,MATCH(C$5,'[1]Afgrødefordeling - jordtype'!$O$3:$R$3,0),FALSE)*(Landbrug!$C$5)*Arealanvendelse!J$36</f>
        <v>918.37408132089615</v>
      </c>
      <c r="M40" s="34">
        <f>VLOOKUP($B40,'[1]Afgrødefordeling - jordtype'!$O$4:$R$17,MATCH(D$5,'[1]Afgrødefordeling - jordtype'!$O$3:$R$3,0),FALSE)*(Landbrug!$C$5)*Arealanvendelse!K$36</f>
        <v>17.728542543744936</v>
      </c>
      <c r="N40" s="34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4070.7191080750104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16.173099958034264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5.8113300973303872</v>
      </c>
      <c r="R40" s="11">
        <f>IF(Landbrug!$E$47&gt;0,SUMIF(Landbrug!$B$32:$B$45,$B40,IF($R$31=År2,Landbrug!$D$32:$D$45,Landbrug!$E$32:$E$45)),'[1]Afgrødefordeling - jordtype'!$P11)*(Landbrug!$E$5)*Arealanvendelse!P$36</f>
        <v>0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2.3828540553693136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2"/>
    </row>
    <row r="41" spans="1:21" x14ac:dyDescent="0.25">
      <c r="A41" s="55"/>
      <c r="B41" s="40" t="str">
        <f>[1]Afgrødefordeling!C10</f>
        <v>Frugt</v>
      </c>
      <c r="C41" s="34">
        <f>VLOOKUP($B41,'[1]Afgrødefordeling - jordtype'!$O$4:$R$17,MATCH(C$5,'[1]Afgrødefordeling - jordtype'!$O$3:$R$3,0),FALSE)*(1-Landbrug!$C$5)*Arealanvendelse!J$36</f>
        <v>1671.2488811855812</v>
      </c>
      <c r="D41" s="34">
        <f>VLOOKUP($B41,'[1]Afgrødefordeling - jordtype'!$O$4:$R$17,MATCH(D$5,'[1]Afgrødefordeling - jordtype'!$O$3:$R$3,0),FALSE)*(1-Landbrug!$C$5)*Arealanvendelse!K$36</f>
        <v>29.910572274561464</v>
      </c>
      <c r="E41" s="34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943.67862036113604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22.309448342014662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13.484572661869436</v>
      </c>
      <c r="I41" s="11">
        <f>IF(Landbrug!$E$47&gt;0,SUMIF(Landbrug!$B$32:$B$45,$B41,IF($I$31=År2,Landbrug!$D$32:$D$45,Landbrug!$E$32:$E$45)),'[1]Afgrødefordeling - jordtype'!$P12)*(1-Landbrug!$E$5)*Arealanvendelse!P$36</f>
        <v>59049.1578802449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2.4232871282864399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4">
        <f>VLOOKUP($B41,'[1]Afgrødefordeling - jordtype'!$O$4:$R$17,MATCH(C$5,'[1]Afgrødefordeling - jordtype'!$O$3:$R$3,0),FALSE)*(Landbrug!$C$5)*Arealanvendelse!J$36</f>
        <v>213.68841269347433</v>
      </c>
      <c r="M41" s="34">
        <f>VLOOKUP($B41,'[1]Afgrødefordeling - jordtype'!$O$4:$R$17,MATCH(D$5,'[1]Afgrødefordeling - jordtype'!$O$3:$R$3,0),FALSE)*(Landbrug!$C$5)*Arealanvendelse!K$36</f>
        <v>3.8244110641201035</v>
      </c>
      <c r="N41" s="34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147.57747904112145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3.4888701238698125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2.1087891539006742</v>
      </c>
      <c r="R41" s="11">
        <f>IF(Landbrug!$E$47&gt;0,SUMIF(Landbrug!$B$32:$B$45,$B41,IF($R$31=År2,Landbrug!$D$32:$D$45,Landbrug!$E$32:$E$45)),'[1]Afgrødefordeling - jordtype'!$P12)*(Landbrug!$E$5)*Arealanvendelse!P$36</f>
        <v>12525.578944294373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0.51403060296985081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2"/>
    </row>
    <row r="42" spans="1:21" x14ac:dyDescent="0.25">
      <c r="A42" s="55"/>
      <c r="B42" s="40" t="str">
        <f>[1]Afgrødefordeling!C11</f>
        <v>Øvrige</v>
      </c>
      <c r="C42" s="34">
        <f>VLOOKUP($B42,'[1]Afgrødefordeling - jordtype'!$O$4:$R$17,MATCH(C$5,'[1]Afgrødefordeling - jordtype'!$O$3:$R$3,0),FALSE)*(1-Landbrug!$C$5)*Arealanvendelse!J$36</f>
        <v>11933.527586925724</v>
      </c>
      <c r="D42" s="34">
        <f>VLOOKUP($B42,'[1]Afgrødefordeling - jordtype'!$O$4:$R$17,MATCH(D$5,'[1]Afgrødefordeling - jordtype'!$O$3:$R$3,0),FALSE)*(1-Landbrug!$C$5)*Arealanvendelse!K$36</f>
        <v>213.57599301787013</v>
      </c>
      <c r="E42" s="34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13000.467069532109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159.30028150544692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96.286388981255755</v>
      </c>
      <c r="I42" s="11">
        <f>IF(Landbrug!$E$47&gt;0,SUMIF(Landbrug!$B$32:$B$45,$B42,IF($I$31=År2,Landbrug!$D$32:$D$45,Landbrug!$E$32:$E$45)),'[1]Afgrødefordeling - jordtype'!$P13)*(1-Landbrug!$E$5)*Arealanvendelse!P$36</f>
        <v>0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17.303445418574402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4">
        <f>VLOOKUP($B42,'[1]Afgrødefordeling - jordtype'!$O$4:$R$17,MATCH(C$5,'[1]Afgrødefordeling - jordtype'!$O$3:$R$3,0),FALSE)*(Landbrug!$C$5)*Arealanvendelse!J$36</f>
        <v>1525.8389080116776</v>
      </c>
      <c r="M42" s="34">
        <f>VLOOKUP($B42,'[1]Afgrødefordeling - jordtype'!$O$4:$R$17,MATCH(D$5,'[1]Afgrødefordeling - jordtype'!$O$3:$R$3,0),FALSE)*(Landbrug!$C$5)*Arealanvendelse!K$36</f>
        <v>27.308149881928532</v>
      </c>
      <c r="N42" s="34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2033.0821479715682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24.912224827259667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15.057777346262895</v>
      </c>
      <c r="R42" s="11">
        <f>IF(Landbrug!$E$47&gt;0,SUMIF(Landbrug!$B$32:$B$45,$B42,IF($R$31=År2,Landbrug!$D$32:$D$45,Landbrug!$E$32:$E$45)),'[1]Afgrødefordeling - jordtype'!$P13)*(Landbrug!$E$5)*Arealanvendelse!P$36</f>
        <v>0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3.6704278160612374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2"/>
    </row>
    <row r="43" spans="1:21" x14ac:dyDescent="0.25">
      <c r="A43" s="55"/>
      <c r="B43" s="40" t="str">
        <f>[1]Afgrødefordeling!C12</f>
        <v>Frø</v>
      </c>
      <c r="C43" s="34">
        <f>VLOOKUP($B43,'[1]Afgrødefordeling - jordtype'!$O$4:$R$17,MATCH(C$5,'[1]Afgrødefordeling - jordtype'!$O$3:$R$3,0),FALSE)*(1-Landbrug!$C$5)*Arealanvendelse!J$36</f>
        <v>36921.98237863728</v>
      </c>
      <c r="D43" s="34">
        <f>VLOOKUP($B43,'[1]Afgrødefordeling - jordtype'!$O$4:$R$17,MATCH(D$5,'[1]Afgrødefordeling - jordtype'!$O$3:$R$3,0),FALSE)*(1-Landbrug!$C$5)*Arealanvendelse!K$36</f>
        <v>1550.5515811624623</v>
      </c>
      <c r="E43" s="34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18776.64752582357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1156.5124894314743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901.06512085105521</v>
      </c>
      <c r="I43" s="11">
        <f>IF(Landbrug!$E$47&gt;0,SUMIF(Landbrug!$B$32:$B$45,$B43,IF($I$31=År2,Landbrug!$D$32:$D$45,Landbrug!$E$32:$E$45)),'[1]Afgrødefordeling - jordtype'!$P14)*(1-Landbrug!$E$5)*Arealanvendelse!P$36</f>
        <v>0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125.62219317919325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4">
        <f>VLOOKUP($B43,'[1]Afgrødefordeling - jordtype'!$O$4:$R$17,MATCH(C$5,'[1]Afgrødefordeling - jordtype'!$O$3:$R$3,0),FALSE)*(Landbrug!$C$5)*Arealanvendelse!J$36</f>
        <v>4720.9005772918872</v>
      </c>
      <c r="M43" s="34">
        <f>VLOOKUP($B43,'[1]Afgrødefordeling - jordtype'!$O$4:$R$17,MATCH(D$5,'[1]Afgrødefordeling - jordtype'!$O$3:$R$3,0),FALSE)*(Landbrug!$C$5)*Arealanvendelse!K$36</f>
        <v>198.25587314255372</v>
      </c>
      <c r="N43" s="34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2936.3919526377699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180.86157086461591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140.91335346369644</v>
      </c>
      <c r="R43" s="11">
        <f>IF(Landbrug!$E$47&gt;0,SUMIF(Landbrug!$B$32:$B$45,$B43,IF($R$31=År2,Landbrug!$D$32:$D$45,Landbrug!$E$32:$E$45)),'[1]Afgrødefordeling - jordtype'!$P14)*(Landbrug!$E$5)*Arealanvendelse!P$36</f>
        <v>0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26.647131886495536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2"/>
    </row>
    <row r="44" spans="1:21" x14ac:dyDescent="0.25">
      <c r="A44" s="55"/>
      <c r="B44" s="41" t="str">
        <f>[1]Afgrødefordeling!C13</f>
        <v>Juletræer</v>
      </c>
      <c r="C44" s="34">
        <f>VLOOKUP($B44,'[1]Afgrødefordeling - jordtype'!$O$4:$R$17,MATCH(C$5,'[1]Afgrødefordeling - jordtype'!$O$3:$R$3,0),FALSE)*(1-Landbrug!$C$5)*Arealanvendelse!J$36</f>
        <v>2618.8374863482281</v>
      </c>
      <c r="D44" s="34">
        <f>VLOOKUP($B44,'[1]Afgrødefordeling - jordtype'!$O$4:$R$17,MATCH(D$5,'[1]Afgrødefordeling - jordtype'!$O$3:$R$3,0),FALSE)*(1-Landbrug!$C$5)*Arealanvendelse!K$36</f>
        <v>46.869696544048971</v>
      </c>
      <c r="E44" s="34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3526.5780432943488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34.958778596980039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21.130248625350497</v>
      </c>
      <c r="I44" s="11">
        <f>IF(Landbrug!$E$47&gt;0,SUMIF(Landbrug!$B$32:$B$45,$B44,IF($I$31=År2,Landbrug!$D$32:$D$45,Landbrug!$E$32:$E$45)),'[1]Afgrødefordeling - jordtype'!$P15)*(1-Landbrug!$E$5)*Arealanvendelse!P$36</f>
        <v>3211.5870600834623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3.7972771399791134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4">
        <f>VLOOKUP($B44,'[1]Afgrødefordeling - jordtype'!$O$4:$R$17,MATCH(C$5,'[1]Afgrødefordeling - jordtype'!$O$3:$R$3,0),FALSE)*(Landbrug!$C$5)*Arealanvendelse!J$36</f>
        <v>334.84852666763254</v>
      </c>
      <c r="M44" s="34">
        <f>VLOOKUP($B44,'[1]Afgrødefordeling - jordtype'!$O$4:$R$17,MATCH(D$5,'[1]Afgrødefordeling - jordtype'!$O$3:$R$3,0),FALSE)*(Landbrug!$C$5)*Arealanvendelse!K$36</f>
        <v>5.9928303741437112</v>
      </c>
      <c r="N44" s="34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551.50502092755107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5.467039630212966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3.3044606038102131</v>
      </c>
      <c r="R44" s="11">
        <f>IF(Landbrug!$E$47&gt;0,SUMIF(Landbrug!$B$32:$B$45,$B44,IF($R$31=År2,Landbrug!$D$32:$D$45,Landbrug!$E$32:$E$45)),'[1]Afgrødefordeling - jordtype'!$P15)*(Landbrug!$E$5)*Arealanvendelse!P$36</f>
        <v>681.24574001770407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0.80548302969253915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2"/>
    </row>
    <row r="45" spans="1:21" x14ac:dyDescent="0.25">
      <c r="A45" s="55"/>
      <c r="B45" s="41" t="str">
        <f>[1]Afgrødefordeling!C14</f>
        <v>Pil &amp; poppel</v>
      </c>
      <c r="C45" s="34">
        <f>VLOOKUP($B45,'[1]Afgrødefordeling - jordtype'!$O$4:$R$17,MATCH(C$5,'[1]Afgrødefordeling - jordtype'!$O$3:$R$3,0),FALSE)*(1-Landbrug!$C$5)*Arealanvendelse!J$36</f>
        <v>1244.8278589023382</v>
      </c>
      <c r="D45" s="34">
        <f>VLOOKUP($B45,'[1]Afgrødefordeling - jordtype'!$O$4:$R$17,MATCH(D$5,'[1]Afgrødefordeling - jordtype'!$O$3:$R$3,0),FALSE)*(1-Landbrug!$C$5)*Arealanvendelse!K$36</f>
        <v>99.475001424808809</v>
      </c>
      <c r="E45" s="34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1356.1240353293651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74.1955849335599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64.456117245548413</v>
      </c>
      <c r="I45" s="11">
        <f>IF(Landbrug!$E$47&gt;0,SUMIF(Landbrug!$B$32:$B$45,$B45,IF($I$31=År2,Landbrug!$D$32:$D$45,Landbrug!$E$32:$E$45)),'[1]Afgrødefordeling - jordtype'!$P16)*(1-Landbrug!$E$5)*Arealanvendelse!P$36</f>
        <v>1234.9961776724069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8.0592403356999522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4">
        <f>VLOOKUP($B45,'[1]Afgrødefordeling - jordtype'!$O$4:$R$17,MATCH(C$5,'[1]Afgrødefordeling - jordtype'!$O$3:$R$3,0),FALSE)*(Landbrug!$C$5)*Arealanvendelse!J$36</f>
        <v>159.16557506189815</v>
      </c>
      <c r="M45" s="34">
        <f>VLOOKUP($B45,'[1]Afgrødefordeling - jordtype'!$O$4:$R$17,MATCH(D$5,'[1]Afgrødefordeling - jordtype'!$O$3:$R$3,0),FALSE)*(Landbrug!$C$5)*Arealanvendelse!K$36</f>
        <v>12.71902431555799</v>
      </c>
      <c r="N45" s="34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212.07788550342642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11.603099979403883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10.079990249473639</v>
      </c>
      <c r="R45" s="11">
        <f>IF(Landbrug!$E$47&gt;0,SUMIF(Landbrug!$B$32:$B$45,$B45,IF($R$31=År2,Landbrug!$D$32:$D$45,Landbrug!$E$32:$E$45)),'[1]Afgrødefordeling - jordtype'!$P16)*(Landbrug!$E$5)*Arealanvendelse!P$36</f>
        <v>261.96888617293479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1.7095358287848383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2"/>
    </row>
    <row r="46" spans="1:21" x14ac:dyDescent="0.25">
      <c r="A46" s="55"/>
      <c r="B46" s="41" t="str">
        <f>[1]Afgrødefordeling!C15</f>
        <v>Permanent græs</v>
      </c>
      <c r="C46" s="34">
        <f>VLOOKUP($B46,'[1]Afgrødefordeling - jordtype'!$O$4:$R$17,MATCH(C$5,'[1]Afgrødefordeling - jordtype'!$O$3:$R$3,0),FALSE)*(1-Landbrug!$C$5)*Arealanvendelse!J$36</f>
        <v>31005.186770121774</v>
      </c>
      <c r="D46" s="34">
        <f>VLOOKUP($B46,'[1]Afgrødefordeling - jordtype'!$O$4:$R$17,MATCH(D$5,'[1]Afgrødefordeling - jordtype'!$O$3:$R$3,0),FALSE)*(1-Landbrug!$C$5)*Arealanvendelse!K$36</f>
        <v>2905.4159151668305</v>
      </c>
      <c r="E46" s="34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51130.474436936034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2150.2962504007219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2241.5480572801857</v>
      </c>
      <c r="I46" s="11">
        <f>IF(Landbrug!$E$47&gt;0,SUMIF(Landbrug!$B$32:$B$45,$B46,IF($I$31=År2,Landbrug!$D$32:$D$45,Landbrug!$E$32:$E$45)),'[1]Afgrødefordeling - jordtype'!$P17)*(1-Landbrug!$E$5)*Arealanvendelse!P$36</f>
        <v>0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233.56853767582237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4">
        <f>VLOOKUP($B46,'[1]Afgrødefordeling - jordtype'!$O$4:$R$17,MATCH(C$5,'[1]Afgrødefordeling - jordtype'!$O$3:$R$3,0),FALSE)*(Landbrug!$C$5)*Arealanvendelse!J$36</f>
        <v>3964.3701310794295</v>
      </c>
      <c r="M46" s="34">
        <f>VLOOKUP($B46,'[1]Afgrødefordeling - jordtype'!$O$4:$R$17,MATCH(D$5,'[1]Afgrødefordeling - jordtype'!$O$3:$R$3,0),FALSE)*(Landbrug!$C$5)*Arealanvendelse!K$36</f>
        <v>371.49087853744766</v>
      </c>
      <c r="N46" s="34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7996.0553908616266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336.27475814199715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350.54520077644509</v>
      </c>
      <c r="R46" s="11">
        <f>IF(Landbrug!$E$47&gt;0,SUMIF(Landbrug!$B$32:$B$45,$B46,IF($R$31=År2,Landbrug!$D$32:$D$45,Landbrug!$E$32:$E$45)),'[1]Afgrødefordeling - jordtype'!$P17)*(Landbrug!$E$5)*Arealanvendelse!P$36</f>
        <v>0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49.544841325174438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2"/>
    </row>
    <row r="47" spans="1:21" ht="15.75" thickBot="1" x14ac:dyDescent="0.3">
      <c r="A47" s="55"/>
      <c r="B47" s="43" t="s">
        <v>30</v>
      </c>
      <c r="C47" s="35">
        <f t="shared" ref="C47:T47" si="3">SUM(C33:C46)</f>
        <v>484155.06156618823</v>
      </c>
      <c r="D47" s="36">
        <f t="shared" si="3"/>
        <v>11749.115159080215</v>
      </c>
      <c r="E47" s="36">
        <f t="shared" si="3"/>
        <v>9145.6565752439074</v>
      </c>
      <c r="F47" s="37">
        <f t="shared" si="3"/>
        <v>464633.07883213053</v>
      </c>
      <c r="G47" s="37">
        <f t="shared" si="3"/>
        <v>8746.5609297695992</v>
      </c>
      <c r="H47" s="37">
        <f t="shared" si="3"/>
        <v>6607.4567676726492</v>
      </c>
      <c r="I47" s="37">
        <f t="shared" si="3"/>
        <v>423304.94078667177</v>
      </c>
      <c r="J47" s="37">
        <f t="shared" si="3"/>
        <v>950.06511111111058</v>
      </c>
      <c r="K47" s="38">
        <f t="shared" si="3"/>
        <v>0</v>
      </c>
      <c r="L47" s="35">
        <f t="shared" si="3"/>
        <v>61904.799320013248</v>
      </c>
      <c r="M47" s="36">
        <f t="shared" si="3"/>
        <v>1502.2596557346014</v>
      </c>
      <c r="N47" s="36">
        <f t="shared" si="3"/>
        <v>1169.3774988301655</v>
      </c>
      <c r="O47" s="37">
        <f t="shared" si="3"/>
        <v>72661.790755543116</v>
      </c>
      <c r="P47" s="37">
        <f t="shared" si="3"/>
        <v>1367.8336930013215</v>
      </c>
      <c r="Q47" s="37">
        <f t="shared" si="3"/>
        <v>1033.3092131229605</v>
      </c>
      <c r="R47" s="37">
        <f t="shared" si="3"/>
        <v>89791.957136566751</v>
      </c>
      <c r="S47" s="37">
        <f t="shared" si="3"/>
        <v>201.52896296296285</v>
      </c>
      <c r="T47" s="38">
        <f t="shared" si="3"/>
        <v>0</v>
      </c>
      <c r="U47" s="52"/>
    </row>
    <row r="48" spans="1:21" ht="15.75" thickBot="1" x14ac:dyDescent="0.3">
      <c r="A48" s="55"/>
      <c r="B48" s="58"/>
      <c r="C48" s="51"/>
      <c r="D48" s="51"/>
      <c r="E48" s="51"/>
      <c r="F48" s="51"/>
      <c r="G48" s="51"/>
      <c r="H48" s="51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2"/>
    </row>
    <row r="49" spans="1:21" x14ac:dyDescent="0.25">
      <c r="A49" s="55"/>
      <c r="B49" s="48"/>
      <c r="C49" s="439" t="s">
        <v>7</v>
      </c>
      <c r="D49" s="440"/>
      <c r="E49" s="441"/>
      <c r="F49" s="445" t="s">
        <v>8</v>
      </c>
      <c r="G49" s="440"/>
      <c r="H49" s="44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2"/>
    </row>
    <row r="50" spans="1:21" x14ac:dyDescent="0.25">
      <c r="A50" s="55"/>
      <c r="B50" s="31" t="s">
        <v>26</v>
      </c>
      <c r="C50" s="28">
        <f>År1</f>
        <v>2019</v>
      </c>
      <c r="D50" s="24">
        <f>År2</f>
        <v>2030</v>
      </c>
      <c r="E50" s="29">
        <f>År3</f>
        <v>2050</v>
      </c>
      <c r="F50" s="32">
        <f>År1</f>
        <v>2019</v>
      </c>
      <c r="G50" s="24">
        <f>År2</f>
        <v>2030</v>
      </c>
      <c r="H50" s="29">
        <f>År3</f>
        <v>2050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2"/>
    </row>
    <row r="51" spans="1:21" x14ac:dyDescent="0.25">
      <c r="A51" s="55"/>
      <c r="B51" s="30" t="s">
        <v>22</v>
      </c>
      <c r="C51" s="34">
        <f>SUM([1]Dyrehold!$E$22:$E$23)-F51</f>
        <v>1541102</v>
      </c>
      <c r="D51" s="11">
        <f>SUM([1]Dyrehold!$E$22:$E$23)-G51</f>
        <v>1409264.2692300314</v>
      </c>
      <c r="E51" s="22">
        <f>SUM([1]Dyrehold!$E$22:$E$23)-H51</f>
        <v>1169559.3041937244</v>
      </c>
      <c r="F51" s="49">
        <f>SUM([1]Dyrehold!C58:D61)</f>
        <v>15447</v>
      </c>
      <c r="G51" s="11">
        <f>$F51/Landbrug!$C6*Landbrug!D6</f>
        <v>147284.73076996871</v>
      </c>
      <c r="H51" s="22">
        <f>$F51/Landbrug!$C6*Landbrug!E6</f>
        <v>386989.69580627553</v>
      </c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2"/>
    </row>
    <row r="52" spans="1:21" x14ac:dyDescent="0.25">
      <c r="A52" s="55"/>
      <c r="B52" s="30" t="s">
        <v>3</v>
      </c>
      <c r="C52" s="34">
        <f>SUM([1]Dyrehold!$D$22:$D$23)-F52</f>
        <v>82455</v>
      </c>
      <c r="D52" s="11">
        <f>SUM([1]Dyrehold!$D$22:$D$23)-G52</f>
        <v>49361.692337422792</v>
      </c>
      <c r="E52" s="22">
        <f>SUM([1]Dyrehold!$D$22:$D$23)-H52</f>
        <v>-10807.957958172134</v>
      </c>
      <c r="F52" s="49">
        <f>SUM([1]Dyrehold!C36:D51)</f>
        <v>16513</v>
      </c>
      <c r="G52" s="11">
        <f>$F52/Landbrug!$C7*Landbrug!D7</f>
        <v>49606.307662577208</v>
      </c>
      <c r="H52" s="22">
        <f>$F52/Landbrug!$C7*Landbrug!E7</f>
        <v>109775.95795817213</v>
      </c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2"/>
    </row>
    <row r="53" spans="1:21" ht="15.75" thickBot="1" x14ac:dyDescent="0.3">
      <c r="A53" s="55"/>
      <c r="B53" s="45" t="s">
        <v>4</v>
      </c>
      <c r="C53" s="47">
        <f>SUM([1]Dyrehold!$F$22:$F$23)-F53</f>
        <v>1570560</v>
      </c>
      <c r="D53" s="15">
        <f>SUM([1]Dyrehold!$F$22:$F$23)-G53</f>
        <v>1110078.7475035731</v>
      </c>
      <c r="E53" s="23">
        <f>SUM([1]Dyrehold!$F$22:$F$23)-H53</f>
        <v>272840.10660097841</v>
      </c>
      <c r="F53" s="50">
        <f>SUM([1]Dyrehold!C65:D78)</f>
        <v>214987</v>
      </c>
      <c r="G53" s="15">
        <f>$F53/Landbrug!$C8*Landbrug!D8</f>
        <v>675468.25249642704</v>
      </c>
      <c r="H53" s="23">
        <f>$F53/Landbrug!$C8*Landbrug!E8</f>
        <v>1512706.8933990216</v>
      </c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</row>
    <row r="54" spans="1:21" ht="15.75" thickBot="1" x14ac:dyDescent="0.3">
      <c r="A54" s="56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4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E36" sqref="E3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7" width="11.28515625" bestFit="1" customWidth="1"/>
    <col min="38" max="38" width="7.5703125" bestFit="1" customWidth="1"/>
    <col min="39" max="39" width="9.85546875" bestFit="1" customWidth="1"/>
    <col min="40" max="40" width="11.85546875" bestFit="1" customWidth="1"/>
    <col min="41" max="41" width="10.28515625" bestFit="1" customWidth="1"/>
    <col min="42" max="42" width="10.5703125" bestFit="1" customWidth="1"/>
    <col min="43" max="43" width="12.28515625" bestFit="1" customWidth="1"/>
    <col min="44" max="44" width="10.140625" bestFit="1" customWidth="1"/>
    <col min="45" max="45" width="15" bestFit="1" customWidth="1"/>
    <col min="46" max="46" width="12" bestFit="1" customWidth="1"/>
  </cols>
  <sheetData>
    <row r="3" spans="1:37" x14ac:dyDescent="0.25">
      <c r="A3" s="75" t="s">
        <v>174</v>
      </c>
      <c r="B3" s="75" t="s">
        <v>62</v>
      </c>
    </row>
    <row r="4" spans="1:37" x14ac:dyDescent="0.25">
      <c r="A4" s="75" t="s">
        <v>60</v>
      </c>
      <c r="B4" t="s">
        <v>15</v>
      </c>
      <c r="C4" t="s">
        <v>49</v>
      </c>
      <c r="D4" t="s">
        <v>102</v>
      </c>
      <c r="E4" t="s">
        <v>101</v>
      </c>
      <c r="F4" t="s">
        <v>19</v>
      </c>
      <c r="G4" t="s">
        <v>137</v>
      </c>
      <c r="H4" t="s">
        <v>96</v>
      </c>
      <c r="I4" t="s">
        <v>54</v>
      </c>
      <c r="J4" t="s">
        <v>158</v>
      </c>
      <c r="K4" t="s">
        <v>51</v>
      </c>
      <c r="L4" t="s">
        <v>6</v>
      </c>
      <c r="M4" t="s">
        <v>67</v>
      </c>
      <c r="N4" t="s">
        <v>162</v>
      </c>
      <c r="O4" t="s">
        <v>159</v>
      </c>
      <c r="P4" t="s">
        <v>103</v>
      </c>
      <c r="Q4" t="s">
        <v>12</v>
      </c>
      <c r="R4" t="s">
        <v>48</v>
      </c>
      <c r="S4" t="s">
        <v>136</v>
      </c>
      <c r="T4" t="s">
        <v>108</v>
      </c>
      <c r="U4" t="s">
        <v>53</v>
      </c>
      <c r="V4" t="s">
        <v>116</v>
      </c>
      <c r="W4" t="s">
        <v>14</v>
      </c>
      <c r="X4" t="s">
        <v>50</v>
      </c>
      <c r="Y4" t="s">
        <v>52</v>
      </c>
      <c r="Z4" t="s">
        <v>107</v>
      </c>
      <c r="AA4" t="s">
        <v>140</v>
      </c>
      <c r="AB4" t="s">
        <v>135</v>
      </c>
      <c r="AC4" t="s">
        <v>13</v>
      </c>
      <c r="AD4" t="s">
        <v>95</v>
      </c>
      <c r="AE4" t="s">
        <v>119</v>
      </c>
      <c r="AF4" t="s">
        <v>238</v>
      </c>
      <c r="AG4" t="s">
        <v>231</v>
      </c>
      <c r="AH4" t="s">
        <v>110</v>
      </c>
      <c r="AI4" t="s">
        <v>115</v>
      </c>
      <c r="AJ4" t="s">
        <v>118</v>
      </c>
      <c r="AK4" t="s">
        <v>61</v>
      </c>
    </row>
    <row r="5" spans="1:37" x14ac:dyDescent="0.25">
      <c r="A5" s="76" t="s">
        <v>109</v>
      </c>
      <c r="B5" s="216"/>
      <c r="C5" s="216"/>
      <c r="D5" s="216">
        <v>729134</v>
      </c>
      <c r="E5" s="216">
        <v>3270332.9910784294</v>
      </c>
      <c r="F5" s="216"/>
      <c r="G5" s="216">
        <v>16494.742368351181</v>
      </c>
      <c r="H5" s="216"/>
      <c r="I5" s="216"/>
      <c r="J5" s="216">
        <v>428226</v>
      </c>
      <c r="K5" s="216">
        <v>85676.999999999956</v>
      </c>
      <c r="L5" s="216"/>
      <c r="M5" s="216">
        <v>75933.999999999971</v>
      </c>
      <c r="N5" s="216">
        <v>1730078</v>
      </c>
      <c r="O5" s="216"/>
      <c r="P5" s="216">
        <v>995654</v>
      </c>
      <c r="Q5" s="216"/>
      <c r="R5" s="216">
        <v>3786</v>
      </c>
      <c r="S5" s="216">
        <v>11260053.234538414</v>
      </c>
      <c r="T5" s="216"/>
      <c r="U5" s="216">
        <v>330026.00000000006</v>
      </c>
      <c r="V5" s="216"/>
      <c r="W5" s="216"/>
      <c r="X5" s="216"/>
      <c r="Y5" s="216">
        <v>28644.999999999993</v>
      </c>
      <c r="Z5" s="216"/>
      <c r="AA5" s="216">
        <v>14869354.308250314</v>
      </c>
      <c r="AB5" s="216">
        <v>8630210.43433493</v>
      </c>
      <c r="AC5" s="216"/>
      <c r="AD5" s="216"/>
      <c r="AE5" s="216"/>
      <c r="AF5" s="216"/>
      <c r="AG5" s="216"/>
      <c r="AH5" s="216"/>
      <c r="AI5" s="216"/>
      <c r="AJ5" s="216"/>
      <c r="AK5" s="216">
        <v>42453605.71057044</v>
      </c>
    </row>
    <row r="6" spans="1:37" x14ac:dyDescent="0.25">
      <c r="A6" s="77">
        <v>2019</v>
      </c>
      <c r="B6" s="216"/>
      <c r="C6" s="216"/>
      <c r="D6" s="216">
        <v>729134</v>
      </c>
      <c r="E6" s="216">
        <v>757087.00000000012</v>
      </c>
      <c r="F6" s="216"/>
      <c r="G6" s="216">
        <v>4441.5</v>
      </c>
      <c r="H6" s="216"/>
      <c r="I6" s="216"/>
      <c r="J6" s="216">
        <v>142742</v>
      </c>
      <c r="K6" s="216">
        <v>85676.999999999956</v>
      </c>
      <c r="L6" s="216"/>
      <c r="M6" s="216">
        <v>75933.999999999971</v>
      </c>
      <c r="N6" s="216">
        <v>78</v>
      </c>
      <c r="O6" s="216"/>
      <c r="P6" s="216">
        <v>995654</v>
      </c>
      <c r="Q6" s="216"/>
      <c r="R6" s="216">
        <v>3786</v>
      </c>
      <c r="S6" s="216">
        <v>4353509.666666667</v>
      </c>
      <c r="T6" s="216"/>
      <c r="U6" s="216">
        <v>330026.00000000006</v>
      </c>
      <c r="V6" s="216"/>
      <c r="W6" s="216"/>
      <c r="X6" s="216"/>
      <c r="Y6" s="216">
        <v>28644.999999999993</v>
      </c>
      <c r="Z6" s="216"/>
      <c r="AA6" s="216">
        <v>2668834</v>
      </c>
      <c r="AB6" s="216">
        <v>2914869.3333333335</v>
      </c>
      <c r="AC6" s="216"/>
      <c r="AD6" s="216"/>
      <c r="AE6" s="216"/>
      <c r="AF6" s="216"/>
      <c r="AG6" s="216"/>
      <c r="AH6" s="216"/>
      <c r="AI6" s="216"/>
      <c r="AJ6" s="216"/>
      <c r="AK6" s="216">
        <v>13090417.500000002</v>
      </c>
    </row>
    <row r="7" spans="1:37" x14ac:dyDescent="0.25">
      <c r="A7" s="77">
        <v>2030</v>
      </c>
      <c r="B7" s="216"/>
      <c r="C7" s="216"/>
      <c r="D7" s="216">
        <v>0</v>
      </c>
      <c r="E7" s="216">
        <v>2106143.9491047473</v>
      </c>
      <c r="F7" s="216"/>
      <c r="G7" s="216">
        <v>6572.2723545464542</v>
      </c>
      <c r="H7" s="216"/>
      <c r="I7" s="216"/>
      <c r="J7" s="216">
        <v>142742</v>
      </c>
      <c r="K7" s="216">
        <v>0</v>
      </c>
      <c r="L7" s="216"/>
      <c r="M7" s="216">
        <v>0</v>
      </c>
      <c r="N7" s="216">
        <v>750000</v>
      </c>
      <c r="O7" s="216"/>
      <c r="P7" s="216">
        <v>0</v>
      </c>
      <c r="Q7" s="216"/>
      <c r="R7" s="216">
        <v>0</v>
      </c>
      <c r="S7" s="216">
        <v>6149984.92344434</v>
      </c>
      <c r="T7" s="216"/>
      <c r="U7" s="216">
        <v>0</v>
      </c>
      <c r="V7" s="216"/>
      <c r="W7" s="216"/>
      <c r="X7" s="216"/>
      <c r="Y7" s="216">
        <v>0</v>
      </c>
      <c r="Z7" s="216"/>
      <c r="AA7" s="216">
        <v>5448586.1690262407</v>
      </c>
      <c r="AB7" s="216">
        <v>5715341.1010015961</v>
      </c>
      <c r="AC7" s="216"/>
      <c r="AD7" s="216"/>
      <c r="AE7" s="216"/>
      <c r="AF7" s="216"/>
      <c r="AG7" s="216"/>
      <c r="AH7" s="216"/>
      <c r="AI7" s="216"/>
      <c r="AJ7" s="216"/>
      <c r="AK7" s="216">
        <v>20319370.414931469</v>
      </c>
    </row>
    <row r="8" spans="1:37" x14ac:dyDescent="0.25">
      <c r="A8" s="77">
        <v>2050</v>
      </c>
      <c r="B8" s="216"/>
      <c r="C8" s="216"/>
      <c r="D8" s="216">
        <v>0</v>
      </c>
      <c r="E8" s="216">
        <v>407102.0419736823</v>
      </c>
      <c r="F8" s="216"/>
      <c r="G8" s="216">
        <v>5480.9700138047265</v>
      </c>
      <c r="H8" s="216"/>
      <c r="I8" s="216"/>
      <c r="J8" s="216">
        <v>142742</v>
      </c>
      <c r="K8" s="216">
        <v>0</v>
      </c>
      <c r="L8" s="216"/>
      <c r="M8" s="216">
        <v>0</v>
      </c>
      <c r="N8" s="216">
        <v>980000</v>
      </c>
      <c r="O8" s="216"/>
      <c r="P8" s="216">
        <v>0</v>
      </c>
      <c r="Q8" s="216"/>
      <c r="R8" s="216">
        <v>0</v>
      </c>
      <c r="S8" s="216">
        <v>756558.64442740742</v>
      </c>
      <c r="T8" s="216"/>
      <c r="U8" s="216">
        <v>0</v>
      </c>
      <c r="V8" s="216"/>
      <c r="W8" s="216"/>
      <c r="X8" s="216"/>
      <c r="Y8" s="216">
        <v>0</v>
      </c>
      <c r="Z8" s="216"/>
      <c r="AA8" s="216">
        <v>6751934.1392240729</v>
      </c>
      <c r="AB8" s="216">
        <v>0</v>
      </c>
      <c r="AC8" s="216"/>
      <c r="AD8" s="216"/>
      <c r="AE8" s="216"/>
      <c r="AF8" s="216"/>
      <c r="AG8" s="216"/>
      <c r="AH8" s="216"/>
      <c r="AI8" s="216"/>
      <c r="AJ8" s="216"/>
      <c r="AK8" s="216">
        <v>9043817.7956389673</v>
      </c>
    </row>
    <row r="9" spans="1:37" x14ac:dyDescent="0.25">
      <c r="A9" s="76" t="s">
        <v>112</v>
      </c>
      <c r="B9" s="216"/>
      <c r="C9" s="216">
        <v>127499.95966883012</v>
      </c>
      <c r="D9" s="216"/>
      <c r="E9" s="216"/>
      <c r="F9" s="216"/>
      <c r="G9" s="216"/>
      <c r="H9" s="216"/>
      <c r="I9" s="216"/>
      <c r="J9" s="216"/>
      <c r="K9" s="216">
        <v>24191346.514387332</v>
      </c>
      <c r="L9" s="216"/>
      <c r="M9" s="216">
        <v>1528228.6832527835</v>
      </c>
      <c r="N9" s="216"/>
      <c r="O9" s="216">
        <v>9544788.6474304795</v>
      </c>
      <c r="P9" s="216"/>
      <c r="Q9" s="216">
        <v>0</v>
      </c>
      <c r="R9" s="216">
        <v>11621975.4903685</v>
      </c>
      <c r="S9" s="216"/>
      <c r="T9" s="216">
        <v>2996249.0522175082</v>
      </c>
      <c r="U9" s="216">
        <v>11182808.962620307</v>
      </c>
      <c r="V9" s="216"/>
      <c r="W9" s="216"/>
      <c r="X9" s="216"/>
      <c r="Y9" s="216">
        <v>1662811.9740143262</v>
      </c>
      <c r="Z9" s="216">
        <v>77916.642019840641</v>
      </c>
      <c r="AA9" s="216"/>
      <c r="AB9" s="216"/>
      <c r="AC9" s="216"/>
      <c r="AD9" s="216"/>
      <c r="AE9" s="216"/>
      <c r="AF9" s="216">
        <v>423229.03278958891</v>
      </c>
      <c r="AG9" s="216"/>
      <c r="AH9" s="216"/>
      <c r="AI9" s="216"/>
      <c r="AJ9" s="216"/>
      <c r="AK9" s="216">
        <v>63356854.958769485</v>
      </c>
    </row>
    <row r="10" spans="1:37" x14ac:dyDescent="0.25">
      <c r="A10" s="77">
        <v>2019</v>
      </c>
      <c r="B10" s="216"/>
      <c r="C10" s="216">
        <v>72415.092228932088</v>
      </c>
      <c r="D10" s="216"/>
      <c r="E10" s="216"/>
      <c r="F10" s="216"/>
      <c r="G10" s="216"/>
      <c r="H10" s="216"/>
      <c r="I10" s="216"/>
      <c r="J10" s="216"/>
      <c r="K10" s="216">
        <v>13739757.985270014</v>
      </c>
      <c r="L10" s="216"/>
      <c r="M10" s="216">
        <v>867975.34157733875</v>
      </c>
      <c r="N10" s="216"/>
      <c r="O10" s="216">
        <v>5421074.2654714445</v>
      </c>
      <c r="P10" s="216"/>
      <c r="Q10" s="216">
        <v>0</v>
      </c>
      <c r="R10" s="216">
        <v>6600836.8097011279</v>
      </c>
      <c r="S10" s="216"/>
      <c r="T10" s="216">
        <v>1701754.6673799041</v>
      </c>
      <c r="U10" s="216">
        <v>6351407.0475792512</v>
      </c>
      <c r="V10" s="216"/>
      <c r="W10" s="216"/>
      <c r="X10" s="216"/>
      <c r="Y10" s="216">
        <v>944413.49448565592</v>
      </c>
      <c r="Z10" s="216">
        <v>44253.667473236274</v>
      </c>
      <c r="AA10" s="216"/>
      <c r="AB10" s="216"/>
      <c r="AC10" s="216"/>
      <c r="AD10" s="216"/>
      <c r="AE10" s="216"/>
      <c r="AF10" s="216">
        <v>240377.87559326066</v>
      </c>
      <c r="AG10" s="216"/>
      <c r="AH10" s="216"/>
      <c r="AI10" s="216"/>
      <c r="AJ10" s="216"/>
      <c r="AK10" s="216">
        <v>35984266.24676016</v>
      </c>
    </row>
    <row r="11" spans="1:37" x14ac:dyDescent="0.25">
      <c r="A11" s="77">
        <v>2030</v>
      </c>
      <c r="B11" s="216"/>
      <c r="C11" s="216">
        <v>48910.366343274291</v>
      </c>
      <c r="D11" s="216"/>
      <c r="E11" s="216"/>
      <c r="F11" s="216"/>
      <c r="G11" s="216"/>
      <c r="H11" s="216"/>
      <c r="I11" s="216"/>
      <c r="J11" s="216"/>
      <c r="K11" s="216">
        <v>9280062.7029926386</v>
      </c>
      <c r="L11" s="216"/>
      <c r="M11" s="216">
        <v>586245.08547563502</v>
      </c>
      <c r="N11" s="216"/>
      <c r="O11" s="216">
        <v>3661484.3693090063</v>
      </c>
      <c r="P11" s="216"/>
      <c r="Q11" s="216">
        <v>0</v>
      </c>
      <c r="R11" s="216">
        <v>4458315.7543181824</v>
      </c>
      <c r="S11" s="216"/>
      <c r="T11" s="216">
        <v>1149393.6090669457</v>
      </c>
      <c r="U11" s="216">
        <v>4289846.7146913484</v>
      </c>
      <c r="V11" s="216"/>
      <c r="W11" s="216"/>
      <c r="X11" s="216"/>
      <c r="Y11" s="216">
        <v>637872.69439353561</v>
      </c>
      <c r="Z11" s="216">
        <v>29889.668320889847</v>
      </c>
      <c r="AA11" s="216"/>
      <c r="AB11" s="216"/>
      <c r="AC11" s="216"/>
      <c r="AD11" s="216"/>
      <c r="AE11" s="216"/>
      <c r="AF11" s="216">
        <v>162355.24383392438</v>
      </c>
      <c r="AG11" s="216"/>
      <c r="AH11" s="216"/>
      <c r="AI11" s="216"/>
      <c r="AJ11" s="216"/>
      <c r="AK11" s="216">
        <v>24304376.208745379</v>
      </c>
    </row>
    <row r="12" spans="1:37" x14ac:dyDescent="0.25">
      <c r="A12" s="77">
        <v>2050</v>
      </c>
      <c r="B12" s="216"/>
      <c r="C12" s="216">
        <v>6174.5010966237514</v>
      </c>
      <c r="D12" s="216"/>
      <c r="E12" s="216"/>
      <c r="F12" s="216"/>
      <c r="G12" s="216"/>
      <c r="H12" s="216"/>
      <c r="I12" s="216"/>
      <c r="J12" s="216"/>
      <c r="K12" s="216">
        <v>1171525.8261246812</v>
      </c>
      <c r="L12" s="216"/>
      <c r="M12" s="216">
        <v>74008.256199809693</v>
      </c>
      <c r="N12" s="216"/>
      <c r="O12" s="216">
        <v>462230.0126500281</v>
      </c>
      <c r="P12" s="216"/>
      <c r="Q12" s="216">
        <v>0</v>
      </c>
      <c r="R12" s="216">
        <v>562822.92634918995</v>
      </c>
      <c r="S12" s="216"/>
      <c r="T12" s="216">
        <v>145100.77577065813</v>
      </c>
      <c r="U12" s="216">
        <v>541555.20034970809</v>
      </c>
      <c r="V12" s="216"/>
      <c r="W12" s="216"/>
      <c r="X12" s="216"/>
      <c r="Y12" s="216">
        <v>80525.785135134764</v>
      </c>
      <c r="Z12" s="216">
        <v>3773.3062257145148</v>
      </c>
      <c r="AA12" s="216"/>
      <c r="AB12" s="216"/>
      <c r="AC12" s="216"/>
      <c r="AD12" s="216"/>
      <c r="AE12" s="216"/>
      <c r="AF12" s="216">
        <v>20495.91336240384</v>
      </c>
      <c r="AG12" s="216"/>
      <c r="AH12" s="216"/>
      <c r="AI12" s="216"/>
      <c r="AJ12" s="216"/>
      <c r="AK12" s="216">
        <v>3068212.5032639522</v>
      </c>
    </row>
    <row r="13" spans="1:37" x14ac:dyDescent="0.25">
      <c r="A13" s="76" t="s">
        <v>127</v>
      </c>
      <c r="B13" s="216">
        <v>182574.19618217932</v>
      </c>
      <c r="C13" s="216">
        <v>0</v>
      </c>
      <c r="D13" s="216"/>
      <c r="E13" s="216"/>
      <c r="F13" s="216">
        <v>281468.55244752642</v>
      </c>
      <c r="G13" s="216"/>
      <c r="H13" s="216">
        <v>197788.71253069426</v>
      </c>
      <c r="I13" s="216">
        <v>1445379.0531089196</v>
      </c>
      <c r="J13" s="216"/>
      <c r="K13" s="216"/>
      <c r="L13" s="216">
        <v>1513844.376677237</v>
      </c>
      <c r="M13" s="216"/>
      <c r="N13" s="216"/>
      <c r="O13" s="216"/>
      <c r="P13" s="216"/>
      <c r="Q13" s="216">
        <v>692260.49385742994</v>
      </c>
      <c r="R13" s="216">
        <v>1658382.281988129</v>
      </c>
      <c r="S13" s="216"/>
      <c r="T13" s="216"/>
      <c r="U13" s="216"/>
      <c r="V13" s="216">
        <v>2647325.8446415998</v>
      </c>
      <c r="W13" s="216">
        <v>336392.95646566537</v>
      </c>
      <c r="X13" s="216"/>
      <c r="Y13" s="216"/>
      <c r="Z13" s="216"/>
      <c r="AA13" s="216"/>
      <c r="AB13" s="216"/>
      <c r="AC13" s="216">
        <v>682979.63888483576</v>
      </c>
      <c r="AD13" s="216"/>
      <c r="AE13" s="216"/>
      <c r="AF13" s="216"/>
      <c r="AG13" s="216"/>
      <c r="AH13" s="216"/>
      <c r="AI13" s="216"/>
      <c r="AJ13" s="216"/>
      <c r="AK13" s="216">
        <v>9638396.1067842171</v>
      </c>
    </row>
    <row r="14" spans="1:37" x14ac:dyDescent="0.25">
      <c r="A14" s="77">
        <v>2019</v>
      </c>
      <c r="B14" s="216">
        <v>58403.100598004137</v>
      </c>
      <c r="C14" s="216">
        <v>0</v>
      </c>
      <c r="D14" s="216"/>
      <c r="E14" s="216"/>
      <c r="F14" s="216">
        <v>90038.113421923044</v>
      </c>
      <c r="G14" s="216"/>
      <c r="H14" s="216">
        <v>63270.025647837821</v>
      </c>
      <c r="I14" s="216">
        <v>462357.87973419944</v>
      </c>
      <c r="J14" s="216"/>
      <c r="K14" s="216"/>
      <c r="L14" s="216">
        <v>484259.042458451</v>
      </c>
      <c r="M14" s="216"/>
      <c r="N14" s="216"/>
      <c r="O14" s="216"/>
      <c r="P14" s="216"/>
      <c r="Q14" s="216">
        <v>221445.08976743236</v>
      </c>
      <c r="R14" s="216">
        <v>530494.83043187088</v>
      </c>
      <c r="S14" s="216"/>
      <c r="T14" s="216"/>
      <c r="U14" s="216"/>
      <c r="V14" s="216">
        <v>846844.95867106004</v>
      </c>
      <c r="W14" s="216">
        <v>107607.71285182264</v>
      </c>
      <c r="X14" s="216"/>
      <c r="Y14" s="216"/>
      <c r="Z14" s="216"/>
      <c r="AA14" s="216"/>
      <c r="AB14" s="216"/>
      <c r="AC14" s="216">
        <v>218476.26548703379</v>
      </c>
      <c r="AD14" s="216"/>
      <c r="AE14" s="216"/>
      <c r="AF14" s="216"/>
      <c r="AG14" s="216"/>
      <c r="AH14" s="216"/>
      <c r="AI14" s="216"/>
      <c r="AJ14" s="216"/>
      <c r="AK14" s="216">
        <v>3083197.0190696353</v>
      </c>
    </row>
    <row r="15" spans="1:37" x14ac:dyDescent="0.25">
      <c r="A15" s="77">
        <v>2030</v>
      </c>
      <c r="B15" s="216">
        <v>60789.12467762841</v>
      </c>
      <c r="C15" s="216">
        <v>0</v>
      </c>
      <c r="D15" s="216"/>
      <c r="E15" s="216"/>
      <c r="F15" s="216">
        <v>93716.56721134379</v>
      </c>
      <c r="G15" s="216"/>
      <c r="H15" s="216">
        <v>65854.885067430776</v>
      </c>
      <c r="I15" s="216">
        <v>481247.23703122488</v>
      </c>
      <c r="J15" s="216"/>
      <c r="K15" s="216"/>
      <c r="L15" s="216">
        <v>504043.1587853356</v>
      </c>
      <c r="M15" s="216"/>
      <c r="N15" s="216"/>
      <c r="O15" s="216"/>
      <c r="P15" s="216"/>
      <c r="Q15" s="216">
        <v>230492.09773600774</v>
      </c>
      <c r="R15" s="216">
        <v>552167.88248845807</v>
      </c>
      <c r="S15" s="216"/>
      <c r="T15" s="216"/>
      <c r="U15" s="216"/>
      <c r="V15" s="216">
        <v>881442.3078256119</v>
      </c>
      <c r="W15" s="216">
        <v>112003.96221853035</v>
      </c>
      <c r="X15" s="216"/>
      <c r="Y15" s="216"/>
      <c r="Z15" s="216"/>
      <c r="AA15" s="216"/>
      <c r="AB15" s="216"/>
      <c r="AC15" s="216">
        <v>227401.98389822827</v>
      </c>
      <c r="AD15" s="216"/>
      <c r="AE15" s="216"/>
      <c r="AF15" s="216"/>
      <c r="AG15" s="216"/>
      <c r="AH15" s="216"/>
      <c r="AI15" s="216"/>
      <c r="AJ15" s="216"/>
      <c r="AK15" s="216">
        <v>3209159.2069397997</v>
      </c>
    </row>
    <row r="16" spans="1:37" x14ac:dyDescent="0.25">
      <c r="A16" s="77">
        <v>2050</v>
      </c>
      <c r="B16" s="216">
        <v>63381.970906546776</v>
      </c>
      <c r="C16" s="216">
        <v>0</v>
      </c>
      <c r="D16" s="216"/>
      <c r="E16" s="216"/>
      <c r="F16" s="216">
        <v>97713.871814259604</v>
      </c>
      <c r="G16" s="216"/>
      <c r="H16" s="216">
        <v>68663.801815425672</v>
      </c>
      <c r="I16" s="216">
        <v>501773.93634349527</v>
      </c>
      <c r="J16" s="216"/>
      <c r="K16" s="216"/>
      <c r="L16" s="216">
        <v>525542.17543345026</v>
      </c>
      <c r="M16" s="216"/>
      <c r="N16" s="216"/>
      <c r="O16" s="216"/>
      <c r="P16" s="216"/>
      <c r="Q16" s="216">
        <v>240323.30635398987</v>
      </c>
      <c r="R16" s="216">
        <v>575719.56906779984</v>
      </c>
      <c r="S16" s="216"/>
      <c r="T16" s="216"/>
      <c r="U16" s="216"/>
      <c r="V16" s="216">
        <v>919038.57814492821</v>
      </c>
      <c r="W16" s="216">
        <v>116781.28139531243</v>
      </c>
      <c r="X16" s="216"/>
      <c r="Y16" s="216"/>
      <c r="Z16" s="216"/>
      <c r="AA16" s="216"/>
      <c r="AB16" s="216"/>
      <c r="AC16" s="216">
        <v>237101.38949957371</v>
      </c>
      <c r="AD16" s="216"/>
      <c r="AE16" s="216"/>
      <c r="AF16" s="216"/>
      <c r="AG16" s="216"/>
      <c r="AH16" s="216"/>
      <c r="AI16" s="216"/>
      <c r="AJ16" s="216"/>
      <c r="AK16" s="216">
        <v>3346039.8807747816</v>
      </c>
    </row>
    <row r="17" spans="1:37" x14ac:dyDescent="0.25">
      <c r="A17" s="76" t="s">
        <v>120</v>
      </c>
      <c r="B17" s="216"/>
      <c r="C17" s="216"/>
      <c r="D17" s="216">
        <v>733771.78685234336</v>
      </c>
      <c r="E17" s="216"/>
      <c r="F17" s="216"/>
      <c r="G17" s="216"/>
      <c r="H17" s="216"/>
      <c r="I17" s="216"/>
      <c r="J17" s="216"/>
      <c r="K17" s="216"/>
      <c r="L17" s="216"/>
      <c r="M17" s="216">
        <v>5334773.3843098897</v>
      </c>
      <c r="N17" s="216">
        <v>1218349</v>
      </c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>
        <v>545463.19606495893</v>
      </c>
      <c r="AE17" s="216">
        <v>8800578.9441841338</v>
      </c>
      <c r="AF17" s="216"/>
      <c r="AG17" s="216">
        <v>738468.76448843314</v>
      </c>
      <c r="AH17" s="216"/>
      <c r="AI17" s="216"/>
      <c r="AJ17" s="216"/>
      <c r="AK17" s="216">
        <v>17371405.075899757</v>
      </c>
    </row>
    <row r="18" spans="1:37" x14ac:dyDescent="0.25">
      <c r="A18" s="77">
        <v>2019</v>
      </c>
      <c r="B18" s="216"/>
      <c r="C18" s="216"/>
      <c r="D18" s="216">
        <v>0</v>
      </c>
      <c r="E18" s="216"/>
      <c r="F18" s="216"/>
      <c r="G18" s="216"/>
      <c r="H18" s="216"/>
      <c r="I18" s="216"/>
      <c r="J18" s="216"/>
      <c r="K18" s="216"/>
      <c r="L18" s="216"/>
      <c r="M18" s="216">
        <v>1895494.5192748301</v>
      </c>
      <c r="N18" s="216">
        <v>982731</v>
      </c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>
        <v>209867.13867694439</v>
      </c>
      <c r="AE18" s="216">
        <v>3010292.0648196544</v>
      </c>
      <c r="AF18" s="216"/>
      <c r="AG18" s="216">
        <v>112873.31802427149</v>
      </c>
      <c r="AH18" s="216"/>
      <c r="AI18" s="216"/>
      <c r="AJ18" s="216"/>
      <c r="AK18" s="216">
        <v>6211258.0407956997</v>
      </c>
    </row>
    <row r="19" spans="1:37" x14ac:dyDescent="0.25">
      <c r="A19" s="77">
        <v>2030</v>
      </c>
      <c r="B19" s="216"/>
      <c r="C19" s="216"/>
      <c r="D19" s="216">
        <v>363994.97174274386</v>
      </c>
      <c r="E19" s="216"/>
      <c r="F19" s="216"/>
      <c r="G19" s="216"/>
      <c r="H19" s="216"/>
      <c r="I19" s="216"/>
      <c r="J19" s="216"/>
      <c r="K19" s="216"/>
      <c r="L19" s="216"/>
      <c r="M19" s="216">
        <v>2110603.0181052475</v>
      </c>
      <c r="N19" s="216">
        <v>232809.00000000006</v>
      </c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>
        <v>192072.11069021252</v>
      </c>
      <c r="AE19" s="216">
        <v>2864790.7596825948</v>
      </c>
      <c r="AF19" s="216"/>
      <c r="AG19" s="216">
        <v>206894.54206256595</v>
      </c>
      <c r="AH19" s="216"/>
      <c r="AI19" s="216"/>
      <c r="AJ19" s="216"/>
      <c r="AK19" s="216">
        <v>5971164.4022833649</v>
      </c>
    </row>
    <row r="20" spans="1:37" x14ac:dyDescent="0.25">
      <c r="A20" s="77">
        <v>2050</v>
      </c>
      <c r="B20" s="216"/>
      <c r="C20" s="216"/>
      <c r="D20" s="216">
        <v>369776.8151095995</v>
      </c>
      <c r="E20" s="216"/>
      <c r="F20" s="216"/>
      <c r="G20" s="216"/>
      <c r="H20" s="216"/>
      <c r="I20" s="216"/>
      <c r="J20" s="216"/>
      <c r="K20" s="216"/>
      <c r="L20" s="216"/>
      <c r="M20" s="216">
        <v>1328675.8469298114</v>
      </c>
      <c r="N20" s="216">
        <v>2808.9999999999418</v>
      </c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>
        <v>143523.94669780202</v>
      </c>
      <c r="AE20" s="216">
        <v>2925496.1196818841</v>
      </c>
      <c r="AF20" s="216"/>
      <c r="AG20" s="216">
        <v>418700.9044015957</v>
      </c>
      <c r="AH20" s="216"/>
      <c r="AI20" s="216"/>
      <c r="AJ20" s="216"/>
      <c r="AK20" s="216">
        <v>5188982.6328206928</v>
      </c>
    </row>
    <row r="21" spans="1:37" x14ac:dyDescent="0.25">
      <c r="A21" s="76" t="s">
        <v>164</v>
      </c>
      <c r="B21" s="216"/>
      <c r="C21" s="216"/>
      <c r="D21" s="216">
        <v>0</v>
      </c>
      <c r="E21" s="216"/>
      <c r="F21" s="216"/>
      <c r="G21" s="216"/>
      <c r="H21" s="216"/>
      <c r="I21" s="216"/>
      <c r="J21" s="216"/>
      <c r="K21" s="216"/>
      <c r="L21" s="216"/>
      <c r="M21" s="216">
        <v>0</v>
      </c>
      <c r="N21" s="216">
        <v>0</v>
      </c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>
        <v>0</v>
      </c>
      <c r="AE21" s="216"/>
      <c r="AF21" s="216"/>
      <c r="AG21" s="216">
        <v>104190.75509932752</v>
      </c>
      <c r="AH21" s="216"/>
      <c r="AI21" s="216"/>
      <c r="AJ21" s="216">
        <v>2457092.6309540803</v>
      </c>
      <c r="AK21" s="216">
        <v>2561283.3860534076</v>
      </c>
    </row>
    <row r="22" spans="1:37" x14ac:dyDescent="0.25">
      <c r="A22" s="77">
        <v>2019</v>
      </c>
      <c r="B22" s="216"/>
      <c r="C22" s="216"/>
      <c r="D22" s="216">
        <v>0</v>
      </c>
      <c r="E22" s="216"/>
      <c r="F22" s="216"/>
      <c r="G22" s="216"/>
      <c r="H22" s="216"/>
      <c r="I22" s="216"/>
      <c r="J22" s="216"/>
      <c r="K22" s="216"/>
      <c r="L22" s="216"/>
      <c r="M22" s="216">
        <v>0</v>
      </c>
      <c r="N22" s="216">
        <v>0</v>
      </c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>
        <v>0</v>
      </c>
      <c r="AE22" s="216"/>
      <c r="AF22" s="216"/>
      <c r="AG22" s="216">
        <v>104190.75509932752</v>
      </c>
      <c r="AH22" s="216"/>
      <c r="AI22" s="216"/>
      <c r="AJ22" s="216">
        <v>827707.93518034508</v>
      </c>
      <c r="AK22" s="216">
        <v>931898.69027967262</v>
      </c>
    </row>
    <row r="23" spans="1:37" x14ac:dyDescent="0.25">
      <c r="A23" s="77">
        <v>2030</v>
      </c>
      <c r="B23" s="216"/>
      <c r="C23" s="216"/>
      <c r="D23" s="216">
        <v>0</v>
      </c>
      <c r="E23" s="216"/>
      <c r="F23" s="216"/>
      <c r="G23" s="216"/>
      <c r="H23" s="216"/>
      <c r="I23" s="216"/>
      <c r="J23" s="216"/>
      <c r="K23" s="216"/>
      <c r="L23" s="216"/>
      <c r="M23" s="216">
        <v>0</v>
      </c>
      <c r="N23" s="216">
        <v>0</v>
      </c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>
        <v>0</v>
      </c>
      <c r="AE23" s="216"/>
      <c r="AF23" s="216"/>
      <c r="AG23" s="216">
        <v>0</v>
      </c>
      <c r="AH23" s="216"/>
      <c r="AI23" s="216"/>
      <c r="AJ23" s="216">
        <v>788679.64758670493</v>
      </c>
      <c r="AK23" s="216">
        <v>788679.64758670493</v>
      </c>
    </row>
    <row r="24" spans="1:37" x14ac:dyDescent="0.25">
      <c r="A24" s="77">
        <v>2050</v>
      </c>
      <c r="B24" s="216"/>
      <c r="C24" s="216"/>
      <c r="D24" s="216">
        <v>0</v>
      </c>
      <c r="E24" s="216"/>
      <c r="F24" s="216"/>
      <c r="G24" s="216"/>
      <c r="H24" s="216"/>
      <c r="I24" s="216"/>
      <c r="J24" s="216"/>
      <c r="K24" s="216"/>
      <c r="L24" s="216"/>
      <c r="M24" s="216">
        <v>0</v>
      </c>
      <c r="N24" s="216">
        <v>0</v>
      </c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>
        <v>0</v>
      </c>
      <c r="AE24" s="216"/>
      <c r="AF24" s="216"/>
      <c r="AG24" s="216">
        <v>0</v>
      </c>
      <c r="AH24" s="216"/>
      <c r="AI24" s="216"/>
      <c r="AJ24" s="216">
        <v>840705.04818703001</v>
      </c>
      <c r="AK24" s="216">
        <v>840705.04818703001</v>
      </c>
    </row>
    <row r="25" spans="1:37" x14ac:dyDescent="0.25">
      <c r="A25" s="76" t="s">
        <v>114</v>
      </c>
      <c r="B25" s="216"/>
      <c r="C25" s="216"/>
      <c r="D25" s="216"/>
      <c r="E25" s="216">
        <v>1106664.4342319525</v>
      </c>
      <c r="F25" s="216"/>
      <c r="G25" s="216">
        <v>7241.2541197160099</v>
      </c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>
        <v>11830547.379417825</v>
      </c>
      <c r="T25" s="216"/>
      <c r="U25" s="216"/>
      <c r="V25" s="216"/>
      <c r="W25" s="216"/>
      <c r="X25" s="216"/>
      <c r="Y25" s="216"/>
      <c r="Z25" s="216"/>
      <c r="AA25" s="216"/>
      <c r="AB25" s="216">
        <v>16647244.36700053</v>
      </c>
      <c r="AC25" s="216"/>
      <c r="AD25" s="216"/>
      <c r="AE25" s="216"/>
      <c r="AF25" s="216"/>
      <c r="AG25" s="216"/>
      <c r="AH25" s="216">
        <v>22450133.785415035</v>
      </c>
      <c r="AI25" s="216">
        <v>7034776.8132165838</v>
      </c>
      <c r="AJ25" s="216"/>
      <c r="AK25" s="216">
        <v>59076608.033401646</v>
      </c>
    </row>
    <row r="26" spans="1:37" x14ac:dyDescent="0.25">
      <c r="A26" s="77">
        <v>2019</v>
      </c>
      <c r="B26" s="216"/>
      <c r="C26" s="216"/>
      <c r="D26" s="216"/>
      <c r="E26" s="216">
        <v>823764.99285714305</v>
      </c>
      <c r="F26" s="216"/>
      <c r="G26" s="216">
        <v>4441.5</v>
      </c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>
        <v>9696490.333333334</v>
      </c>
      <c r="T26" s="216"/>
      <c r="U26" s="216"/>
      <c r="V26" s="216"/>
      <c r="W26" s="216"/>
      <c r="X26" s="216"/>
      <c r="Y26" s="216"/>
      <c r="Z26" s="216"/>
      <c r="AA26" s="216"/>
      <c r="AB26" s="216">
        <v>14742130.666666664</v>
      </c>
      <c r="AC26" s="216"/>
      <c r="AD26" s="216"/>
      <c r="AE26" s="216"/>
      <c r="AF26" s="216"/>
      <c r="AG26" s="216"/>
      <c r="AH26" s="216">
        <v>8803491.7355084848</v>
      </c>
      <c r="AI26" s="216">
        <v>944817.29105430027</v>
      </c>
      <c r="AJ26" s="216"/>
      <c r="AK26" s="216">
        <v>35015136.519419931</v>
      </c>
    </row>
    <row r="27" spans="1:37" x14ac:dyDescent="0.25">
      <c r="A27" s="77">
        <v>2030</v>
      </c>
      <c r="B27" s="216"/>
      <c r="C27" s="216"/>
      <c r="D27" s="216"/>
      <c r="E27" s="216">
        <v>265775.30786321807</v>
      </c>
      <c r="F27" s="216"/>
      <c r="G27" s="216">
        <v>2190.7574515154847</v>
      </c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>
        <v>2049994.9744814469</v>
      </c>
      <c r="T27" s="216"/>
      <c r="U27" s="216"/>
      <c r="V27" s="216"/>
      <c r="W27" s="216"/>
      <c r="X27" s="216"/>
      <c r="Y27" s="216"/>
      <c r="Z27" s="216"/>
      <c r="AA27" s="216"/>
      <c r="AB27" s="216">
        <v>1905113.7003338654</v>
      </c>
      <c r="AC27" s="216"/>
      <c r="AD27" s="216"/>
      <c r="AE27" s="216"/>
      <c r="AF27" s="216"/>
      <c r="AG27" s="216"/>
      <c r="AH27" s="216">
        <v>12803468.568539068</v>
      </c>
      <c r="AI27" s="216">
        <v>1985633.2267312168</v>
      </c>
      <c r="AJ27" s="216"/>
      <c r="AK27" s="216">
        <v>19012176.535400331</v>
      </c>
    </row>
    <row r="28" spans="1:37" x14ac:dyDescent="0.25">
      <c r="A28" s="77">
        <v>2050</v>
      </c>
      <c r="B28" s="216"/>
      <c r="C28" s="216"/>
      <c r="D28" s="216"/>
      <c r="E28" s="216">
        <v>17124.13351159139</v>
      </c>
      <c r="F28" s="216"/>
      <c r="G28" s="216">
        <v>608.99666820052505</v>
      </c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>
        <v>84062.071603045246</v>
      </c>
      <c r="T28" s="216"/>
      <c r="U28" s="216"/>
      <c r="V28" s="216"/>
      <c r="W28" s="216"/>
      <c r="X28" s="216"/>
      <c r="Y28" s="216"/>
      <c r="Z28" s="216"/>
      <c r="AA28" s="216"/>
      <c r="AB28" s="216">
        <v>0</v>
      </c>
      <c r="AC28" s="216"/>
      <c r="AD28" s="216"/>
      <c r="AE28" s="216"/>
      <c r="AF28" s="216"/>
      <c r="AG28" s="216"/>
      <c r="AH28" s="216">
        <v>843173.48136747919</v>
      </c>
      <c r="AI28" s="216">
        <v>4104326.2954310672</v>
      </c>
      <c r="AJ28" s="216"/>
      <c r="AK28" s="216">
        <v>5049294.9785813838</v>
      </c>
    </row>
    <row r="29" spans="1:37" x14ac:dyDescent="0.25">
      <c r="A29" s="76" t="s">
        <v>237</v>
      </c>
      <c r="B29" s="216"/>
      <c r="C29" s="216"/>
      <c r="D29" s="216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>
        <v>2633310.9987117522</v>
      </c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>
        <v>2633310.9987117522</v>
      </c>
    </row>
    <row r="30" spans="1:37" x14ac:dyDescent="0.25">
      <c r="A30" s="77">
        <v>2019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>
        <v>678325.22851124685</v>
      </c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>
        <v>678325.22851124685</v>
      </c>
    </row>
    <row r="31" spans="1:37" x14ac:dyDescent="0.25">
      <c r="A31" s="77">
        <v>2030</v>
      </c>
      <c r="B31" s="216"/>
      <c r="C31" s="216"/>
      <c r="D31" s="216"/>
      <c r="E31" s="216"/>
      <c r="F31" s="216"/>
      <c r="G31" s="216"/>
      <c r="H31" s="216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>
        <v>646545.44394551869</v>
      </c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>
        <v>646545.44394551869</v>
      </c>
    </row>
    <row r="32" spans="1:37" x14ac:dyDescent="0.25">
      <c r="A32" s="77">
        <v>2050</v>
      </c>
      <c r="B32" s="216"/>
      <c r="C32" s="216"/>
      <c r="D32" s="216"/>
      <c r="E32" s="216"/>
      <c r="F32" s="216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>
        <v>1308440.3262549867</v>
      </c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>
        <v>1308440.3262549867</v>
      </c>
    </row>
    <row r="33" spans="1:37" x14ac:dyDescent="0.25">
      <c r="A33" s="76" t="s">
        <v>61</v>
      </c>
      <c r="B33" s="216">
        <v>182574.19618217932</v>
      </c>
      <c r="C33" s="216">
        <v>127499.95966883012</v>
      </c>
      <c r="D33" s="216">
        <v>1462905.7868523435</v>
      </c>
      <c r="E33" s="216">
        <v>4376997.4253103817</v>
      </c>
      <c r="F33" s="216">
        <v>281468.55244752642</v>
      </c>
      <c r="G33" s="216">
        <v>23735.996488067191</v>
      </c>
      <c r="H33" s="216">
        <v>197788.71253069426</v>
      </c>
      <c r="I33" s="216">
        <v>1445379.0531089196</v>
      </c>
      <c r="J33" s="216">
        <v>428226</v>
      </c>
      <c r="K33" s="216">
        <v>24277023.514387332</v>
      </c>
      <c r="L33" s="216">
        <v>1513844.376677237</v>
      </c>
      <c r="M33" s="216">
        <v>6938936.0675626714</v>
      </c>
      <c r="N33" s="216">
        <v>2948427</v>
      </c>
      <c r="O33" s="216">
        <v>9544788.6474304795</v>
      </c>
      <c r="P33" s="216">
        <v>995654</v>
      </c>
      <c r="Q33" s="216">
        <v>692260.49385742994</v>
      </c>
      <c r="R33" s="216">
        <v>13284143.772356629</v>
      </c>
      <c r="S33" s="216">
        <v>23090600.613956243</v>
      </c>
      <c r="T33" s="216">
        <v>2996249.0522175082</v>
      </c>
      <c r="U33" s="216">
        <v>11512834.962620307</v>
      </c>
      <c r="V33" s="216">
        <v>2647325.8446415998</v>
      </c>
      <c r="W33" s="216">
        <v>336392.95646566537</v>
      </c>
      <c r="X33" s="216">
        <v>2633310.9987117522</v>
      </c>
      <c r="Y33" s="216">
        <v>1691456.9740143262</v>
      </c>
      <c r="Z33" s="216">
        <v>77916.642019840641</v>
      </c>
      <c r="AA33" s="216">
        <v>14869354.308250314</v>
      </c>
      <c r="AB33" s="216">
        <v>25277454.801335461</v>
      </c>
      <c r="AC33" s="216">
        <v>682979.63888483576</v>
      </c>
      <c r="AD33" s="216">
        <v>545463.19606495893</v>
      </c>
      <c r="AE33" s="216">
        <v>8800578.9441841338</v>
      </c>
      <c r="AF33" s="216">
        <v>423229.03278958891</v>
      </c>
      <c r="AG33" s="216">
        <v>842659.51958776067</v>
      </c>
      <c r="AH33" s="216">
        <v>22450133.785415035</v>
      </c>
      <c r="AI33" s="216">
        <v>7034776.8132165838</v>
      </c>
      <c r="AJ33" s="216">
        <v>2457092.6309540803</v>
      </c>
      <c r="AK33" s="216">
        <v>197091464.27019072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T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9" bestFit="1" customWidth="1"/>
    <col min="4" max="4" width="11.140625" bestFit="1" customWidth="1"/>
    <col min="5" max="5" width="10.85546875" bestFit="1" customWidth="1"/>
    <col min="6" max="6" width="13.140625" bestFit="1" customWidth="1"/>
    <col min="7" max="8" width="8.85546875" bestFit="1" customWidth="1"/>
    <col min="9" max="9" width="13.28515625" bestFit="1" customWidth="1"/>
    <col min="10" max="10" width="13.85546875" bestFit="1" customWidth="1"/>
    <col min="11" max="11" width="7.7109375" bestFit="1" customWidth="1"/>
    <col min="12" max="12" width="16" bestFit="1" customWidth="1"/>
    <col min="13" max="13" width="8.7109375" bestFit="1" customWidth="1"/>
    <col min="14" max="14" width="6.7109375" bestFit="1" customWidth="1"/>
    <col min="15" max="15" width="20.7109375" bestFit="1" customWidth="1"/>
    <col min="16" max="16" width="9.140625" bestFit="1" customWidth="1"/>
    <col min="17" max="17" width="8.42578125" bestFit="1" customWidth="1"/>
    <col min="18" max="18" width="7.7109375" bestFit="1" customWidth="1"/>
    <col min="19" max="19" width="14.5703125" bestFit="1" customWidth="1"/>
    <col min="20" max="20" width="11.2851562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20" x14ac:dyDescent="0.25">
      <c r="A2" s="75" t="s">
        <v>278</v>
      </c>
      <c r="B2" s="76">
        <v>1</v>
      </c>
    </row>
    <row r="4" spans="1:20" x14ac:dyDescent="0.25">
      <c r="A4" s="75" t="s">
        <v>305</v>
      </c>
      <c r="B4" s="75" t="s">
        <v>62</v>
      </c>
    </row>
    <row r="5" spans="1:20" x14ac:dyDescent="0.25">
      <c r="A5" s="75" t="s">
        <v>60</v>
      </c>
      <c r="B5" t="s">
        <v>15</v>
      </c>
      <c r="C5" t="s">
        <v>102</v>
      </c>
      <c r="D5" t="s">
        <v>96</v>
      </c>
      <c r="E5" t="s">
        <v>6</v>
      </c>
      <c r="F5" t="s">
        <v>103</v>
      </c>
      <c r="G5" t="s">
        <v>12</v>
      </c>
      <c r="H5" t="s">
        <v>48</v>
      </c>
      <c r="I5" t="s">
        <v>115</v>
      </c>
      <c r="J5" t="s">
        <v>108</v>
      </c>
      <c r="K5" t="s">
        <v>53</v>
      </c>
      <c r="L5" t="s">
        <v>116</v>
      </c>
      <c r="M5" t="s">
        <v>14</v>
      </c>
      <c r="N5" t="s">
        <v>52</v>
      </c>
      <c r="O5" t="s">
        <v>107</v>
      </c>
      <c r="P5" t="s">
        <v>13</v>
      </c>
      <c r="Q5" t="s">
        <v>158</v>
      </c>
      <c r="R5" t="s">
        <v>54</v>
      </c>
      <c r="S5" t="s">
        <v>159</v>
      </c>
      <c r="T5" t="s">
        <v>61</v>
      </c>
    </row>
    <row r="6" spans="1:20" x14ac:dyDescent="0.25">
      <c r="A6" s="76">
        <v>2019</v>
      </c>
      <c r="B6" s="74">
        <v>0</v>
      </c>
      <c r="C6" s="74">
        <v>370459.67448149773</v>
      </c>
      <c r="D6" s="74">
        <v>0</v>
      </c>
      <c r="E6" s="74">
        <v>203936.60569913458</v>
      </c>
      <c r="F6" s="74">
        <v>282332.03034110228</v>
      </c>
      <c r="G6" s="74">
        <v>0</v>
      </c>
      <c r="H6" s="74">
        <v>0</v>
      </c>
      <c r="I6" s="74">
        <v>944817.29105430027</v>
      </c>
      <c r="J6" s="74">
        <v>0</v>
      </c>
      <c r="K6" s="74">
        <v>0</v>
      </c>
      <c r="L6" s="74">
        <v>0</v>
      </c>
      <c r="M6" s="74">
        <v>0</v>
      </c>
      <c r="N6" s="74">
        <v>0</v>
      </c>
      <c r="O6" s="74">
        <v>0</v>
      </c>
      <c r="P6" s="74">
        <v>0</v>
      </c>
      <c r="Q6" s="74">
        <v>142742</v>
      </c>
      <c r="R6" s="74">
        <v>420628.93071698514</v>
      </c>
      <c r="S6" s="74">
        <v>5421074.2654714445</v>
      </c>
      <c r="T6" s="74">
        <v>7785990.7977644643</v>
      </c>
    </row>
    <row r="7" spans="1:20" x14ac:dyDescent="0.25">
      <c r="A7" s="76">
        <v>2030</v>
      </c>
      <c r="B7" s="74">
        <v>0</v>
      </c>
      <c r="C7" s="74">
        <v>0</v>
      </c>
      <c r="D7" s="74">
        <v>0</v>
      </c>
      <c r="E7" s="74">
        <v>0</v>
      </c>
      <c r="F7" s="74">
        <v>0</v>
      </c>
      <c r="G7" s="74">
        <v>0</v>
      </c>
      <c r="H7" s="74">
        <v>0</v>
      </c>
      <c r="I7" s="74">
        <v>1985633.2267312168</v>
      </c>
      <c r="J7" s="74">
        <v>121218.25849421723</v>
      </c>
      <c r="K7" s="74">
        <v>0</v>
      </c>
      <c r="L7" s="74">
        <v>0</v>
      </c>
      <c r="M7" s="74">
        <v>51843.324620132888</v>
      </c>
      <c r="N7" s="74">
        <v>0</v>
      </c>
      <c r="O7" s="74">
        <v>0</v>
      </c>
      <c r="P7" s="74">
        <v>0</v>
      </c>
      <c r="Q7" s="74">
        <v>142742</v>
      </c>
      <c r="R7" s="74">
        <v>441805.67568415956</v>
      </c>
      <c r="S7" s="74">
        <v>3661484.3693090063</v>
      </c>
      <c r="T7" s="74">
        <v>6404726.8548387326</v>
      </c>
    </row>
    <row r="8" spans="1:20" x14ac:dyDescent="0.25">
      <c r="A8" s="76">
        <v>2050</v>
      </c>
      <c r="B8" s="74">
        <v>21164.342117856617</v>
      </c>
      <c r="C8" s="74">
        <v>0</v>
      </c>
      <c r="D8" s="74">
        <v>62158.462761111325</v>
      </c>
      <c r="E8" s="74">
        <v>0</v>
      </c>
      <c r="F8" s="74">
        <v>0</v>
      </c>
      <c r="G8" s="74">
        <v>233567.51949445403</v>
      </c>
      <c r="H8" s="74">
        <v>1117452.9738889411</v>
      </c>
      <c r="I8" s="74">
        <v>4104326.2954310672</v>
      </c>
      <c r="J8" s="74">
        <v>38234.096623569851</v>
      </c>
      <c r="K8" s="74">
        <v>516494.58495904895</v>
      </c>
      <c r="L8" s="74">
        <v>712841.35005861125</v>
      </c>
      <c r="M8" s="74">
        <v>112903.28792996558</v>
      </c>
      <c r="N8" s="74">
        <v>79045.945262496738</v>
      </c>
      <c r="O8" s="74">
        <v>172.32701619649208</v>
      </c>
      <c r="P8" s="74">
        <v>199508.1218701629</v>
      </c>
      <c r="Q8" s="74">
        <v>142742</v>
      </c>
      <c r="R8" s="74">
        <v>0</v>
      </c>
      <c r="S8" s="74">
        <v>462230.0126500281</v>
      </c>
      <c r="T8" s="74">
        <v>7802841.32006351</v>
      </c>
    </row>
    <row r="9" spans="1:20" x14ac:dyDescent="0.25">
      <c r="A9" s="76" t="s">
        <v>61</v>
      </c>
      <c r="B9" s="74">
        <v>21164.342117856617</v>
      </c>
      <c r="C9" s="74">
        <v>370459.67448149773</v>
      </c>
      <c r="D9" s="74">
        <v>62158.462761111325</v>
      </c>
      <c r="E9" s="74">
        <v>203936.60569913458</v>
      </c>
      <c r="F9" s="74">
        <v>282332.03034110228</v>
      </c>
      <c r="G9" s="74">
        <v>233567.51949445403</v>
      </c>
      <c r="H9" s="74">
        <v>1117452.9738889411</v>
      </c>
      <c r="I9" s="74">
        <v>7034776.8132165838</v>
      </c>
      <c r="J9" s="74">
        <v>159452.35511778708</v>
      </c>
      <c r="K9" s="74">
        <v>516494.58495904895</v>
      </c>
      <c r="L9" s="74">
        <v>712841.35005861125</v>
      </c>
      <c r="M9" s="74">
        <v>164746.61255009845</v>
      </c>
      <c r="N9" s="74">
        <v>79045.945262496738</v>
      </c>
      <c r="O9" s="74">
        <v>172.32701619649208</v>
      </c>
      <c r="P9" s="74">
        <v>199508.1218701629</v>
      </c>
      <c r="Q9" s="74">
        <v>428226</v>
      </c>
      <c r="R9" s="74">
        <v>862434.60640114476</v>
      </c>
      <c r="S9" s="74">
        <v>9544788.6474304814</v>
      </c>
      <c r="T9" s="74">
        <v>21993558.972666707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C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bestFit="1" customWidth="1"/>
    <col min="2" max="2" width="16.28515625" bestFit="1" customWidth="1"/>
    <col min="3" max="3" width="9.85546875" bestFit="1" customWidth="1"/>
    <col min="4" max="4" width="11" bestFit="1" customWidth="1"/>
    <col min="5" max="5" width="11.5703125" bestFit="1" customWidth="1"/>
    <col min="6" max="6" width="11.140625" bestFit="1" customWidth="1"/>
    <col min="7" max="7" width="9.85546875" bestFit="1" customWidth="1"/>
    <col min="8" max="8" width="11" bestFit="1" customWidth="1"/>
    <col min="9" max="9" width="10.85546875" bestFit="1" customWidth="1"/>
    <col min="10" max="10" width="13.140625" bestFit="1" customWidth="1"/>
    <col min="11" max="12" width="9.85546875" bestFit="1" customWidth="1"/>
    <col min="13" max="13" width="13.85546875" bestFit="1" customWidth="1"/>
    <col min="14" max="14" width="9.85546875" bestFit="1" customWidth="1"/>
    <col min="15" max="15" width="16" bestFit="1" customWidth="1"/>
    <col min="16" max="16" width="10" bestFit="1" customWidth="1"/>
    <col min="17" max="17" width="8.7109375" bestFit="1" customWidth="1"/>
    <col min="18" max="19" width="9.85546875" bestFit="1" customWidth="1"/>
    <col min="20" max="20" width="21" bestFit="1" customWidth="1"/>
    <col min="21" max="21" width="20.7109375" bestFit="1" customWidth="1"/>
    <col min="22" max="22" width="9.85546875" bestFit="1" customWidth="1"/>
    <col min="23" max="23" width="5.140625" bestFit="1" customWidth="1"/>
    <col min="24" max="24" width="16" bestFit="1" customWidth="1"/>
    <col min="25" max="27" width="9.85546875" bestFit="1" customWidth="1"/>
    <col min="28" max="28" width="9.28515625" bestFit="1" customWidth="1"/>
    <col min="29" max="29" width="12" bestFit="1" customWidth="1"/>
    <col min="30" max="31" width="11.28515625" bestFit="1" customWidth="1"/>
    <col min="32" max="32" width="10.140625" bestFit="1" customWidth="1"/>
    <col min="33" max="33" width="12.140625" bestFit="1" customWidth="1"/>
    <col min="34" max="34" width="8.8554687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10.42578125" bestFit="1" customWidth="1"/>
    <col min="40" max="40" width="12.28515625" bestFit="1" customWidth="1"/>
    <col min="41" max="41" width="14.5703125" bestFit="1" customWidth="1"/>
    <col min="42" max="43" width="9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2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29" x14ac:dyDescent="0.25">
      <c r="A2" s="75" t="s">
        <v>300</v>
      </c>
      <c r="B2" s="76">
        <v>1</v>
      </c>
    </row>
    <row r="4" spans="1:29" x14ac:dyDescent="0.25">
      <c r="A4" s="75" t="s">
        <v>252</v>
      </c>
      <c r="B4" s="75" t="s">
        <v>62</v>
      </c>
    </row>
    <row r="5" spans="1:29" x14ac:dyDescent="0.25">
      <c r="A5" s="75" t="s">
        <v>60</v>
      </c>
      <c r="B5" t="s">
        <v>15</v>
      </c>
      <c r="C5" t="s">
        <v>49</v>
      </c>
      <c r="D5" t="s">
        <v>110</v>
      </c>
      <c r="E5" t="s">
        <v>101</v>
      </c>
      <c r="F5" t="s">
        <v>96</v>
      </c>
      <c r="G5" t="s">
        <v>113</v>
      </c>
      <c r="H5" t="s">
        <v>51</v>
      </c>
      <c r="I5" t="s">
        <v>6</v>
      </c>
      <c r="J5" t="s">
        <v>103</v>
      </c>
      <c r="K5" t="s">
        <v>12</v>
      </c>
      <c r="L5" t="s">
        <v>48</v>
      </c>
      <c r="M5" t="s">
        <v>108</v>
      </c>
      <c r="N5" t="s">
        <v>53</v>
      </c>
      <c r="O5" t="s">
        <v>116</v>
      </c>
      <c r="P5" t="s">
        <v>106</v>
      </c>
      <c r="Q5" t="s">
        <v>14</v>
      </c>
      <c r="R5" t="s">
        <v>117</v>
      </c>
      <c r="S5" t="s">
        <v>52</v>
      </c>
      <c r="T5" t="s">
        <v>121</v>
      </c>
      <c r="U5" t="s">
        <v>107</v>
      </c>
      <c r="V5" t="s">
        <v>13</v>
      </c>
      <c r="W5" t="s">
        <v>99</v>
      </c>
      <c r="X5" t="s">
        <v>140</v>
      </c>
      <c r="Y5" t="s">
        <v>54</v>
      </c>
      <c r="Z5" t="s">
        <v>56</v>
      </c>
      <c r="AA5" t="s">
        <v>55</v>
      </c>
      <c r="AB5" t="s">
        <v>238</v>
      </c>
      <c r="AC5" t="s">
        <v>61</v>
      </c>
    </row>
    <row r="6" spans="1:29" x14ac:dyDescent="0.25">
      <c r="A6" s="76">
        <v>2019</v>
      </c>
      <c r="B6" s="94">
        <v>176596.89940199585</v>
      </c>
      <c r="C6" s="94">
        <v>212954.7645341866</v>
      </c>
      <c r="D6" s="94">
        <v>3230529.0722415126</v>
      </c>
      <c r="E6" s="94">
        <v>1352218.0071428574</v>
      </c>
      <c r="F6" s="94">
        <v>138275.28002889914</v>
      </c>
      <c r="G6" s="94">
        <v>1508282.669250763</v>
      </c>
      <c r="H6" s="94">
        <v>4087571.5535632996</v>
      </c>
      <c r="I6" s="94"/>
      <c r="J6" s="94"/>
      <c r="K6" s="94">
        <v>2041731.0676095125</v>
      </c>
      <c r="L6" s="94">
        <v>1976968.2090253732</v>
      </c>
      <c r="M6" s="94">
        <v>51892.132620096323</v>
      </c>
      <c r="N6" s="94">
        <v>1274488.0820395502</v>
      </c>
      <c r="O6" s="94">
        <v>2536783.2413289398</v>
      </c>
      <c r="P6" s="94">
        <v>880.09999999999991</v>
      </c>
      <c r="Q6" s="94">
        <v>8064.2063400965635</v>
      </c>
      <c r="R6" s="94">
        <v>5269000</v>
      </c>
      <c r="S6" s="94">
        <v>1637775.5474174484</v>
      </c>
      <c r="T6" s="94">
        <v>217010.36743552322</v>
      </c>
      <c r="U6" s="94">
        <v>105946.31157195524</v>
      </c>
      <c r="V6" s="94">
        <v>1382651.4311789067</v>
      </c>
      <c r="W6" s="94">
        <v>76.5</v>
      </c>
      <c r="X6" s="94">
        <v>4368323.901678659</v>
      </c>
      <c r="Y6" s="94"/>
      <c r="Z6" s="94">
        <v>912099.45136908058</v>
      </c>
      <c r="AA6" s="94">
        <v>2006067.2488276002</v>
      </c>
      <c r="AB6" s="94">
        <v>98784.738662362797</v>
      </c>
      <c r="AC6" s="94">
        <v>34594970.783268616</v>
      </c>
    </row>
    <row r="7" spans="1:29" x14ac:dyDescent="0.25">
      <c r="A7" s="76">
        <v>2030</v>
      </c>
      <c r="B7" s="94">
        <v>88022.559939656814</v>
      </c>
      <c r="C7" s="94">
        <v>997537.40382014518</v>
      </c>
      <c r="D7" s="94">
        <v>5876128.6539074313</v>
      </c>
      <c r="E7" s="94">
        <v>436272.67517169751</v>
      </c>
      <c r="F7" s="94">
        <v>41032.931452540652</v>
      </c>
      <c r="G7" s="94">
        <v>1401586.7021664588</v>
      </c>
      <c r="H7" s="94">
        <v>7296587.5607431894</v>
      </c>
      <c r="I7" s="94">
        <v>1033865.5069852719</v>
      </c>
      <c r="J7" s="94">
        <v>591642.55905312812</v>
      </c>
      <c r="K7" s="94">
        <v>1933983.9629797461</v>
      </c>
      <c r="L7" s="94">
        <v>1698285.9277597938</v>
      </c>
      <c r="M7" s="94"/>
      <c r="N7" s="94">
        <v>1703831.2509753662</v>
      </c>
      <c r="O7" s="94">
        <v>1102402.5067304149</v>
      </c>
      <c r="P7" s="94">
        <v>880.09999999999991</v>
      </c>
      <c r="Q7" s="94"/>
      <c r="R7" s="94">
        <v>3089251.4514141078</v>
      </c>
      <c r="S7" s="94">
        <v>1787607.2617034707</v>
      </c>
      <c r="T7" s="94">
        <v>112106.64759676083</v>
      </c>
      <c r="U7" s="94">
        <v>47458.843865180679</v>
      </c>
      <c r="V7" s="94">
        <v>596705.34393487545</v>
      </c>
      <c r="W7" s="94">
        <v>382.5</v>
      </c>
      <c r="X7" s="94">
        <v>1816195.3896754137</v>
      </c>
      <c r="Y7" s="94"/>
      <c r="Z7" s="94">
        <v>871023.20428516739</v>
      </c>
      <c r="AA7" s="94">
        <v>1912360.1390352619</v>
      </c>
      <c r="AB7" s="94">
        <v>160917.47813883494</v>
      </c>
      <c r="AC7" s="94">
        <v>34596068.56133391</v>
      </c>
    </row>
    <row r="8" spans="1:29" x14ac:dyDescent="0.25">
      <c r="A8" s="76">
        <v>2050</v>
      </c>
      <c r="B8" s="94"/>
      <c r="C8" s="94">
        <v>1913259.3368418217</v>
      </c>
      <c r="D8" s="94">
        <v>7470808.2181634232</v>
      </c>
      <c r="E8" s="94">
        <v>28109.42670770664</v>
      </c>
      <c r="F8" s="94"/>
      <c r="G8" s="94">
        <v>7956.3105810060788</v>
      </c>
      <c r="H8" s="94">
        <v>34880161.601057798</v>
      </c>
      <c r="I8" s="94">
        <v>4170005.4391380921</v>
      </c>
      <c r="J8" s="94">
        <v>382368.42148557794</v>
      </c>
      <c r="K8" s="94"/>
      <c r="L8" s="94"/>
      <c r="M8" s="94"/>
      <c r="N8" s="94"/>
      <c r="O8" s="94"/>
      <c r="P8" s="94">
        <v>880.09999999999991</v>
      </c>
      <c r="Q8" s="94"/>
      <c r="R8" s="94">
        <v>321091.18690605665</v>
      </c>
      <c r="S8" s="94"/>
      <c r="T8" s="94">
        <v>5859.9303124103544</v>
      </c>
      <c r="U8" s="94"/>
      <c r="V8" s="94"/>
      <c r="W8" s="94">
        <v>382.5</v>
      </c>
      <c r="X8" s="94">
        <v>750214.90435823007</v>
      </c>
      <c r="Y8" s="94">
        <v>1852933.4676486014</v>
      </c>
      <c r="Z8" s="94">
        <v>756682.92027104762</v>
      </c>
      <c r="AA8" s="94">
        <v>5375.3604753848949</v>
      </c>
      <c r="AB8" s="94">
        <v>633724.24976508948</v>
      </c>
      <c r="AC8" s="94">
        <v>53179813.373712249</v>
      </c>
    </row>
    <row r="9" spans="1:29" x14ac:dyDescent="0.25">
      <c r="A9" s="76" t="s">
        <v>61</v>
      </c>
      <c r="B9" s="94">
        <v>264619.45934165269</v>
      </c>
      <c r="C9" s="94">
        <v>3123751.5051961532</v>
      </c>
      <c r="D9" s="94">
        <v>16577465.944312368</v>
      </c>
      <c r="E9" s="94">
        <v>1816600.1090222616</v>
      </c>
      <c r="F9" s="94">
        <v>179308.21148143979</v>
      </c>
      <c r="G9" s="94">
        <v>2917825.6819982277</v>
      </c>
      <c r="H9" s="94">
        <v>46264320.715364285</v>
      </c>
      <c r="I9" s="94">
        <v>5203870.9461233644</v>
      </c>
      <c r="J9" s="94">
        <v>974010.98053870606</v>
      </c>
      <c r="K9" s="94">
        <v>3975715.0305892583</v>
      </c>
      <c r="L9" s="94">
        <v>3675254.1367851673</v>
      </c>
      <c r="M9" s="94">
        <v>51892.132620096323</v>
      </c>
      <c r="N9" s="94">
        <v>2978319.3330149166</v>
      </c>
      <c r="O9" s="94">
        <v>3639185.7480593547</v>
      </c>
      <c r="P9" s="94">
        <v>2640.2999999999997</v>
      </c>
      <c r="Q9" s="94">
        <v>8064.2063400965635</v>
      </c>
      <c r="R9" s="94">
        <v>8679342.6383201648</v>
      </c>
      <c r="S9" s="94">
        <v>3425382.8091209191</v>
      </c>
      <c r="T9" s="94">
        <v>334976.94534469442</v>
      </c>
      <c r="U9" s="94">
        <v>153405.15543713592</v>
      </c>
      <c r="V9" s="94">
        <v>1979356.7751137821</v>
      </c>
      <c r="W9" s="94">
        <v>841.5</v>
      </c>
      <c r="X9" s="94">
        <v>6934734.1957123037</v>
      </c>
      <c r="Y9" s="94">
        <v>1852933.4676486014</v>
      </c>
      <c r="Z9" s="94">
        <v>2539805.5759252952</v>
      </c>
      <c r="AA9" s="94">
        <v>3923802.7483382472</v>
      </c>
      <c r="AB9" s="94">
        <v>893426.46656628721</v>
      </c>
      <c r="AC9" s="94">
        <v>122370852.71831477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5" t="s">
        <v>62</v>
      </c>
    </row>
    <row r="4" spans="1:11" x14ac:dyDescent="0.25">
      <c r="A4" s="75" t="s">
        <v>60</v>
      </c>
      <c r="B4" t="s">
        <v>230</v>
      </c>
      <c r="C4" t="s">
        <v>158</v>
      </c>
      <c r="D4" t="s">
        <v>224</v>
      </c>
      <c r="E4" t="s">
        <v>227</v>
      </c>
      <c r="F4" t="s">
        <v>226</v>
      </c>
      <c r="G4" t="s">
        <v>222</v>
      </c>
      <c r="H4" t="s">
        <v>312</v>
      </c>
      <c r="I4" t="s">
        <v>231</v>
      </c>
      <c r="J4" t="s">
        <v>225</v>
      </c>
      <c r="K4" t="s">
        <v>61</v>
      </c>
    </row>
    <row r="5" spans="1:11" x14ac:dyDescent="0.25">
      <c r="A5" s="76" t="s">
        <v>285</v>
      </c>
      <c r="B5" s="214"/>
      <c r="C5" s="214"/>
      <c r="D5" s="214"/>
      <c r="E5" s="214"/>
      <c r="F5" s="214"/>
      <c r="G5" s="214"/>
      <c r="H5" s="214"/>
      <c r="I5" s="214"/>
      <c r="J5" s="214"/>
      <c r="K5" s="214"/>
    </row>
    <row r="6" spans="1:11" x14ac:dyDescent="0.25">
      <c r="A6" s="77">
        <v>2019</v>
      </c>
      <c r="B6" s="214">
        <v>17.543930524502301</v>
      </c>
      <c r="C6" s="214">
        <v>0</v>
      </c>
      <c r="D6" s="214">
        <v>0</v>
      </c>
      <c r="E6" s="214">
        <v>19.591464268115235</v>
      </c>
      <c r="F6" s="214">
        <v>0</v>
      </c>
      <c r="G6" s="214">
        <v>0</v>
      </c>
      <c r="H6" s="214">
        <v>0</v>
      </c>
      <c r="I6" s="214">
        <v>3.9505661308495017</v>
      </c>
      <c r="J6" s="214">
        <v>47.491430804576645</v>
      </c>
      <c r="K6" s="214">
        <v>88.577391728043679</v>
      </c>
    </row>
    <row r="7" spans="1:11" x14ac:dyDescent="0.25">
      <c r="A7" s="77">
        <v>2030</v>
      </c>
      <c r="B7" s="214">
        <v>14.12423989447726</v>
      </c>
      <c r="C7" s="214">
        <v>0</v>
      </c>
      <c r="D7" s="214">
        <v>24.393200841877629</v>
      </c>
      <c r="E7" s="214">
        <v>27.63117559647575</v>
      </c>
      <c r="F7" s="214">
        <v>1.1331835E-3</v>
      </c>
      <c r="G7" s="214">
        <v>0.93973134231983635</v>
      </c>
      <c r="H7" s="214">
        <v>0</v>
      </c>
      <c r="I7" s="214">
        <v>7.2413089721898078</v>
      </c>
      <c r="J7" s="214">
        <v>45.055169098464063</v>
      </c>
      <c r="K7" s="214">
        <v>119.38595892930435</v>
      </c>
    </row>
    <row r="8" spans="1:11" x14ac:dyDescent="0.25">
      <c r="A8" s="77">
        <v>2050</v>
      </c>
      <c r="B8" s="214">
        <v>8.6827009518271741</v>
      </c>
      <c r="C8" s="214">
        <v>0</v>
      </c>
      <c r="D8" s="214">
        <v>64.175137325746221</v>
      </c>
      <c r="E8" s="214">
        <v>13.732936241351867</v>
      </c>
      <c r="F8" s="214">
        <v>1.1331835E-3</v>
      </c>
      <c r="G8" s="214">
        <v>6.0547705128400089E-2</v>
      </c>
      <c r="H8" s="214">
        <v>0</v>
      </c>
      <c r="I8" s="214">
        <v>14.654531654055848</v>
      </c>
      <c r="J8" s="214">
        <v>45.041720198799787</v>
      </c>
      <c r="K8" s="214">
        <v>146.3487072604093</v>
      </c>
    </row>
    <row r="9" spans="1:11" x14ac:dyDescent="0.25">
      <c r="A9" s="76" t="s">
        <v>243</v>
      </c>
      <c r="B9" s="214"/>
      <c r="C9" s="214"/>
      <c r="D9" s="214"/>
      <c r="E9" s="214"/>
      <c r="F9" s="214"/>
      <c r="G9" s="214"/>
      <c r="H9" s="214"/>
      <c r="I9" s="214"/>
      <c r="J9" s="214"/>
      <c r="K9" s="214"/>
    </row>
    <row r="10" spans="1:11" x14ac:dyDescent="0.25">
      <c r="A10" s="77">
        <v>2019</v>
      </c>
      <c r="B10" s="214">
        <v>7.483154704207001</v>
      </c>
      <c r="C10" s="214">
        <v>2.1694819870080004</v>
      </c>
      <c r="D10" s="214">
        <v>1.420171986175</v>
      </c>
      <c r="E10" s="214">
        <v>0.45076703431999982</v>
      </c>
      <c r="F10" s="214">
        <v>0</v>
      </c>
      <c r="G10" s="214">
        <v>5.0922829580050024</v>
      </c>
      <c r="H10" s="214">
        <v>0</v>
      </c>
      <c r="I10" s="214">
        <v>0</v>
      </c>
      <c r="J10" s="214">
        <v>0</v>
      </c>
      <c r="K10" s="214">
        <v>16.615858669715003</v>
      </c>
    </row>
    <row r="11" spans="1:11" x14ac:dyDescent="0.25">
      <c r="A11" s="77">
        <v>2030</v>
      </c>
      <c r="B11" s="214">
        <v>3.9924514842057848</v>
      </c>
      <c r="C11" s="214">
        <v>2.1694819870080004</v>
      </c>
      <c r="D11" s="214">
        <v>0</v>
      </c>
      <c r="E11" s="214">
        <v>0</v>
      </c>
      <c r="F11" s="214">
        <v>0</v>
      </c>
      <c r="G11" s="214">
        <v>10.114954755047025</v>
      </c>
      <c r="H11" s="214">
        <v>0</v>
      </c>
      <c r="I11" s="214">
        <v>0</v>
      </c>
      <c r="J11" s="214">
        <v>0</v>
      </c>
      <c r="K11" s="214">
        <v>16.276888226260809</v>
      </c>
    </row>
    <row r="12" spans="1:11" x14ac:dyDescent="0.25">
      <c r="A12" s="77">
        <v>2050</v>
      </c>
      <c r="B12" s="214">
        <v>5.0333912548142052</v>
      </c>
      <c r="C12" s="214">
        <v>2.1694819870080004</v>
      </c>
      <c r="D12" s="214">
        <v>0</v>
      </c>
      <c r="E12" s="214">
        <v>0</v>
      </c>
      <c r="F12" s="214">
        <v>0</v>
      </c>
      <c r="G12" s="214">
        <v>1.2624378640218132</v>
      </c>
      <c r="H12" s="214">
        <v>0</v>
      </c>
      <c r="I12" s="214">
        <v>0</v>
      </c>
      <c r="J12" s="214">
        <v>0</v>
      </c>
      <c r="K12" s="214">
        <v>8.4653111058440178</v>
      </c>
    </row>
    <row r="13" spans="1:11" x14ac:dyDescent="0.25">
      <c r="A13" s="76" t="s">
        <v>286</v>
      </c>
      <c r="B13" s="214">
        <v>40.350871370806736</v>
      </c>
      <c r="C13" s="214">
        <v>0</v>
      </c>
      <c r="D13" s="214">
        <v>88.56833816762385</v>
      </c>
      <c r="E13" s="214">
        <v>60.955576105942853</v>
      </c>
      <c r="F13" s="214">
        <v>2.266367E-3</v>
      </c>
      <c r="G13" s="214">
        <v>1.0002790474482364</v>
      </c>
      <c r="H13" s="214">
        <v>0</v>
      </c>
      <c r="I13" s="214">
        <v>25.84640675709516</v>
      </c>
      <c r="J13" s="214">
        <v>137.58832010184051</v>
      </c>
      <c r="K13" s="214">
        <v>354.31205791775733</v>
      </c>
    </row>
    <row r="14" spans="1:11" x14ac:dyDescent="0.25">
      <c r="A14" s="76" t="s">
        <v>244</v>
      </c>
      <c r="B14" s="214">
        <v>16.508997443226992</v>
      </c>
      <c r="C14" s="214">
        <v>6.5084459610240017</v>
      </c>
      <c r="D14" s="214">
        <v>1.420171986175</v>
      </c>
      <c r="E14" s="214">
        <v>0.45076703431999982</v>
      </c>
      <c r="F14" s="214">
        <v>0</v>
      </c>
      <c r="G14" s="214">
        <v>16.46967557707384</v>
      </c>
      <c r="H14" s="214">
        <v>0</v>
      </c>
      <c r="I14" s="214">
        <v>0</v>
      </c>
      <c r="J14" s="214">
        <v>0</v>
      </c>
      <c r="K14" s="214">
        <v>41.358058001819828</v>
      </c>
    </row>
  </sheetData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5" t="s">
        <v>239</v>
      </c>
      <c r="B1" s="75" t="s">
        <v>62</v>
      </c>
    </row>
    <row r="2" spans="1:9" x14ac:dyDescent="0.25">
      <c r="A2" s="75" t="s">
        <v>60</v>
      </c>
      <c r="B2" t="s">
        <v>230</v>
      </c>
      <c r="C2" t="s">
        <v>158</v>
      </c>
      <c r="D2" t="s">
        <v>224</v>
      </c>
      <c r="E2" t="s">
        <v>227</v>
      </c>
      <c r="F2" t="s">
        <v>226</v>
      </c>
      <c r="G2" t="s">
        <v>222</v>
      </c>
      <c r="H2" t="s">
        <v>225</v>
      </c>
      <c r="I2" t="s">
        <v>61</v>
      </c>
    </row>
    <row r="3" spans="1:9" x14ac:dyDescent="0.25">
      <c r="A3" s="76">
        <v>2019</v>
      </c>
      <c r="B3" s="215">
        <v>1077304.94</v>
      </c>
      <c r="C3" s="215">
        <v>128467.8</v>
      </c>
      <c r="D3" s="215">
        <v>128726.35999999999</v>
      </c>
      <c r="E3" s="215">
        <v>1676887.9013836056</v>
      </c>
      <c r="F3" s="215">
        <v>0</v>
      </c>
      <c r="G3" s="215">
        <v>704016.11583333346</v>
      </c>
      <c r="H3" s="215">
        <v>1575935.1462763192</v>
      </c>
      <c r="I3" s="215">
        <v>5291338.2634932585</v>
      </c>
    </row>
    <row r="4" spans="1:9" x14ac:dyDescent="0.25">
      <c r="A4" s="76">
        <v>2030</v>
      </c>
      <c r="B4" s="215">
        <v>1081138.0604123813</v>
      </c>
      <c r="C4" s="215">
        <v>128467.8</v>
      </c>
      <c r="D4" s="215">
        <v>2911715.3446413972</v>
      </c>
      <c r="E4" s="215">
        <v>2320481.2029949962</v>
      </c>
      <c r="F4" s="215">
        <v>189.39</v>
      </c>
      <c r="G4" s="215">
        <v>1516304.9496731197</v>
      </c>
      <c r="H4" s="215">
        <v>1496587.689162788</v>
      </c>
      <c r="I4" s="215">
        <v>9454884.4368846826</v>
      </c>
    </row>
    <row r="5" spans="1:9" x14ac:dyDescent="0.25">
      <c r="A5" s="76">
        <v>2050</v>
      </c>
      <c r="B5" s="215">
        <v>1009103.8878695687</v>
      </c>
      <c r="C5" s="215">
        <v>128467.8</v>
      </c>
      <c r="D5" s="215">
        <v>9766445.2482961845</v>
      </c>
      <c r="E5" s="215">
        <v>1129374.4698903398</v>
      </c>
      <c r="F5" s="215">
        <v>189.39</v>
      </c>
      <c r="G5" s="215">
        <v>188407.19869176933</v>
      </c>
      <c r="H5" s="215">
        <v>1506464.0604055864</v>
      </c>
      <c r="I5" s="215">
        <v>13728452.055153448</v>
      </c>
    </row>
    <row r="6" spans="1:9" x14ac:dyDescent="0.25">
      <c r="A6" s="76" t="s">
        <v>61</v>
      </c>
      <c r="B6" s="215">
        <v>3167546.8882819498</v>
      </c>
      <c r="C6" s="215">
        <v>385403.4</v>
      </c>
      <c r="D6" s="215">
        <v>12806886.952937581</v>
      </c>
      <c r="E6" s="215">
        <v>5126743.5742689408</v>
      </c>
      <c r="F6" s="215">
        <v>378.78</v>
      </c>
      <c r="G6" s="215">
        <v>2408728.2641982227</v>
      </c>
      <c r="H6" s="215">
        <v>4578986.8958446942</v>
      </c>
      <c r="I6" s="215">
        <v>28474674.755531389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4" width="9.140625" bestFit="1" customWidth="1"/>
    <col min="5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5" t="s">
        <v>198</v>
      </c>
      <c r="B1" s="75" t="s">
        <v>62</v>
      </c>
    </row>
    <row r="2" spans="1:10" x14ac:dyDescent="0.25">
      <c r="A2" s="75" t="s">
        <v>60</v>
      </c>
      <c r="B2" t="s">
        <v>111</v>
      </c>
      <c r="C2" t="s">
        <v>200</v>
      </c>
      <c r="D2" t="s">
        <v>193</v>
      </c>
      <c r="E2" t="s">
        <v>194</v>
      </c>
      <c r="F2" t="s">
        <v>10</v>
      </c>
      <c r="G2" t="s">
        <v>261</v>
      </c>
      <c r="H2" t="s">
        <v>310</v>
      </c>
      <c r="I2" t="s">
        <v>332</v>
      </c>
      <c r="J2" t="s">
        <v>61</v>
      </c>
    </row>
    <row r="3" spans="1:10" x14ac:dyDescent="0.25">
      <c r="A3" s="76">
        <v>2019</v>
      </c>
      <c r="B3" s="94">
        <v>13910380.018766819</v>
      </c>
      <c r="C3" s="94">
        <v>-158.43719999999996</v>
      </c>
      <c r="D3" s="94">
        <v>5519261.9007367166</v>
      </c>
      <c r="E3" s="94">
        <v>9725344.026449265</v>
      </c>
      <c r="F3" s="94">
        <v>-562410</v>
      </c>
      <c r="G3" s="94">
        <v>-165207.21089505972</v>
      </c>
      <c r="H3" s="94">
        <v>0</v>
      </c>
      <c r="I3" s="94">
        <v>-606450.26032409817</v>
      </c>
      <c r="J3" s="94">
        <v>27820760.037533641</v>
      </c>
    </row>
    <row r="4" spans="1:10" x14ac:dyDescent="0.25">
      <c r="A4" s="76">
        <v>2030</v>
      </c>
      <c r="B4" s="94">
        <v>9752909.8767487388</v>
      </c>
      <c r="C4" s="94">
        <v>-158.43719999999996</v>
      </c>
      <c r="D4" s="94">
        <v>3632152.2628168822</v>
      </c>
      <c r="E4" s="94">
        <v>8489319.4299691841</v>
      </c>
      <c r="F4" s="94">
        <v>-1506235.598111971</v>
      </c>
      <c r="G4" s="94">
        <v>-253714.21368796375</v>
      </c>
      <c r="H4" s="94">
        <v>0</v>
      </c>
      <c r="I4" s="94">
        <v>-608453.5670373945</v>
      </c>
      <c r="J4" s="94">
        <v>19505819.753497474</v>
      </c>
    </row>
    <row r="5" spans="1:10" x14ac:dyDescent="0.25">
      <c r="A5" s="76">
        <v>2050</v>
      </c>
      <c r="B5" s="94">
        <v>633807.98066069442</v>
      </c>
      <c r="C5" s="94">
        <v>-158.43719999999996</v>
      </c>
      <c r="D5" s="94">
        <v>462032.60052467551</v>
      </c>
      <c r="E5" s="94">
        <v>5014267.8611244122</v>
      </c>
      <c r="F5" s="94">
        <v>-3453383.6897283746</v>
      </c>
      <c r="G5" s="94">
        <v>-22262.763056218977</v>
      </c>
      <c r="H5" s="94">
        <v>0</v>
      </c>
      <c r="I5" s="94">
        <v>-1366687.5910038012</v>
      </c>
      <c r="J5" s="94">
        <v>1267615.9613213874</v>
      </c>
    </row>
    <row r="6" spans="1:10" x14ac:dyDescent="0.25">
      <c r="A6" s="76" t="s">
        <v>61</v>
      </c>
      <c r="B6" s="94">
        <v>24297097.876176253</v>
      </c>
      <c r="C6" s="94">
        <v>-475.31159999999988</v>
      </c>
      <c r="D6" s="94">
        <v>9613446.7640782744</v>
      </c>
      <c r="E6" s="94">
        <v>23228931.317542858</v>
      </c>
      <c r="F6" s="94">
        <v>-5522029.2878403459</v>
      </c>
      <c r="G6" s="94">
        <v>-441184.18763924245</v>
      </c>
      <c r="H6" s="94">
        <v>0</v>
      </c>
      <c r="I6" s="94">
        <v>-2581591.4183652941</v>
      </c>
      <c r="J6" s="94">
        <v>48594195.752352506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4">
        <f>SUMIF('Resultater - Vestdanmark'!$F$3:$F$509,'CO2-udledning'!$D$2,'Resultater - Vestdanmark'!H$3:H$509)</f>
        <v>11941424.383000549</v>
      </c>
      <c r="D2" s="94" t="s">
        <v>111</v>
      </c>
      <c r="E2" s="94" t="s">
        <v>111</v>
      </c>
    </row>
    <row r="3" spans="1:9" x14ac:dyDescent="0.25">
      <c r="A3" t="s">
        <v>23</v>
      </c>
      <c r="B3">
        <f t="shared" si="0"/>
        <v>2019</v>
      </c>
      <c r="C3" s="94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4" t="s">
        <v>167</v>
      </c>
      <c r="H3" s="94" t="s">
        <v>168</v>
      </c>
      <c r="I3" s="94" t="s">
        <v>169</v>
      </c>
    </row>
    <row r="4" spans="1:9" x14ac:dyDescent="0.25">
      <c r="A4" t="s">
        <v>23</v>
      </c>
      <c r="B4">
        <f t="shared" si="0"/>
        <v>2019</v>
      </c>
      <c r="C4" s="94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>
        <f t="shared" si="0"/>
        <v>2019</v>
      </c>
      <c r="C5" s="94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>
        <f t="shared" si="0"/>
        <v>2019</v>
      </c>
      <c r="C6" s="94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>
        <f t="shared" si="0"/>
        <v>2019</v>
      </c>
      <c r="C7" s="94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>
        <f t="shared" si="0"/>
        <v>2019</v>
      </c>
      <c r="C8" s="94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x14ac:dyDescent="0.25">
      <c r="A9" t="s">
        <v>23</v>
      </c>
      <c r="B9">
        <f t="shared" si="0"/>
        <v>2019</v>
      </c>
      <c r="C9" s="94">
        <f>SUMIFS('Resultater - Vestdanmark'!H$3:H$496,'Resultater - Vestdanmark'!$F$3:$F$496,'CO2-udledning'!$D$2,'Resultater - Vestdanmark'!$A$3:$A$496,'CO2-udledning'!$G9)</f>
        <v>-469132.82551179174</v>
      </c>
      <c r="D9" t="s">
        <v>331</v>
      </c>
      <c r="E9" t="s">
        <v>332</v>
      </c>
      <c r="G9" t="s">
        <v>330</v>
      </c>
    </row>
    <row r="10" spans="1:9" x14ac:dyDescent="0.25">
      <c r="A10" t="s">
        <v>23</v>
      </c>
      <c r="B10">
        <f t="shared" si="0"/>
        <v>2019</v>
      </c>
      <c r="C10" s="94">
        <f>SUMIFS('Resultater - Vestdanmark'!H$3:H$496,'Resultater - Vestdanmark'!$F$3:$F$496,'CO2-udledning'!$D$2,'Resultater - Vestdanmark'!$A$3:$A$496,'CO2-udledning'!$G10)</f>
        <v>-151930.36566196129</v>
      </c>
      <c r="D10" t="s">
        <v>261</v>
      </c>
      <c r="E10" t="s">
        <v>261</v>
      </c>
      <c r="G10" t="s">
        <v>261</v>
      </c>
    </row>
    <row r="11" spans="1:9" x14ac:dyDescent="0.25">
      <c r="A11" t="s">
        <v>23</v>
      </c>
      <c r="B11">
        <f t="shared" si="0"/>
        <v>2019</v>
      </c>
      <c r="C11" s="94">
        <f>SUMIFS('Resultater - Vestdanmark'!H$3:H$496,'Resultater - Vestdanmark'!$F$3:$F$496,'CO2-udledning'!$D$2,'Resultater - Vestdanmark'!$A$3:$A$496,'CO2-udledning'!$G11)</f>
        <v>0</v>
      </c>
      <c r="D11" t="s">
        <v>310</v>
      </c>
      <c r="E11" t="s">
        <v>310</v>
      </c>
      <c r="G11" t="s">
        <v>310</v>
      </c>
    </row>
    <row r="12" spans="1:9" x14ac:dyDescent="0.25">
      <c r="A12" t="s">
        <v>23</v>
      </c>
      <c r="B12">
        <f t="shared" ref="B12:B21" si="1">År2</f>
        <v>2030</v>
      </c>
      <c r="C12" s="94">
        <f ca="1">SUMIF('Resultater - Vestdanmark'!$F$3:$F$509,'CO2-udledning'!$D$2,'Resultater - Vestdanmark'!I$3:I$509)</f>
        <v>8253526.2508594617</v>
      </c>
      <c r="D12" s="94" t="str">
        <f>IF(D2&lt;&gt;"",D2,"")</f>
        <v>CO2 - atmosfære</v>
      </c>
      <c r="E12" s="94" t="str">
        <f>E2</f>
        <v>CO2 - atmosfære</v>
      </c>
      <c r="F12" s="94" t="str">
        <f t="shared" ref="F12:I12" si="2">IF(F2&lt;&gt;"",F2,"")</f>
        <v/>
      </c>
      <c r="G12" s="94" t="str">
        <f t="shared" si="2"/>
        <v/>
      </c>
      <c r="H12" s="94" t="str">
        <f t="shared" si="2"/>
        <v/>
      </c>
      <c r="I12" s="94" t="str">
        <f t="shared" si="2"/>
        <v/>
      </c>
    </row>
    <row r="13" spans="1:9" x14ac:dyDescent="0.25">
      <c r="A13" t="s">
        <v>23</v>
      </c>
      <c r="B13">
        <f t="shared" si="1"/>
        <v>2030</v>
      </c>
      <c r="C13" s="94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3333383.2697204407</v>
      </c>
      <c r="D13" s="94" t="str">
        <f t="shared" ref="D13:I13" si="3">IF(D3&lt;&gt;"",D3,"")</f>
        <v>Landbrug</v>
      </c>
      <c r="E13" s="94" t="str">
        <f t="shared" ref="E13:E61" si="4">E3</f>
        <v>Husdyr</v>
      </c>
      <c r="F13" s="94" t="str">
        <f t="shared" si="3"/>
        <v/>
      </c>
      <c r="G13" s="94" t="str">
        <f t="shared" si="3"/>
        <v>Grisestald</v>
      </c>
      <c r="H13" s="94" t="str">
        <f t="shared" si="3"/>
        <v>Kostald</v>
      </c>
      <c r="I13" s="94" t="str">
        <f t="shared" si="3"/>
        <v>Fjerkræbrug</v>
      </c>
    </row>
    <row r="14" spans="1:9" x14ac:dyDescent="0.25">
      <c r="A14" t="s">
        <v>23</v>
      </c>
      <c r="B14">
        <f t="shared" si="1"/>
        <v>2030</v>
      </c>
      <c r="C14" s="94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4042268.1505437652</v>
      </c>
      <c r="D14" s="94" t="str">
        <f t="shared" ref="D14:I14" si="5">IF(D4&lt;&gt;"",D4,"")</f>
        <v>Landbrug</v>
      </c>
      <c r="E14" s="94" t="str">
        <f t="shared" si="4"/>
        <v>Marker</v>
      </c>
      <c r="F14" s="94" t="str">
        <f t="shared" si="5"/>
        <v>JB1-10</v>
      </c>
      <c r="G14" s="94" t="str">
        <f t="shared" si="5"/>
        <v/>
      </c>
      <c r="H14" s="94" t="str">
        <f t="shared" si="5"/>
        <v/>
      </c>
      <c r="I14" s="94" t="str">
        <f t="shared" si="5"/>
        <v/>
      </c>
    </row>
    <row r="15" spans="1:9" x14ac:dyDescent="0.25">
      <c r="A15" t="s">
        <v>23</v>
      </c>
      <c r="B15">
        <f t="shared" si="1"/>
        <v>2030</v>
      </c>
      <c r="C15" s="94">
        <f>SUMIFS('Resultater - Vestdanmark'!I$3:I$496,'Resultater - Vestdanmark'!$F$3:$F$496,'CO2-udledning'!$D$2,'Resultater - Vestdanmark'!$C$3:$C$496,'CO2-udledning'!$F5)</f>
        <v>972375.23040678946</v>
      </c>
      <c r="D15" s="94" t="str">
        <f t="shared" ref="D15:I15" si="6">IF(D5&lt;&gt;"",D5,"")</f>
        <v>Landbrug</v>
      </c>
      <c r="E15" s="94" t="str">
        <f t="shared" si="4"/>
        <v>Marker</v>
      </c>
      <c r="F15" s="94" t="str">
        <f t="shared" si="6"/>
        <v>OC6</v>
      </c>
      <c r="G15" s="94" t="str">
        <f t="shared" si="6"/>
        <v/>
      </c>
      <c r="H15" s="94" t="str">
        <f t="shared" si="6"/>
        <v/>
      </c>
      <c r="I15" s="94" t="str">
        <f t="shared" si="6"/>
        <v/>
      </c>
    </row>
    <row r="16" spans="1:9" x14ac:dyDescent="0.25">
      <c r="A16" t="s">
        <v>23</v>
      </c>
      <c r="B16">
        <f t="shared" si="1"/>
        <v>2030</v>
      </c>
      <c r="C16" s="94">
        <f>SUMIFS('Resultater - Vestdanmark'!I$3:I$496,'Resultater - Vestdanmark'!$F$3:$F$496,'CO2-udledning'!$D$2,'Resultater - Vestdanmark'!$C$3:$C$496,'CO2-udledning'!$F6)</f>
        <v>1839084.3419425213</v>
      </c>
      <c r="D16" s="94" t="str">
        <f t="shared" ref="D16:I16" si="7">IF(D6&lt;&gt;"",D6,"")</f>
        <v>Landbrug</v>
      </c>
      <c r="E16" s="94" t="str">
        <f t="shared" si="4"/>
        <v>Marker</v>
      </c>
      <c r="F16" s="94" t="str">
        <f t="shared" si="7"/>
        <v>OC12</v>
      </c>
      <c r="G16" s="94" t="str">
        <f t="shared" si="7"/>
        <v/>
      </c>
      <c r="H16" s="94" t="str">
        <f t="shared" si="7"/>
        <v/>
      </c>
      <c r="I16" s="94" t="str">
        <f t="shared" si="7"/>
        <v/>
      </c>
    </row>
    <row r="17" spans="1:9" x14ac:dyDescent="0.25">
      <c r="A17" t="s">
        <v>23</v>
      </c>
      <c r="B17">
        <f t="shared" si="1"/>
        <v>2030</v>
      </c>
      <c r="C17" s="94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4" t="str">
        <f t="shared" ref="D17:I17" si="8">IF(D7&lt;&gt;"",D7,"")</f>
        <v>Hav</v>
      </c>
      <c r="E17" s="94" t="str">
        <f t="shared" si="4"/>
        <v>Hav</v>
      </c>
      <c r="F17" s="94" t="str">
        <f t="shared" si="8"/>
        <v/>
      </c>
      <c r="G17" s="94" t="str">
        <f t="shared" si="8"/>
        <v>Muslingefarm</v>
      </c>
      <c r="H17" s="94" t="str">
        <f t="shared" si="8"/>
        <v>Tangfarm</v>
      </c>
      <c r="I17" s="94" t="str">
        <f t="shared" si="8"/>
        <v/>
      </c>
    </row>
    <row r="18" spans="1:9" x14ac:dyDescent="0.25">
      <c r="A18" t="s">
        <v>23</v>
      </c>
      <c r="B18">
        <f t="shared" si="1"/>
        <v>2030</v>
      </c>
      <c r="C18" s="94">
        <f ca="1">SUMIFS('Resultater - Vestdanmark'!I$3:I$496,'Resultater - Vestdanmark'!$F$3:$F$496,'CO2-udledning'!$D$2,'Resultater - Vestdanmark'!$A$3:$A$496,'CO2-udledning'!$G8)</f>
        <v>-1228033.747647149</v>
      </c>
      <c r="D18" s="94" t="str">
        <f t="shared" ref="D18:I18" si="9">IF(D8&lt;&gt;"",D8,"")</f>
        <v>Skov</v>
      </c>
      <c r="E18" s="94" t="str">
        <f t="shared" si="4"/>
        <v>Skov</v>
      </c>
      <c r="F18" s="94" t="str">
        <f t="shared" si="9"/>
        <v/>
      </c>
      <c r="G18" s="94" t="str">
        <f t="shared" si="9"/>
        <v>Skovproduktion</v>
      </c>
      <c r="H18" s="94" t="str">
        <f t="shared" si="9"/>
        <v/>
      </c>
      <c r="I18" s="94" t="str">
        <f t="shared" si="9"/>
        <v/>
      </c>
    </row>
    <row r="19" spans="1:9" x14ac:dyDescent="0.25">
      <c r="A19" t="s">
        <v>23</v>
      </c>
      <c r="B19">
        <f t="shared" si="1"/>
        <v>2030</v>
      </c>
      <c r="C19" s="94">
        <f ca="1">SUMIFS('Resultater - Vestdanmark'!I$3:I$496,'Resultater - Vestdanmark'!$F$3:$F$496,'CO2-udledning'!$D$2,'Resultater - Vestdanmark'!$A$3:$A$496,'CO2-udledning'!$G9)</f>
        <v>-472893.63203247666</v>
      </c>
      <c r="D19" t="s">
        <v>331</v>
      </c>
      <c r="E19" s="94" t="str">
        <f t="shared" si="4"/>
        <v>Træprodukter</v>
      </c>
      <c r="G19" t="s">
        <v>330</v>
      </c>
      <c r="H19" s="94"/>
      <c r="I19" s="94"/>
    </row>
    <row r="20" spans="1:9" x14ac:dyDescent="0.25">
      <c r="A20" t="s">
        <v>23</v>
      </c>
      <c r="B20">
        <f t="shared" si="1"/>
        <v>2030</v>
      </c>
      <c r="C20" s="94">
        <f>SUMIFS('Resultater - Vestdanmark'!I$3:I$496,'Resultater - Vestdanmark'!$F$3:$F$496,'CO2-udledning'!$D$2,'Resultater - Vestdanmark'!$A$3:$A$496,'CO2-udledning'!$G10)</f>
        <v>-232499.11889965192</v>
      </c>
      <c r="D20" s="94" t="str">
        <f t="shared" ref="D20:I20" si="10">IF(D10&lt;&gt;"",D10,"")</f>
        <v>Biogasanlæg</v>
      </c>
      <c r="E20" s="94" t="str">
        <f t="shared" si="4"/>
        <v>Biogasanlæg</v>
      </c>
      <c r="F20" s="94" t="str">
        <f t="shared" si="10"/>
        <v/>
      </c>
      <c r="G20" s="94" t="str">
        <f t="shared" si="10"/>
        <v>Biogasanlæg</v>
      </c>
      <c r="H20" s="94" t="str">
        <f t="shared" si="10"/>
        <v/>
      </c>
      <c r="I20" s="94" t="str">
        <f t="shared" si="10"/>
        <v/>
      </c>
    </row>
    <row r="21" spans="1:9" x14ac:dyDescent="0.25">
      <c r="A21" t="s">
        <v>23</v>
      </c>
      <c r="B21">
        <f t="shared" si="1"/>
        <v>2030</v>
      </c>
      <c r="C21" s="94">
        <f>SUMIFS('Resultater - Vestdanmark'!I$3:I$496,'Resultater - Vestdanmark'!$F$3:$F$496,'CO2-udledning'!$D$2,'Resultater - Vestdanmark'!$A$3:$A$496,'CO2-udledning'!$G11)</f>
        <v>0</v>
      </c>
      <c r="D21" s="94" t="str">
        <f t="shared" ref="D21:I21" si="11">IF(D11&lt;&gt;"",D11,"")</f>
        <v>Pyrolyseproces</v>
      </c>
      <c r="E21" s="94" t="str">
        <f t="shared" si="4"/>
        <v>Pyrolyseproces</v>
      </c>
      <c r="F21" s="94" t="str">
        <f t="shared" si="11"/>
        <v/>
      </c>
      <c r="G21" s="94" t="str">
        <f t="shared" si="11"/>
        <v>Pyrolyseproces</v>
      </c>
      <c r="H21" s="94" t="str">
        <f t="shared" si="11"/>
        <v/>
      </c>
      <c r="I21" s="94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4">
        <f ca="1">SUMIF('Resultater - Vestdanmark'!$F$3:$F$509,'CO2-udledning'!$D$2,'Resultater - Vestdanmark'!J$3:J$509)</f>
        <v>231505.42815902986</v>
      </c>
      <c r="D22" s="94" t="str">
        <f t="shared" ref="D22:I22" si="13">IF(D12&lt;&gt;"",D12,"")</f>
        <v>CO2 - atmosfære</v>
      </c>
      <c r="E22" s="94" t="str">
        <f t="shared" si="4"/>
        <v>CO2 - atmosfære</v>
      </c>
      <c r="F22" s="94" t="str">
        <f t="shared" si="13"/>
        <v/>
      </c>
      <c r="G22" s="94" t="str">
        <f t="shared" si="13"/>
        <v/>
      </c>
      <c r="H22" s="94" t="str">
        <f t="shared" si="13"/>
        <v/>
      </c>
      <c r="I22" s="94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4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425175.44850829884</v>
      </c>
      <c r="D23" s="94" t="str">
        <f t="shared" ref="D23:I23" si="14">IF(D13&lt;&gt;"",D13,"")</f>
        <v>Landbrug</v>
      </c>
      <c r="E23" s="94" t="str">
        <f t="shared" si="4"/>
        <v>Husdyr</v>
      </c>
      <c r="F23" s="94" t="str">
        <f t="shared" si="14"/>
        <v/>
      </c>
      <c r="G23" s="94" t="str">
        <f t="shared" si="14"/>
        <v>Grisestald</v>
      </c>
      <c r="H23" s="94" t="str">
        <f t="shared" si="14"/>
        <v>Kostald</v>
      </c>
      <c r="I23" s="94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4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3720487.3144801827</v>
      </c>
      <c r="D24" s="94" t="str">
        <f t="shared" ref="D24:I24" si="15">IF(D14&lt;&gt;"",D14,"")</f>
        <v>Landbrug</v>
      </c>
      <c r="E24" s="94" t="str">
        <f t="shared" si="4"/>
        <v>Marker</v>
      </c>
      <c r="F24" s="94" t="str">
        <f t="shared" si="15"/>
        <v>JB1-10</v>
      </c>
      <c r="G24" s="94" t="str">
        <f t="shared" si="15"/>
        <v/>
      </c>
      <c r="H24" s="94" t="str">
        <f t="shared" si="15"/>
        <v/>
      </c>
      <c r="I24" s="94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4">
        <f>SUMIFS('Resultater - Vestdanmark'!J$3:J$496,'Resultater - Vestdanmark'!$F$3:$F$496,'CO2-udledning'!$D$2,'Resultater - Vestdanmark'!$C$3:$C$496,'CO2-udledning'!$F5)</f>
        <v>110711.6733009274</v>
      </c>
      <c r="D25" s="94" t="str">
        <f t="shared" ref="D25:I25" si="16">IF(D15&lt;&gt;"",D15,"")</f>
        <v>Landbrug</v>
      </c>
      <c r="E25" s="94" t="str">
        <f t="shared" si="4"/>
        <v>Marker</v>
      </c>
      <c r="F25" s="94" t="str">
        <f t="shared" si="16"/>
        <v>OC6</v>
      </c>
      <c r="G25" s="94" t="str">
        <f t="shared" si="16"/>
        <v/>
      </c>
      <c r="H25" s="94" t="str">
        <f t="shared" si="16"/>
        <v/>
      </c>
      <c r="I25" s="94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4">
        <f>SUMIFS('Resultater - Vestdanmark'!J$3:J$496,'Resultater - Vestdanmark'!$F$3:$F$496,'CO2-udledning'!$D$2,'Resultater - Vestdanmark'!$C$3:$C$496,'CO2-udledning'!$F6)</f>
        <v>0</v>
      </c>
      <c r="D26" s="94" t="str">
        <f t="shared" ref="D26:I26" si="17">IF(D16&lt;&gt;"",D16,"")</f>
        <v>Landbrug</v>
      </c>
      <c r="E26" s="94" t="str">
        <f t="shared" si="4"/>
        <v>Marker</v>
      </c>
      <c r="F26" s="94" t="str">
        <f t="shared" si="17"/>
        <v>OC12</v>
      </c>
      <c r="G26" s="94" t="str">
        <f t="shared" si="17"/>
        <v/>
      </c>
      <c r="H26" s="94" t="str">
        <f t="shared" si="17"/>
        <v/>
      </c>
      <c r="I26" s="94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4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4" t="str">
        <f t="shared" ref="D27:I27" si="18">IF(D17&lt;&gt;"",D17,"")</f>
        <v>Hav</v>
      </c>
      <c r="E27" s="94" t="str">
        <f t="shared" si="4"/>
        <v>Hav</v>
      </c>
      <c r="F27" s="94" t="str">
        <f t="shared" si="18"/>
        <v/>
      </c>
      <c r="G27" s="94" t="str">
        <f t="shared" si="18"/>
        <v>Muslingefarm</v>
      </c>
      <c r="H27" s="94" t="str">
        <f t="shared" si="18"/>
        <v>Tangfarm</v>
      </c>
      <c r="I27" s="94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4">
        <f ca="1">SUMIFS('Resultater - Vestdanmark'!J$3:J$496,'Resultater - Vestdanmark'!$F$3:$F$496,'CO2-udledning'!$D$2,'Resultater - Vestdanmark'!$A$3:$A$496,'CO2-udledning'!$G8)</f>
        <v>-2887651.1003491962</v>
      </c>
      <c r="D28" s="94" t="str">
        <f t="shared" ref="D28:I28" si="19">IF(D18&lt;&gt;"",D18,"")</f>
        <v>Skov</v>
      </c>
      <c r="E28" s="94" t="str">
        <f t="shared" si="4"/>
        <v>Skov</v>
      </c>
      <c r="F28" s="94" t="str">
        <f t="shared" si="19"/>
        <v/>
      </c>
      <c r="G28" s="94" t="str">
        <f t="shared" si="19"/>
        <v>Skovproduktion</v>
      </c>
      <c r="H28" s="94" t="str">
        <f t="shared" si="19"/>
        <v/>
      </c>
      <c r="I28" s="94" t="str">
        <f t="shared" si="19"/>
        <v/>
      </c>
    </row>
    <row r="29" spans="1:9" x14ac:dyDescent="0.25">
      <c r="A29" t="s">
        <v>23</v>
      </c>
      <c r="B29">
        <f t="shared" si="12"/>
        <v>2050</v>
      </c>
      <c r="C29" s="94">
        <f ca="1">SUMIFS('Resultater - Vestdanmark'!J$3:J$496,'Resultater - Vestdanmark'!$F$3:$F$496,'CO2-udledning'!$D$2,'Resultater - Vestdanmark'!$A$3:$A$496,'CO2-udledning'!$G9)</f>
        <v>-1116274.2073436431</v>
      </c>
      <c r="D29" t="s">
        <v>331</v>
      </c>
      <c r="E29" s="94" t="str">
        <f t="shared" si="4"/>
        <v>Træprodukter</v>
      </c>
      <c r="G29" t="s">
        <v>330</v>
      </c>
      <c r="H29" s="94"/>
      <c r="I29" s="94"/>
    </row>
    <row r="30" spans="1:9" x14ac:dyDescent="0.25">
      <c r="A30" t="s">
        <v>23</v>
      </c>
      <c r="B30">
        <f t="shared" si="12"/>
        <v>2050</v>
      </c>
      <c r="C30" s="94">
        <f>SUMIFS('Resultater - Vestdanmark'!J$3:J$496,'Resultater - Vestdanmark'!$F$3:$F$496,'CO2-udledning'!$D$2,'Resultater - Vestdanmark'!$A$3:$A$496,'CO2-udledning'!$G10)</f>
        <v>-20785.457262761494</v>
      </c>
      <c r="D30" s="94" t="str">
        <f t="shared" ref="D30:I30" si="20">IF(D20&lt;&gt;"",D20,"")</f>
        <v>Biogasanlæg</v>
      </c>
      <c r="E30" s="94" t="str">
        <f t="shared" si="4"/>
        <v>Biogasanlæg</v>
      </c>
      <c r="F30" s="94" t="str">
        <f t="shared" si="20"/>
        <v/>
      </c>
      <c r="G30" s="94" t="str">
        <f t="shared" si="20"/>
        <v>Biogasanlæg</v>
      </c>
      <c r="H30" s="94" t="str">
        <f t="shared" si="20"/>
        <v/>
      </c>
      <c r="I30" s="94" t="str">
        <f t="shared" si="20"/>
        <v/>
      </c>
    </row>
    <row r="31" spans="1:9" x14ac:dyDescent="0.25">
      <c r="A31" t="s">
        <v>23</v>
      </c>
      <c r="B31">
        <f t="shared" si="12"/>
        <v>2050</v>
      </c>
      <c r="C31" s="94">
        <f>SUMIFS('Resultater - Vestdanmark'!J$3:J$496,'Resultater - Vestdanmark'!$F$3:$F$496,'CO2-udledning'!$D$2,'Resultater - Vestdanmark'!$A$3:$A$496,'CO2-udledning'!$G11)</f>
        <v>0</v>
      </c>
      <c r="D31" s="94" t="str">
        <f t="shared" ref="D31:I31" si="21">IF(D21&lt;&gt;"",D21,"")</f>
        <v>Pyrolyseproces</v>
      </c>
      <c r="E31" s="94" t="str">
        <f t="shared" si="4"/>
        <v>Pyrolyseproces</v>
      </c>
      <c r="F31" s="94" t="str">
        <f t="shared" si="21"/>
        <v/>
      </c>
      <c r="G31" s="94" t="str">
        <f t="shared" si="21"/>
        <v>Pyrolyseproces</v>
      </c>
      <c r="H31" s="94" t="str">
        <f t="shared" si="21"/>
        <v/>
      </c>
      <c r="I31" s="94" t="str">
        <f t="shared" si="21"/>
        <v/>
      </c>
    </row>
    <row r="32" spans="1:9" x14ac:dyDescent="0.25">
      <c r="A32" t="s">
        <v>24</v>
      </c>
      <c r="B32">
        <f t="shared" ref="B32:B41" si="22">År1</f>
        <v>2019</v>
      </c>
      <c r="C32" s="94">
        <f ca="1">SUMIF('Resultater - Østdanmark'!$F$3:$F$509,'CO2-udledning'!$D$2,'Resultater - Østdanmark'!H$3:H$509)</f>
        <v>1968955.6357662694</v>
      </c>
      <c r="D32" s="94" t="str">
        <f t="shared" ref="D32:I32" si="23">IF(D22&lt;&gt;"",D22,"")</f>
        <v>CO2 - atmosfære</v>
      </c>
      <c r="E32" s="94" t="str">
        <f t="shared" si="4"/>
        <v>CO2 - atmosfære</v>
      </c>
      <c r="F32" s="94" t="str">
        <f t="shared" si="23"/>
        <v/>
      </c>
      <c r="G32" s="94" t="str">
        <f t="shared" si="23"/>
        <v/>
      </c>
      <c r="H32" s="94" t="str">
        <f t="shared" si="23"/>
        <v/>
      </c>
      <c r="I32" s="94" t="str">
        <f t="shared" si="23"/>
        <v/>
      </c>
    </row>
    <row r="33" spans="1:9" x14ac:dyDescent="0.25">
      <c r="A33" t="s">
        <v>24</v>
      </c>
      <c r="B33">
        <f t="shared" si="22"/>
        <v>2019</v>
      </c>
      <c r="C33" s="94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4" t="str">
        <f t="shared" ref="D33:I33" si="24">IF(D23&lt;&gt;"",D23,"")</f>
        <v>Landbrug</v>
      </c>
      <c r="E33" s="94" t="str">
        <f t="shared" si="4"/>
        <v>Husdyr</v>
      </c>
      <c r="F33" s="94" t="str">
        <f t="shared" si="24"/>
        <v/>
      </c>
      <c r="G33" s="94" t="str">
        <f t="shared" si="24"/>
        <v>Grisestald</v>
      </c>
      <c r="H33" s="94" t="str">
        <f t="shared" si="24"/>
        <v>Kostald</v>
      </c>
      <c r="I33" s="94" t="str">
        <f t="shared" si="24"/>
        <v>Fjerkræbrug</v>
      </c>
    </row>
    <row r="34" spans="1:9" x14ac:dyDescent="0.25">
      <c r="A34" t="s">
        <v>24</v>
      </c>
      <c r="B34">
        <f t="shared" si="22"/>
        <v>2019</v>
      </c>
      <c r="C34" s="74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4" t="str">
        <f t="shared" ref="D34:I34" si="25">IF(D24&lt;&gt;"",D24,"")</f>
        <v>Landbrug</v>
      </c>
      <c r="E34" s="94" t="str">
        <f t="shared" si="4"/>
        <v>Marker</v>
      </c>
      <c r="F34" s="94" t="str">
        <f t="shared" si="25"/>
        <v>JB1-10</v>
      </c>
      <c r="G34" s="94" t="str">
        <f t="shared" si="25"/>
        <v/>
      </c>
      <c r="H34" s="94" t="str">
        <f t="shared" si="25"/>
        <v/>
      </c>
      <c r="I34" s="94" t="str">
        <f t="shared" si="25"/>
        <v/>
      </c>
    </row>
    <row r="35" spans="1:9" x14ac:dyDescent="0.25">
      <c r="A35" t="s">
        <v>24</v>
      </c>
      <c r="B35">
        <f t="shared" si="22"/>
        <v>2019</v>
      </c>
      <c r="C35" s="74">
        <f>SUMIFS('Resultater - Østdanmark'!H$3:H$496,'Resultater - Østdanmark'!$F$3:$F$496,'CO2-udledning'!$D$2,'Resultater - Østdanmark'!$C$3:$C$496,'CO2-udledning'!$F5)</f>
        <v>193386.46389020365</v>
      </c>
      <c r="D35" s="94" t="str">
        <f t="shared" ref="D35:I35" si="26">IF(D25&lt;&gt;"",D25,"")</f>
        <v>Landbrug</v>
      </c>
      <c r="E35" s="94" t="str">
        <f t="shared" si="4"/>
        <v>Marker</v>
      </c>
      <c r="F35" s="94" t="str">
        <f t="shared" si="26"/>
        <v>OC6</v>
      </c>
      <c r="G35" s="94" t="str">
        <f t="shared" si="26"/>
        <v/>
      </c>
      <c r="H35" s="94" t="str">
        <f t="shared" si="26"/>
        <v/>
      </c>
      <c r="I35" s="94" t="str">
        <f t="shared" si="26"/>
        <v/>
      </c>
    </row>
    <row r="36" spans="1:9" x14ac:dyDescent="0.25">
      <c r="A36" t="s">
        <v>24</v>
      </c>
      <c r="B36">
        <f t="shared" si="22"/>
        <v>2019</v>
      </c>
      <c r="C36" s="74">
        <f>SUMIFS('Resultater - Østdanmark'!H$3:H$496,'Resultater - Østdanmark'!$F$3:$F$496,'CO2-udledning'!$D$2,'Resultater - Østdanmark'!$C$3:$C$496,'CO2-udledning'!$F6)</f>
        <v>374231.82041424053</v>
      </c>
      <c r="D36" s="94" t="str">
        <f t="shared" ref="D36:I36" si="27">IF(D26&lt;&gt;"",D26,"")</f>
        <v>Landbrug</v>
      </c>
      <c r="E36" s="94" t="str">
        <f t="shared" si="4"/>
        <v>Marker</v>
      </c>
      <c r="F36" s="94" t="str">
        <f t="shared" si="27"/>
        <v>OC12</v>
      </c>
      <c r="G36" s="94" t="str">
        <f t="shared" si="27"/>
        <v/>
      </c>
      <c r="H36" s="94" t="str">
        <f t="shared" si="27"/>
        <v/>
      </c>
      <c r="I36" s="94" t="str">
        <f t="shared" si="27"/>
        <v/>
      </c>
    </row>
    <row r="37" spans="1:9" x14ac:dyDescent="0.25">
      <c r="A37" t="s">
        <v>24</v>
      </c>
      <c r="B37">
        <f t="shared" si="22"/>
        <v>2019</v>
      </c>
      <c r="C37" s="94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4" t="str">
        <f t="shared" ref="D37:I37" si="28">IF(D27&lt;&gt;"",D27,"")</f>
        <v>Hav</v>
      </c>
      <c r="E37" s="94" t="str">
        <f t="shared" si="4"/>
        <v>Hav</v>
      </c>
      <c r="F37" s="94" t="str">
        <f t="shared" si="28"/>
        <v/>
      </c>
      <c r="G37" s="94" t="str">
        <f t="shared" si="28"/>
        <v>Muslingefarm</v>
      </c>
      <c r="H37" s="94" t="str">
        <f t="shared" si="28"/>
        <v>Tangfarm</v>
      </c>
      <c r="I37" s="94" t="str">
        <f t="shared" si="28"/>
        <v/>
      </c>
    </row>
    <row r="38" spans="1:9" x14ac:dyDescent="0.25">
      <c r="A38" t="s">
        <v>24</v>
      </c>
      <c r="B38">
        <f t="shared" si="22"/>
        <v>2019</v>
      </c>
      <c r="C38" s="94">
        <f ca="1">SUMIFS('Resultater - Østdanmark'!H$3:H$496,'Resultater - Østdanmark'!$F$3:$F$496,'CO2-udledning'!$D$2,'Resultater - Østdanmark'!$A$3:$A$496,'CO2-udledning'!$G38)</f>
        <v>-127345.4783769354</v>
      </c>
      <c r="D38" s="94" t="str">
        <f t="shared" ref="D38:I38" si="29">IF(D28&lt;&gt;"",D28,"")</f>
        <v>Skov</v>
      </c>
      <c r="E38" s="94" t="str">
        <f t="shared" si="4"/>
        <v>Skov</v>
      </c>
      <c r="F38" s="94" t="str">
        <f t="shared" si="29"/>
        <v/>
      </c>
      <c r="G38" s="94" t="str">
        <f t="shared" si="29"/>
        <v>Skovproduktion</v>
      </c>
      <c r="H38" s="94" t="str">
        <f t="shared" si="29"/>
        <v/>
      </c>
      <c r="I38" s="94" t="str">
        <f t="shared" si="29"/>
        <v/>
      </c>
    </row>
    <row r="39" spans="1:9" x14ac:dyDescent="0.25">
      <c r="A39" t="s">
        <v>24</v>
      </c>
      <c r="B39">
        <f t="shared" si="22"/>
        <v>2019</v>
      </c>
      <c r="C39" s="94">
        <f ca="1">SUMIFS('Resultater - Østdanmark'!H$3:H$496,'Resultater - Østdanmark'!$F$3:$F$496,'CO2-udledning'!$D$2,'Resultater - Østdanmark'!$A$3:$A$496,'CO2-udledning'!$G39)</f>
        <v>-137317.43481230648</v>
      </c>
      <c r="D39" t="s">
        <v>331</v>
      </c>
      <c r="E39" s="94" t="str">
        <f t="shared" si="4"/>
        <v>Træprodukter</v>
      </c>
      <c r="G39" t="s">
        <v>330</v>
      </c>
      <c r="H39" s="94"/>
      <c r="I39" s="94"/>
    </row>
    <row r="40" spans="1:9" x14ac:dyDescent="0.25">
      <c r="A40" t="s">
        <v>24</v>
      </c>
      <c r="B40">
        <f t="shared" si="22"/>
        <v>2019</v>
      </c>
      <c r="C40" s="94">
        <f>SUMIFS('Resultater - Østdanmark'!H$3:H$496,'Resultater - Østdanmark'!$F$3:$F$496,'CO2-udledning'!$D$2,'Resultater - Østdanmark'!$A$3:$A$496,'CO2-udledning'!$G40)</f>
        <v>-13276.84523309844</v>
      </c>
      <c r="D40" s="94" t="str">
        <f t="shared" ref="D40:I40" si="30">IF(D30&lt;&gt;"",D30,"")</f>
        <v>Biogasanlæg</v>
      </c>
      <c r="E40" s="94" t="str">
        <f t="shared" si="4"/>
        <v>Biogasanlæg</v>
      </c>
      <c r="F40" s="94" t="str">
        <f t="shared" si="30"/>
        <v/>
      </c>
      <c r="G40" s="94" t="str">
        <f t="shared" si="30"/>
        <v>Biogasanlæg</v>
      </c>
      <c r="H40" s="94" t="str">
        <f t="shared" si="30"/>
        <v/>
      </c>
      <c r="I40" s="94" t="str">
        <f t="shared" si="30"/>
        <v/>
      </c>
    </row>
    <row r="41" spans="1:9" x14ac:dyDescent="0.25">
      <c r="A41" t="s">
        <v>24</v>
      </c>
      <c r="B41">
        <f t="shared" si="22"/>
        <v>2019</v>
      </c>
      <c r="C41" s="94">
        <f>SUMIFS('Resultater - Østdanmark'!H$3:H$496,'Resultater - Østdanmark'!$F$3:$F$496,'CO2-udledning'!$D$2,'Resultater - Østdanmark'!$A$3:$A$496,'CO2-udledning'!$G41)</f>
        <v>0</v>
      </c>
      <c r="D41" s="94" t="str">
        <f t="shared" ref="D41:I41" si="31">IF(D31&lt;&gt;"",D31,"")</f>
        <v>Pyrolyseproces</v>
      </c>
      <c r="E41" s="94" t="str">
        <f t="shared" si="4"/>
        <v>Pyrolyseproces</v>
      </c>
      <c r="F41" s="94" t="str">
        <f t="shared" si="31"/>
        <v/>
      </c>
      <c r="G41" s="94" t="str">
        <f t="shared" si="31"/>
        <v>Pyrolyseproces</v>
      </c>
      <c r="H41" s="94" t="str">
        <f t="shared" si="31"/>
        <v/>
      </c>
      <c r="I41" s="94" t="str">
        <f t="shared" si="31"/>
        <v/>
      </c>
    </row>
    <row r="42" spans="1:9" x14ac:dyDescent="0.25">
      <c r="A42" t="s">
        <v>24</v>
      </c>
      <c r="B42">
        <f t="shared" ref="B42:B51" si="32">År2</f>
        <v>2030</v>
      </c>
      <c r="C42" s="94">
        <f ca="1">SUMIF('Resultater - Østdanmark'!$F$3:$F$509,'CO2-udledning'!$D$2,'Resultater - Østdanmark'!I$3:I$509)</f>
        <v>1499383.6258892769</v>
      </c>
      <c r="D42" s="94" t="str">
        <f t="shared" ref="D42:I42" si="33">IF(D32&lt;&gt;"",D32,"")</f>
        <v>CO2 - atmosfære</v>
      </c>
      <c r="E42" s="94" t="str">
        <f t="shared" si="4"/>
        <v>CO2 - atmosfære</v>
      </c>
      <c r="F42" s="94" t="str">
        <f t="shared" si="33"/>
        <v/>
      </c>
      <c r="G42" s="94" t="str">
        <f t="shared" si="33"/>
        <v/>
      </c>
      <c r="H42" s="94" t="str">
        <f t="shared" si="33"/>
        <v/>
      </c>
      <c r="I42" s="94" t="str">
        <f t="shared" si="33"/>
        <v/>
      </c>
    </row>
    <row r="43" spans="1:9" x14ac:dyDescent="0.25">
      <c r="A43" t="s">
        <v>24</v>
      </c>
      <c r="B43">
        <f t="shared" si="32"/>
        <v>2030</v>
      </c>
      <c r="C43" s="94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298768.99309644138</v>
      </c>
      <c r="D43" s="94" t="str">
        <f t="shared" ref="D43:I43" si="34">IF(D33&lt;&gt;"",D33,"")</f>
        <v>Landbrug</v>
      </c>
      <c r="E43" s="94" t="str">
        <f t="shared" si="4"/>
        <v>Husdyr</v>
      </c>
      <c r="F43" s="94" t="str">
        <f t="shared" si="34"/>
        <v/>
      </c>
      <c r="G43" s="94" t="str">
        <f t="shared" si="34"/>
        <v>Grisestald</v>
      </c>
      <c r="H43" s="94" t="str">
        <f t="shared" si="34"/>
        <v>Kostald</v>
      </c>
      <c r="I43" s="94" t="str">
        <f t="shared" si="34"/>
        <v>Fjerkræbrug</v>
      </c>
    </row>
    <row r="44" spans="1:9" x14ac:dyDescent="0.25">
      <c r="A44" t="s">
        <v>24</v>
      </c>
      <c r="B44">
        <f t="shared" si="32"/>
        <v>2030</v>
      </c>
      <c r="C44" s="74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1208704.6765779152</v>
      </c>
      <c r="D44" s="94" t="str">
        <f t="shared" ref="D44:I44" si="35">IF(D34&lt;&gt;"",D34,"")</f>
        <v>Landbrug</v>
      </c>
      <c r="E44" s="94" t="str">
        <f t="shared" si="4"/>
        <v>Marker</v>
      </c>
      <c r="F44" s="94" t="str">
        <f t="shared" si="35"/>
        <v>JB1-10</v>
      </c>
      <c r="G44" s="94" t="str">
        <f t="shared" si="35"/>
        <v/>
      </c>
      <c r="H44" s="94" t="str">
        <f t="shared" si="35"/>
        <v/>
      </c>
      <c r="I44" s="94" t="str">
        <f t="shared" si="35"/>
        <v/>
      </c>
    </row>
    <row r="45" spans="1:9" x14ac:dyDescent="0.25">
      <c r="A45" t="s">
        <v>24</v>
      </c>
      <c r="B45">
        <f t="shared" si="32"/>
        <v>2030</v>
      </c>
      <c r="C45" s="74">
        <f>SUMIFS('Resultater - Østdanmark'!I$3:I$496,'Resultater - Østdanmark'!$F$3:$F$496,'CO2-udledning'!$D$2,'Resultater - Østdanmark'!$C$3:$C$496,'CO2-udledning'!$F5)</f>
        <v>147682.60240479806</v>
      </c>
      <c r="D45" s="94" t="str">
        <f t="shared" ref="D45:I45" si="36">IF(D35&lt;&gt;"",D35,"")</f>
        <v>Landbrug</v>
      </c>
      <c r="E45" s="94" t="str">
        <f t="shared" si="4"/>
        <v>Marker</v>
      </c>
      <c r="F45" s="94" t="str">
        <f t="shared" si="36"/>
        <v>OC6</v>
      </c>
      <c r="G45" s="94" t="str">
        <f t="shared" si="36"/>
        <v/>
      </c>
      <c r="H45" s="94" t="str">
        <f t="shared" si="36"/>
        <v/>
      </c>
      <c r="I45" s="94" t="str">
        <f t="shared" si="36"/>
        <v/>
      </c>
    </row>
    <row r="46" spans="1:9" x14ac:dyDescent="0.25">
      <c r="A46" t="s">
        <v>24</v>
      </c>
      <c r="B46">
        <f t="shared" si="32"/>
        <v>2030</v>
      </c>
      <c r="C46" s="74">
        <f>SUMIFS('Resultater - Østdanmark'!I$3:I$496,'Resultater - Østdanmark'!$F$3:$F$496,'CO2-udledning'!$D$2,'Resultater - Østdanmark'!$C$3:$C$496,'CO2-udledning'!$F6)</f>
        <v>279204.42809339461</v>
      </c>
      <c r="D46" s="94" t="str">
        <f t="shared" ref="D46:I46" si="37">IF(D36&lt;&gt;"",D36,"")</f>
        <v>Landbrug</v>
      </c>
      <c r="E46" s="94" t="str">
        <f t="shared" si="4"/>
        <v>Marker</v>
      </c>
      <c r="F46" s="94" t="str">
        <f t="shared" si="37"/>
        <v>OC12</v>
      </c>
      <c r="G46" s="94" t="str">
        <f t="shared" si="37"/>
        <v/>
      </c>
      <c r="H46" s="94" t="str">
        <f t="shared" si="37"/>
        <v/>
      </c>
      <c r="I46" s="94" t="str">
        <f t="shared" si="37"/>
        <v/>
      </c>
    </row>
    <row r="47" spans="1:9" x14ac:dyDescent="0.25">
      <c r="A47" t="s">
        <v>24</v>
      </c>
      <c r="B47">
        <f t="shared" si="32"/>
        <v>2030</v>
      </c>
      <c r="C47" s="94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4" t="str">
        <f t="shared" ref="D47:I47" si="38">IF(D37&lt;&gt;"",D37,"")</f>
        <v>Hav</v>
      </c>
      <c r="E47" s="94" t="str">
        <f t="shared" si="4"/>
        <v>Hav</v>
      </c>
      <c r="F47" s="94" t="str">
        <f t="shared" si="38"/>
        <v/>
      </c>
      <c r="G47" s="94" t="str">
        <f t="shared" si="38"/>
        <v>Muslingefarm</v>
      </c>
      <c r="H47" s="94" t="str">
        <f t="shared" si="38"/>
        <v>Tangfarm</v>
      </c>
      <c r="I47" s="94" t="str">
        <f t="shared" si="38"/>
        <v/>
      </c>
    </row>
    <row r="48" spans="1:9" x14ac:dyDescent="0.25">
      <c r="A48" t="s">
        <v>24</v>
      </c>
      <c r="B48">
        <f t="shared" si="32"/>
        <v>2030</v>
      </c>
      <c r="C48" s="94">
        <f ca="1">SUMIFS('Resultater - Østdanmark'!I$3:I$496,'Resultater - Østdanmark'!$F$3:$F$496,'CO2-udledning'!$D$2,'Resultater - Østdanmark'!$A$3:$A$496,'CO2-udledning'!$G38)</f>
        <v>-278201.85046482197</v>
      </c>
      <c r="D48" s="94" t="str">
        <f t="shared" ref="D48:I48" si="39">IF(D38&lt;&gt;"",D38,"")</f>
        <v>Skov</v>
      </c>
      <c r="E48" s="94" t="str">
        <f t="shared" si="4"/>
        <v>Skov</v>
      </c>
      <c r="F48" s="94" t="str">
        <f t="shared" si="39"/>
        <v/>
      </c>
      <c r="G48" s="94" t="str">
        <f t="shared" si="39"/>
        <v>Skovproduktion</v>
      </c>
      <c r="H48" s="94" t="str">
        <f t="shared" si="39"/>
        <v/>
      </c>
      <c r="I48" s="94" t="str">
        <f t="shared" si="39"/>
        <v/>
      </c>
    </row>
    <row r="49" spans="1:9" x14ac:dyDescent="0.25">
      <c r="A49" t="s">
        <v>24</v>
      </c>
      <c r="B49">
        <f t="shared" si="32"/>
        <v>2030</v>
      </c>
      <c r="C49" s="94">
        <f ca="1">SUMIFS('Resultater - Østdanmark'!I$3:I$496,'Resultater - Østdanmark'!$F$3:$F$496,'CO2-udledning'!$D$2,'Resultater - Østdanmark'!$A$3:$A$496,'CO2-udledning'!$G39)</f>
        <v>-135559.93500491785</v>
      </c>
      <c r="D49" t="s">
        <v>331</v>
      </c>
      <c r="E49" s="94" t="str">
        <f t="shared" si="4"/>
        <v>Træprodukter</v>
      </c>
      <c r="G49" t="s">
        <v>330</v>
      </c>
      <c r="H49" s="94"/>
      <c r="I49" s="94"/>
    </row>
    <row r="50" spans="1:9" x14ac:dyDescent="0.25">
      <c r="A50" t="s">
        <v>24</v>
      </c>
      <c r="B50">
        <f t="shared" si="32"/>
        <v>2030</v>
      </c>
      <c r="C50" s="94">
        <f>SUMIFS('Resultater - Østdanmark'!I$3:I$496,'Resultater - Østdanmark'!$F$3:$F$496,'CO2-udledning'!$D$2,'Resultater - Østdanmark'!$A$3:$A$496,'CO2-udledning'!$G40)</f>
        <v>-21215.094788311842</v>
      </c>
      <c r="D50" s="94" t="str">
        <f t="shared" ref="D50:I50" si="40">IF(D40&lt;&gt;"",D40,"")</f>
        <v>Biogasanlæg</v>
      </c>
      <c r="E50" s="94" t="str">
        <f t="shared" si="4"/>
        <v>Biogasanlæg</v>
      </c>
      <c r="F50" s="94" t="str">
        <f t="shared" si="40"/>
        <v/>
      </c>
      <c r="G50" s="94" t="str">
        <f t="shared" si="40"/>
        <v>Biogasanlæg</v>
      </c>
      <c r="H50" s="94" t="str">
        <f t="shared" si="40"/>
        <v/>
      </c>
      <c r="I50" s="94" t="str">
        <f t="shared" si="40"/>
        <v/>
      </c>
    </row>
    <row r="51" spans="1:9" x14ac:dyDescent="0.25">
      <c r="A51" t="s">
        <v>24</v>
      </c>
      <c r="B51">
        <f t="shared" si="32"/>
        <v>2030</v>
      </c>
      <c r="C51" s="94">
        <f>SUMIFS('Resultater - Østdanmark'!I$3:I$496,'Resultater - Østdanmark'!$F$3:$F$496,'CO2-udledning'!$D$2,'Resultater - Østdanmark'!$A$3:$A$496,'CO2-udledning'!$G41)</f>
        <v>0</v>
      </c>
      <c r="D51" s="94" t="str">
        <f t="shared" ref="D51:I51" si="41">IF(D41&lt;&gt;"",D41,"")</f>
        <v>Pyrolyseproces</v>
      </c>
      <c r="E51" s="94" t="str">
        <f t="shared" si="4"/>
        <v>Pyrolyseproces</v>
      </c>
      <c r="F51" s="94" t="str">
        <f t="shared" si="41"/>
        <v/>
      </c>
      <c r="G51" s="94" t="str">
        <f t="shared" si="41"/>
        <v>Pyrolyseproces</v>
      </c>
      <c r="H51" s="94" t="str">
        <f t="shared" si="41"/>
        <v/>
      </c>
      <c r="I51" s="94" t="str">
        <f t="shared" si="41"/>
        <v/>
      </c>
    </row>
    <row r="52" spans="1:9" x14ac:dyDescent="0.25">
      <c r="A52" t="s">
        <v>24</v>
      </c>
      <c r="B52">
        <f t="shared" ref="B52:B61" si="42">År3</f>
        <v>2050</v>
      </c>
      <c r="C52" s="94">
        <f ca="1">SUMIF('Resultater - Østdanmark'!$F$3:$F$509,'CO2-udledning'!$D$2,'Resultater - Østdanmark'!J$3:J$509)</f>
        <v>402302.55250166461</v>
      </c>
      <c r="D52" s="94" t="str">
        <f t="shared" ref="D52:I52" si="43">IF(D42&lt;&gt;"",D42,"")</f>
        <v>CO2 - atmosfære</v>
      </c>
      <c r="E52" s="94" t="str">
        <f t="shared" si="4"/>
        <v>CO2 - atmosfære</v>
      </c>
      <c r="F52" s="94" t="str">
        <f t="shared" si="43"/>
        <v/>
      </c>
      <c r="G52" s="94" t="str">
        <f t="shared" si="43"/>
        <v/>
      </c>
      <c r="H52" s="94" t="str">
        <f t="shared" si="43"/>
        <v/>
      </c>
      <c r="I52" s="94" t="str">
        <f t="shared" si="43"/>
        <v/>
      </c>
    </row>
    <row r="53" spans="1:9" x14ac:dyDescent="0.25">
      <c r="A53" t="s">
        <v>24</v>
      </c>
      <c r="B53">
        <f t="shared" si="42"/>
        <v>2050</v>
      </c>
      <c r="C53" s="94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36857.152016376669</v>
      </c>
      <c r="D53" s="94" t="str">
        <f t="shared" ref="D53:I53" si="44">IF(D43&lt;&gt;"",D43,"")</f>
        <v>Landbrug</v>
      </c>
      <c r="E53" s="94" t="str">
        <f t="shared" si="4"/>
        <v>Husdyr</v>
      </c>
      <c r="F53" s="94" t="str">
        <f t="shared" si="44"/>
        <v/>
      </c>
      <c r="G53" s="94" t="str">
        <f t="shared" si="44"/>
        <v>Grisestald</v>
      </c>
      <c r="H53" s="94" t="str">
        <f t="shared" si="44"/>
        <v>Kostald</v>
      </c>
      <c r="I53" s="94" t="str">
        <f t="shared" si="44"/>
        <v>Fjerkræbrug</v>
      </c>
    </row>
    <row r="54" spans="1:9" x14ac:dyDescent="0.25">
      <c r="A54" t="s">
        <v>24</v>
      </c>
      <c r="B54">
        <f t="shared" si="42"/>
        <v>2050</v>
      </c>
      <c r="C54" s="74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1166254.1833775467</v>
      </c>
      <c r="D54" s="94" t="str">
        <f t="shared" ref="D54:I54" si="45">IF(D44&lt;&gt;"",D44,"")</f>
        <v>Landbrug</v>
      </c>
      <c r="E54" s="94" t="str">
        <f t="shared" si="4"/>
        <v>Marker</v>
      </c>
      <c r="F54" s="94" t="str">
        <f t="shared" si="45"/>
        <v>JB1-10</v>
      </c>
      <c r="G54" s="94" t="str">
        <f t="shared" si="45"/>
        <v/>
      </c>
      <c r="H54" s="94" t="str">
        <f t="shared" si="45"/>
        <v/>
      </c>
      <c r="I54" s="94" t="str">
        <f t="shared" si="45"/>
        <v/>
      </c>
    </row>
    <row r="55" spans="1:9" x14ac:dyDescent="0.25">
      <c r="A55" t="s">
        <v>24</v>
      </c>
      <c r="B55">
        <f t="shared" si="42"/>
        <v>2050</v>
      </c>
      <c r="C55" s="74">
        <f>SUMIFS('Resultater - Østdanmark'!J$3:J$496,'Resultater - Østdanmark'!$F$3:$F$496,'CO2-udledning'!$D$2,'Resultater - Østdanmark'!$C$3:$C$496,'CO2-udledning'!$F5)</f>
        <v>16814.689965756032</v>
      </c>
      <c r="D55" s="94" t="str">
        <f t="shared" ref="D55:I55" si="46">IF(D45&lt;&gt;"",D45,"")</f>
        <v>Landbrug</v>
      </c>
      <c r="E55" s="94" t="str">
        <f t="shared" si="4"/>
        <v>Marker</v>
      </c>
      <c r="F55" s="94" t="str">
        <f t="shared" si="46"/>
        <v>OC6</v>
      </c>
      <c r="G55" s="94" t="str">
        <f t="shared" si="46"/>
        <v/>
      </c>
      <c r="H55" s="94" t="str">
        <f t="shared" si="46"/>
        <v/>
      </c>
      <c r="I55" s="94" t="str">
        <f t="shared" si="46"/>
        <v/>
      </c>
    </row>
    <row r="56" spans="1:9" x14ac:dyDescent="0.25">
      <c r="A56" t="s">
        <v>24</v>
      </c>
      <c r="B56">
        <f t="shared" si="42"/>
        <v>2050</v>
      </c>
      <c r="C56" s="74">
        <f>SUMIFS('Resultater - Østdanmark'!J$3:J$496,'Resultater - Østdanmark'!$F$3:$F$496,'CO2-udledning'!$D$2,'Resultater - Østdanmark'!$C$3:$C$496,'CO2-udledning'!$F6)</f>
        <v>0</v>
      </c>
      <c r="D56" s="94" t="str">
        <f t="shared" ref="D56:I56" si="47">IF(D46&lt;&gt;"",D46,"")</f>
        <v>Landbrug</v>
      </c>
      <c r="E56" s="94" t="str">
        <f t="shared" si="4"/>
        <v>Marker</v>
      </c>
      <c r="F56" s="94" t="str">
        <f t="shared" si="47"/>
        <v>OC12</v>
      </c>
      <c r="G56" s="94" t="str">
        <f t="shared" si="47"/>
        <v/>
      </c>
      <c r="H56" s="94" t="str">
        <f t="shared" si="47"/>
        <v/>
      </c>
      <c r="I56" s="94" t="str">
        <f t="shared" si="47"/>
        <v/>
      </c>
    </row>
    <row r="57" spans="1:9" x14ac:dyDescent="0.25">
      <c r="A57" t="s">
        <v>24</v>
      </c>
      <c r="B57">
        <f t="shared" si="42"/>
        <v>2050</v>
      </c>
      <c r="C57" s="94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4" t="str">
        <f t="shared" ref="D57:I57" si="48">IF(D47&lt;&gt;"",D47,"")</f>
        <v>Hav</v>
      </c>
      <c r="E57" s="94" t="str">
        <f t="shared" si="4"/>
        <v>Hav</v>
      </c>
      <c r="F57" s="94" t="str">
        <f t="shared" si="48"/>
        <v/>
      </c>
      <c r="G57" s="94" t="str">
        <f t="shared" si="48"/>
        <v>Muslingefarm</v>
      </c>
      <c r="H57" s="94" t="str">
        <f t="shared" si="48"/>
        <v>Tangfarm</v>
      </c>
      <c r="I57" s="94" t="str">
        <f t="shared" si="48"/>
        <v/>
      </c>
    </row>
    <row r="58" spans="1:9" x14ac:dyDescent="0.25">
      <c r="A58" t="s">
        <v>24</v>
      </c>
      <c r="B58">
        <f t="shared" si="42"/>
        <v>2050</v>
      </c>
      <c r="C58" s="94">
        <f ca="1">SUMIFS('Resultater - Østdanmark'!J$3:J$496,'Resultater - Østdanmark'!$F$3:$F$496,'CO2-udledning'!$D$2,'Resultater - Østdanmark'!$A$3:$A$496,'CO2-udledning'!$G38)</f>
        <v>-565732.58937917813</v>
      </c>
      <c r="D58" s="94" t="str">
        <f t="shared" ref="D58:I58" si="49">IF(D48&lt;&gt;"",D48,"")</f>
        <v>Skov</v>
      </c>
      <c r="E58" s="94" t="str">
        <f t="shared" si="4"/>
        <v>Skov</v>
      </c>
      <c r="F58" s="94" t="str">
        <f t="shared" si="49"/>
        <v/>
      </c>
      <c r="G58" s="94" t="str">
        <f t="shared" si="49"/>
        <v>Skovproduktion</v>
      </c>
      <c r="H58" s="94" t="str">
        <f t="shared" si="49"/>
        <v/>
      </c>
      <c r="I58" s="94" t="str">
        <f t="shared" si="49"/>
        <v/>
      </c>
    </row>
    <row r="59" spans="1:9" x14ac:dyDescent="0.25">
      <c r="A59" t="s">
        <v>24</v>
      </c>
      <c r="B59">
        <f t="shared" si="42"/>
        <v>2050</v>
      </c>
      <c r="C59" s="94">
        <f ca="1">SUMIFS('Resultater - Østdanmark'!J$3:J$496,'Resultater - Østdanmark'!$F$3:$F$496,'CO2-udledning'!$D$2,'Resultater - Østdanmark'!$A$3:$A$496,'CO2-udledning'!$G39)</f>
        <v>-250413.3836601582</v>
      </c>
      <c r="D59" t="s">
        <v>331</v>
      </c>
      <c r="E59" s="94" t="str">
        <f t="shared" si="4"/>
        <v>Træprodukter</v>
      </c>
      <c r="G59" t="s">
        <v>330</v>
      </c>
      <c r="H59" s="94"/>
      <c r="I59" s="94"/>
    </row>
    <row r="60" spans="1:9" x14ac:dyDescent="0.25">
      <c r="A60" t="s">
        <v>24</v>
      </c>
      <c r="B60">
        <f t="shared" si="42"/>
        <v>2050</v>
      </c>
      <c r="C60" s="94">
        <f>SUMIFS('Resultater - Østdanmark'!J$3:J$496,'Resultater - Østdanmark'!$F$3:$F$496,'CO2-udledning'!$D$2,'Resultater - Østdanmark'!$A$3:$A$496,'CO2-udledning'!$G40)</f>
        <v>-1477.3057934574824</v>
      </c>
      <c r="D60" s="94" t="str">
        <f t="shared" ref="D60:I60" si="50">IF(D50&lt;&gt;"",D50,"")</f>
        <v>Biogasanlæg</v>
      </c>
      <c r="E60" s="94" t="str">
        <f t="shared" si="4"/>
        <v>Biogasanlæg</v>
      </c>
      <c r="F60" s="94" t="str">
        <f t="shared" si="50"/>
        <v/>
      </c>
      <c r="G60" s="94" t="str">
        <f t="shared" si="50"/>
        <v>Biogasanlæg</v>
      </c>
      <c r="H60" s="94" t="str">
        <f t="shared" si="50"/>
        <v/>
      </c>
      <c r="I60" s="94" t="str">
        <f t="shared" si="50"/>
        <v/>
      </c>
    </row>
    <row r="61" spans="1:9" x14ac:dyDescent="0.25">
      <c r="A61" t="s">
        <v>24</v>
      </c>
      <c r="B61">
        <f t="shared" si="42"/>
        <v>2050</v>
      </c>
      <c r="C61" s="94">
        <f>SUMIFS('Resultater - Østdanmark'!J$3:J$496,'Resultater - Østdanmark'!$F$3:$F$496,'CO2-udledning'!$D$2,'Resultater - Østdanmark'!$A$3:$A$496,'CO2-udledning'!$G41)</f>
        <v>0</v>
      </c>
      <c r="D61" s="94" t="str">
        <f t="shared" ref="D61:I61" si="51">IF(D51&lt;&gt;"",D51,"")</f>
        <v>Pyrolyseproces</v>
      </c>
      <c r="E61" s="94" t="str">
        <f t="shared" si="4"/>
        <v>Pyrolyseproces</v>
      </c>
      <c r="F61" s="94" t="str">
        <f t="shared" si="51"/>
        <v/>
      </c>
      <c r="G61" s="94" t="str">
        <f t="shared" si="51"/>
        <v>Pyrolyseproces</v>
      </c>
      <c r="H61" s="94" t="str">
        <f t="shared" si="51"/>
        <v/>
      </c>
      <c r="I61" s="94" t="str">
        <f t="shared" si="51"/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4" width="9.1406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5" t="s">
        <v>64</v>
      </c>
      <c r="B1" t="s">
        <v>80</v>
      </c>
    </row>
    <row r="3" spans="1:15" x14ac:dyDescent="0.25">
      <c r="A3" s="75" t="s">
        <v>126</v>
      </c>
      <c r="B3" s="75" t="s">
        <v>62</v>
      </c>
    </row>
    <row r="4" spans="1:15" x14ac:dyDescent="0.25">
      <c r="A4" s="75" t="s">
        <v>60</v>
      </c>
      <c r="B4" t="s">
        <v>49</v>
      </c>
      <c r="C4" t="s">
        <v>113</v>
      </c>
      <c r="D4" t="s">
        <v>54</v>
      </c>
      <c r="E4" t="s">
        <v>51</v>
      </c>
      <c r="F4" t="s">
        <v>6</v>
      </c>
      <c r="G4" t="s">
        <v>56</v>
      </c>
      <c r="H4" t="s">
        <v>12</v>
      </c>
      <c r="I4" t="s">
        <v>48</v>
      </c>
      <c r="J4" t="s">
        <v>53</v>
      </c>
      <c r="K4" t="s">
        <v>55</v>
      </c>
      <c r="L4" t="s">
        <v>95</v>
      </c>
      <c r="M4" t="s">
        <v>50</v>
      </c>
      <c r="N4" t="s">
        <v>52</v>
      </c>
      <c r="O4" t="s">
        <v>61</v>
      </c>
    </row>
    <row r="5" spans="1:15" x14ac:dyDescent="0.25">
      <c r="A5" s="76">
        <v>2019</v>
      </c>
      <c r="B5" s="94">
        <v>285369.85676311865</v>
      </c>
      <c r="C5" s="94">
        <v>1508282.669250763</v>
      </c>
      <c r="D5" s="94">
        <v>41728.949017214291</v>
      </c>
      <c r="E5" s="94">
        <v>17913006.538833313</v>
      </c>
      <c r="F5" s="94">
        <v>280322.43675931642</v>
      </c>
      <c r="G5" s="94">
        <v>912099.45136908058</v>
      </c>
      <c r="H5" s="94">
        <v>2263176.157376945</v>
      </c>
      <c r="I5" s="94">
        <v>9112085.8491583709</v>
      </c>
      <c r="J5" s="94">
        <v>7955921.1296188012</v>
      </c>
      <c r="K5" s="94">
        <v>2006067.2488276002</v>
      </c>
      <c r="L5" s="94">
        <v>209867.13867694439</v>
      </c>
      <c r="M5" s="94">
        <v>678325.22851124685</v>
      </c>
      <c r="N5" s="94">
        <v>2610834.0419031042</v>
      </c>
      <c r="O5" s="94">
        <v>45777086.696065806</v>
      </c>
    </row>
    <row r="6" spans="1:15" x14ac:dyDescent="0.25">
      <c r="A6" s="76">
        <v>2030</v>
      </c>
      <c r="B6" s="94">
        <v>1046447.7701634195</v>
      </c>
      <c r="C6" s="94">
        <v>1401586.7021664588</v>
      </c>
      <c r="D6" s="94">
        <v>39441.561347065355</v>
      </c>
      <c r="E6" s="94">
        <v>16576650.263735827</v>
      </c>
      <c r="F6" s="94">
        <v>1537908.6657706075</v>
      </c>
      <c r="G6" s="94">
        <v>871023.20428516739</v>
      </c>
      <c r="H6" s="94">
        <v>2164476.0607157536</v>
      </c>
      <c r="I6" s="94">
        <v>6708769.5645664344</v>
      </c>
      <c r="J6" s="94">
        <v>5993677.9656667151</v>
      </c>
      <c r="K6" s="94">
        <v>1912360.1390352619</v>
      </c>
      <c r="L6" s="94">
        <v>192072.11069021252</v>
      </c>
      <c r="M6" s="94">
        <v>646545.44394551869</v>
      </c>
      <c r="N6" s="94">
        <v>2425479.9560970063</v>
      </c>
      <c r="O6" s="94">
        <v>41516439.408185452</v>
      </c>
    </row>
    <row r="7" spans="1:15" x14ac:dyDescent="0.25">
      <c r="A7" s="76">
        <v>2050</v>
      </c>
      <c r="B7" s="94">
        <v>1919433.8379384452</v>
      </c>
      <c r="C7" s="94">
        <v>7956.3105810060788</v>
      </c>
      <c r="D7" s="94">
        <v>2354707.4039920969</v>
      </c>
      <c r="E7" s="94">
        <v>36051687.427182481</v>
      </c>
      <c r="F7" s="94">
        <v>4695547.6145715425</v>
      </c>
      <c r="G7" s="94">
        <v>756682.92027104762</v>
      </c>
      <c r="H7" s="94">
        <v>6755.786859535805</v>
      </c>
      <c r="I7" s="94">
        <v>21089.521528048594</v>
      </c>
      <c r="J7" s="94">
        <v>25060.615390659139</v>
      </c>
      <c r="K7" s="94">
        <v>5375.3604753848949</v>
      </c>
      <c r="L7" s="94">
        <v>143523.94669780202</v>
      </c>
      <c r="M7" s="94">
        <v>1308440.3262549867</v>
      </c>
      <c r="N7" s="94">
        <v>1479.8398726380365</v>
      </c>
      <c r="O7" s="94">
        <v>47297740.91161567</v>
      </c>
    </row>
    <row r="8" spans="1:15" x14ac:dyDescent="0.25">
      <c r="A8" s="76" t="s">
        <v>61</v>
      </c>
      <c r="B8" s="94">
        <v>3251251.4648649832</v>
      </c>
      <c r="C8" s="94">
        <v>2917825.6819982277</v>
      </c>
      <c r="D8" s="94">
        <v>2435877.9143563765</v>
      </c>
      <c r="E8" s="94">
        <v>70541344.229751617</v>
      </c>
      <c r="F8" s="94">
        <v>6513778.7171014659</v>
      </c>
      <c r="G8" s="94">
        <v>2539805.5759252952</v>
      </c>
      <c r="H8" s="94">
        <v>4434408.0049522342</v>
      </c>
      <c r="I8" s="94">
        <v>15841944.935252855</v>
      </c>
      <c r="J8" s="94">
        <v>13974659.710676175</v>
      </c>
      <c r="K8" s="94">
        <v>3923802.7483382472</v>
      </c>
      <c r="L8" s="94">
        <v>545463.19606495893</v>
      </c>
      <c r="M8" s="94">
        <v>2633310.9987117522</v>
      </c>
      <c r="N8" s="94">
        <v>5037793.8378727483</v>
      </c>
      <c r="O8" s="94">
        <v>134591267.01586694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13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13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13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13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13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13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13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13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13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13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13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13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13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13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5182167.6605635537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13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807391.35086832882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13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498270.5858787492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13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13177775.793539407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13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1183876.8673845837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13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1689696.9927296774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13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1856731.7758593475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13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4675837.2738896068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13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30293.444359786194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13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1479891.647259762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13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1068143.9155687199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13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675080.94417097606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13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151285.23145276494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13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17585.624267945121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13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1461503.2991938624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13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996229.71876806754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13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27470991.955365088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13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3574924.4318902972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13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6540.3387577996864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13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328.27548713856038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13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24354.977510479563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13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1792737.3458964743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13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4681.8686166152675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13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5541.8750535368863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13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576432.67952835571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13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109495.6819733945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13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13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13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13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13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13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13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13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13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13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13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13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13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13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1526601.9040028804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13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239056.41929509072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13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148274.85806676943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13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3398874.4701964208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13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354031.79838602385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13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474779.06798607635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13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568748.18023765879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13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1317840.691777108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13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9148.1169872791615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13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432468.49177549983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13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333442.78659773892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13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195942.26011419127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13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40786.879237447567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13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3503.8972601034743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13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457930.53874458285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13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312210.60748691915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13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8580695.4718173929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13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1120623.182681245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13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215.4481017361189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13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1151.564385499476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13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705.63788017957472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13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561970.05809562234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13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693.49185876962724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13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2414.435527469192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13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180250.24074269188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13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34028.264724407527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192</v>
      </c>
      <c r="B4" s="75" t="s">
        <v>62</v>
      </c>
    </row>
    <row r="5" spans="1:4" x14ac:dyDescent="0.25">
      <c r="A5" s="75" t="s">
        <v>60</v>
      </c>
      <c r="B5" t="s">
        <v>119</v>
      </c>
      <c r="C5" t="s">
        <v>118</v>
      </c>
      <c r="D5" t="s">
        <v>61</v>
      </c>
    </row>
    <row r="6" spans="1:4" x14ac:dyDescent="0.25">
      <c r="A6" s="76">
        <v>2019</v>
      </c>
      <c r="B6" s="215">
        <v>3010292.0648196544</v>
      </c>
      <c r="C6" s="215">
        <v>827707.93518034508</v>
      </c>
      <c r="D6" s="215">
        <v>3837999.9999999995</v>
      </c>
    </row>
    <row r="7" spans="1:4" x14ac:dyDescent="0.25">
      <c r="A7" s="76">
        <v>2030</v>
      </c>
      <c r="B7" s="215">
        <v>2864790.7596825948</v>
      </c>
      <c r="C7" s="215">
        <v>788679.64758670493</v>
      </c>
      <c r="D7" s="215">
        <v>3653470.4072693</v>
      </c>
    </row>
    <row r="8" spans="1:4" x14ac:dyDescent="0.25">
      <c r="A8" s="76">
        <v>2050</v>
      </c>
      <c r="B8" s="215">
        <v>2925496.1196818841</v>
      </c>
      <c r="C8" s="215">
        <v>840705.04818703001</v>
      </c>
      <c r="D8" s="215">
        <v>3766201.1678689141</v>
      </c>
    </row>
    <row r="9" spans="1:4" x14ac:dyDescent="0.25">
      <c r="A9" s="76" t="s">
        <v>61</v>
      </c>
      <c r="B9" s="215">
        <v>8800578.9441841338</v>
      </c>
      <c r="C9" s="215">
        <v>2457092.6309540803</v>
      </c>
      <c r="D9" s="215">
        <v>11257671.575138213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5.8554687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192</v>
      </c>
      <c r="B4" s="75" t="s">
        <v>62</v>
      </c>
    </row>
    <row r="5" spans="1:4" x14ac:dyDescent="0.25">
      <c r="A5" s="75" t="s">
        <v>60</v>
      </c>
      <c r="B5" t="s">
        <v>106</v>
      </c>
      <c r="C5" t="s">
        <v>99</v>
      </c>
      <c r="D5" t="s">
        <v>61</v>
      </c>
    </row>
    <row r="6" spans="1:4" x14ac:dyDescent="0.25">
      <c r="A6" s="76">
        <v>2019</v>
      </c>
      <c r="B6" s="215">
        <v>880.09999999999991</v>
      </c>
      <c r="C6" s="215">
        <v>76.5</v>
      </c>
      <c r="D6" s="215">
        <v>956.59999999999991</v>
      </c>
    </row>
    <row r="7" spans="1:4" x14ac:dyDescent="0.25">
      <c r="A7" s="76">
        <v>2030</v>
      </c>
      <c r="B7" s="215">
        <v>880.09999999999991</v>
      </c>
      <c r="C7" s="215">
        <v>382.5</v>
      </c>
      <c r="D7" s="215">
        <v>1262.5999999999999</v>
      </c>
    </row>
    <row r="8" spans="1:4" x14ac:dyDescent="0.25">
      <c r="A8" s="76">
        <v>2050</v>
      </c>
      <c r="B8" s="215">
        <v>880.09999999999991</v>
      </c>
      <c r="C8" s="215">
        <v>382.5</v>
      </c>
      <c r="D8" s="215">
        <v>1262.5999999999999</v>
      </c>
    </row>
    <row r="9" spans="1:4" x14ac:dyDescent="0.25">
      <c r="A9" s="76" t="s">
        <v>61</v>
      </c>
      <c r="B9" s="215">
        <v>2640.2999999999997</v>
      </c>
      <c r="C9" s="215">
        <v>841.5</v>
      </c>
      <c r="D9" s="215">
        <v>3481.7999999999997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5" t="s">
        <v>64</v>
      </c>
      <c r="B1" t="s">
        <v>80</v>
      </c>
    </row>
    <row r="3" spans="1:7" x14ac:dyDescent="0.25">
      <c r="A3" s="75" t="s">
        <v>79</v>
      </c>
      <c r="B3" s="75" t="s">
        <v>62</v>
      </c>
    </row>
    <row r="4" spans="1:7" x14ac:dyDescent="0.25">
      <c r="A4" s="75" t="s">
        <v>60</v>
      </c>
      <c r="B4" t="s">
        <v>11</v>
      </c>
      <c r="C4" t="s">
        <v>32</v>
      </c>
      <c r="D4" t="s">
        <v>9</v>
      </c>
      <c r="E4" t="s">
        <v>33</v>
      </c>
      <c r="F4" t="s">
        <v>10</v>
      </c>
      <c r="G4" t="s">
        <v>61</v>
      </c>
    </row>
    <row r="5" spans="1:7" x14ac:dyDescent="0.25">
      <c r="A5" s="76">
        <v>2019</v>
      </c>
      <c r="B5" s="215">
        <v>66640</v>
      </c>
      <c r="C5" s="215">
        <v>592120</v>
      </c>
      <c r="D5" s="215">
        <v>2578669.9999999995</v>
      </c>
      <c r="E5" s="215">
        <v>505590.00000000006</v>
      </c>
      <c r="F5" s="215">
        <v>562410</v>
      </c>
      <c r="G5" s="215">
        <v>4305430</v>
      </c>
    </row>
    <row r="6" spans="1:7" x14ac:dyDescent="0.25">
      <c r="A6" s="76">
        <v>2030</v>
      </c>
      <c r="B6" s="215">
        <v>66640</v>
      </c>
      <c r="C6" s="215">
        <v>592120</v>
      </c>
      <c r="D6" s="215">
        <v>2469781.111111111</v>
      </c>
      <c r="E6" s="215">
        <v>549664.07407407404</v>
      </c>
      <c r="F6" s="215">
        <v>627224.81481481483</v>
      </c>
      <c r="G6" s="215">
        <v>4305430</v>
      </c>
    </row>
    <row r="7" spans="1:7" x14ac:dyDescent="0.25">
      <c r="A7" s="76">
        <v>2050</v>
      </c>
      <c r="B7" s="215">
        <v>66640</v>
      </c>
      <c r="C7" s="215">
        <v>592120</v>
      </c>
      <c r="D7" s="215">
        <v>2158669.9999999995</v>
      </c>
      <c r="E7" s="215">
        <v>675590</v>
      </c>
      <c r="F7" s="215">
        <v>812410</v>
      </c>
      <c r="G7" s="215">
        <v>4305430</v>
      </c>
    </row>
    <row r="8" spans="1:7" x14ac:dyDescent="0.25">
      <c r="A8" s="76" t="s">
        <v>61</v>
      </c>
      <c r="B8" s="215">
        <v>199920</v>
      </c>
      <c r="C8" s="215">
        <v>1776360</v>
      </c>
      <c r="D8" s="215">
        <v>7207121.1111111101</v>
      </c>
      <c r="E8" s="215">
        <v>1730844.0740740742</v>
      </c>
      <c r="F8" s="215">
        <v>2002044.8148148148</v>
      </c>
      <c r="G8" s="215">
        <v>12916290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9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5" t="s">
        <v>63</v>
      </c>
      <c r="B1" t="s">
        <v>80</v>
      </c>
    </row>
    <row r="2" spans="1:16" x14ac:dyDescent="0.25">
      <c r="A2" s="75" t="s">
        <v>64</v>
      </c>
      <c r="B2" t="s">
        <v>80</v>
      </c>
    </row>
    <row r="4" spans="1:16" x14ac:dyDescent="0.25">
      <c r="A4" s="75" t="s">
        <v>87</v>
      </c>
      <c r="B4" s="75" t="s">
        <v>62</v>
      </c>
    </row>
    <row r="5" spans="1:16" x14ac:dyDescent="0.25">
      <c r="A5" s="75" t="s">
        <v>60</v>
      </c>
      <c r="B5" t="s">
        <v>49</v>
      </c>
      <c r="C5" t="s">
        <v>54</v>
      </c>
      <c r="D5" t="s">
        <v>51</v>
      </c>
      <c r="E5" t="s">
        <v>6</v>
      </c>
      <c r="F5" t="s">
        <v>56</v>
      </c>
      <c r="G5" t="s">
        <v>12</v>
      </c>
      <c r="H5" t="s">
        <v>48</v>
      </c>
      <c r="I5" t="s">
        <v>53</v>
      </c>
      <c r="J5" t="s">
        <v>55</v>
      </c>
      <c r="K5" t="s">
        <v>50</v>
      </c>
      <c r="L5" t="s">
        <v>52</v>
      </c>
      <c r="M5" t="s">
        <v>38</v>
      </c>
      <c r="N5" t="s">
        <v>95</v>
      </c>
      <c r="O5" t="s">
        <v>113</v>
      </c>
      <c r="P5" t="s">
        <v>61</v>
      </c>
    </row>
    <row r="6" spans="1:16" x14ac:dyDescent="0.25">
      <c r="A6" s="76">
        <v>2019</v>
      </c>
      <c r="B6" s="215">
        <v>76936.491003913645</v>
      </c>
      <c r="C6" s="215">
        <v>5112.5796318426765</v>
      </c>
      <c r="D6" s="215">
        <v>288510.97448626079</v>
      </c>
      <c r="E6" s="215">
        <v>12737.861407364735</v>
      </c>
      <c r="F6" s="215">
        <v>18955.494408534123</v>
      </c>
      <c r="G6" s="215">
        <v>55123.467536910946</v>
      </c>
      <c r="H6" s="215">
        <v>1338020.0537015593</v>
      </c>
      <c r="I6" s="215">
        <v>180387.32565123856</v>
      </c>
      <c r="J6" s="215">
        <v>69972.60108508839</v>
      </c>
      <c r="K6" s="215">
        <v>161391.51776080468</v>
      </c>
      <c r="L6" s="215">
        <v>33713.005264576917</v>
      </c>
      <c r="M6" s="215">
        <v>221142.47330260737</v>
      </c>
      <c r="N6" s="215">
        <v>8583.1535453348897</v>
      </c>
      <c r="O6" s="215">
        <v>108083.00121396239</v>
      </c>
      <c r="P6" s="215">
        <v>2578669.9999999995</v>
      </c>
    </row>
    <row r="7" spans="1:16" x14ac:dyDescent="0.25">
      <c r="A7" s="76">
        <v>2030</v>
      </c>
      <c r="B7" s="215">
        <v>287248.39592951711</v>
      </c>
      <c r="C7" s="215">
        <v>4891.4296197465119</v>
      </c>
      <c r="D7" s="215">
        <v>245707.92287855776</v>
      </c>
      <c r="E7" s="215">
        <v>70179.935803594577</v>
      </c>
      <c r="F7" s="215">
        <v>18329.447243404069</v>
      </c>
      <c r="G7" s="215">
        <v>53439.478453935844</v>
      </c>
      <c r="H7" s="215">
        <v>992405.37867281248</v>
      </c>
      <c r="I7" s="215">
        <v>136417.13303535167</v>
      </c>
      <c r="J7" s="215">
        <v>67538.772462970126</v>
      </c>
      <c r="K7" s="215">
        <v>155662.58963035964</v>
      </c>
      <c r="L7" s="215">
        <v>31643.793284765423</v>
      </c>
      <c r="M7" s="215">
        <v>295381.28969570249</v>
      </c>
      <c r="N7" s="215">
        <v>8013.7680697060587</v>
      </c>
      <c r="O7" s="215">
        <v>101970.2100146141</v>
      </c>
      <c r="P7" s="215">
        <v>2468829.5447950377</v>
      </c>
    </row>
    <row r="8" spans="1:16" x14ac:dyDescent="0.25">
      <c r="A8" s="76">
        <v>2050</v>
      </c>
      <c r="B8" s="215">
        <v>537686.14771168726</v>
      </c>
      <c r="C8" s="215">
        <v>299917.46027799317</v>
      </c>
      <c r="D8" s="215">
        <v>754498.9869193387</v>
      </c>
      <c r="E8" s="215">
        <v>215005.07896238801</v>
      </c>
      <c r="F8" s="215">
        <v>16356.183104388647</v>
      </c>
      <c r="G8" s="215">
        <v>143.34379382222059</v>
      </c>
      <c r="H8" s="215">
        <v>2660.7331259514922</v>
      </c>
      <c r="I8" s="215">
        <v>483.5810118234416</v>
      </c>
      <c r="J8" s="215">
        <v>162.57166940822827</v>
      </c>
      <c r="K8" s="215">
        <v>322742.34067986236</v>
      </c>
      <c r="L8" s="215">
        <v>16.412163123889165</v>
      </c>
      <c r="M8" s="215">
        <v>2147.2082115244143</v>
      </c>
      <c r="N8" s="215">
        <v>6348.1779255936181</v>
      </c>
      <c r="O8" s="215">
        <v>501.7744430942368</v>
      </c>
      <c r="P8" s="215">
        <v>2158670</v>
      </c>
    </row>
    <row r="9" spans="1:16" x14ac:dyDescent="0.25">
      <c r="A9" s="76" t="s">
        <v>61</v>
      </c>
      <c r="B9" s="215">
        <v>901871.03464511805</v>
      </c>
      <c r="C9" s="215">
        <v>309921.46952958236</v>
      </c>
      <c r="D9" s="215">
        <v>1288717.8842841573</v>
      </c>
      <c r="E9" s="215">
        <v>297922.87617334735</v>
      </c>
      <c r="F9" s="215">
        <v>53641.124756326841</v>
      </c>
      <c r="G9" s="215">
        <v>108706.289784669</v>
      </c>
      <c r="H9" s="215">
        <v>2333086.1655003233</v>
      </c>
      <c r="I9" s="215">
        <v>317288.03969841363</v>
      </c>
      <c r="J9" s="215">
        <v>137673.94521746674</v>
      </c>
      <c r="K9" s="215">
        <v>639796.44807102671</v>
      </c>
      <c r="L9" s="215">
        <v>65373.210712466229</v>
      </c>
      <c r="M9" s="215">
        <v>518670.97120983427</v>
      </c>
      <c r="N9" s="215">
        <v>22945.099540634568</v>
      </c>
      <c r="O9" s="215">
        <v>210554.98567167073</v>
      </c>
      <c r="P9" s="215">
        <v>7206169.5447950372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4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4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4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4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4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4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4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4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4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4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4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4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4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4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4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4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4">
        <f>Arealanvendelse!M26</f>
        <v>1797607.2776597517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4">
        <f>Arealanvendelse!M27</f>
        <v>491333.38307711121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4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4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4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4">
        <f>Arealanvendelse!N26</f>
        <v>66595.901673525368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4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4">
        <f>Arealanvendelse!N28</f>
        <v>74044.098326474632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4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4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4">
        <f>Arealanvendelse!O26</f>
        <v>50308.863648834013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4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4">
        <f>Arealanvendelse!O28</f>
        <v>61682.247462277082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4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4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4">
        <f>Arealanvendelse!P26</f>
        <v>1636839.1020767612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4">
        <f>Arealanvendelse!P27</f>
        <v>652101.55866010161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4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4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4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4">
        <f>Arealanvendelse!Q26</f>
        <v>7582.4059259259229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4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4">
        <f>Arealanvendelse!Q28</f>
        <v>133057.59407407406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4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4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4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4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4">
        <f>Arealanvendelse!R28</f>
        <v>111991.11111111109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4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4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4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4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4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4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4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4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4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4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4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4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4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4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4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4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4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4">
        <f>Arealanvendelse!M36</f>
        <v>537513.90752543334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4">
        <f>Arealanvendelse!M37</f>
        <v>135891.43173770356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4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4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4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4">
        <f>Arealanvendelse!N36</f>
        <v>10114.39462277092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4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4">
        <f>Arealanvendelse!N38</f>
        <v>11245.605377229082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4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4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4">
        <f>Arealanvendelse!O36</f>
        <v>7640.7659807956097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4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4">
        <f>Arealanvendelse!O38</f>
        <v>9368.122908093279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4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4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4">
        <f>Arealanvendelse!P36</f>
        <v>513096.89792323852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4">
        <f>Arealanvendelse!P37</f>
        <v>160308.44133989836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4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4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4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4">
        <f>Arealanvendelse!Q36</f>
        <v>1151.5940740740734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4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4">
        <f>Arealanvendelse!Q38</f>
        <v>20208.405925925927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4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4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4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4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4">
        <f>Arealanvendelse!R38</f>
        <v>17008.888888888891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4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t="str">
        <f t="shared" ref="E2:E33" si="0">Jordbund1</f>
        <v>JB1-10</v>
      </c>
      <c r="F2" t="str">
        <f>IF(I2&lt;&gt;0,"Halm",IF(B2&lt;&gt;"Permanent græs",B2,"Græs"))</f>
        <v>Halm</v>
      </c>
      <c r="G2" s="74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4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4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t="str">
        <f t="shared" si="0"/>
        <v>JB1-10</v>
      </c>
      <c r="F3" t="str">
        <f t="shared" ref="F3:F71" si="1">IF(I3&lt;&gt;0,"Halm",IF(B3&lt;&gt;"Permanent græs",B3,"Græs"))</f>
        <v>Halm</v>
      </c>
      <c r="G3" s="74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4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4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t="str">
        <f t="shared" si="0"/>
        <v>JB1-10</v>
      </c>
      <c r="F4" t="str">
        <f t="shared" si="1"/>
        <v>Halm</v>
      </c>
      <c r="G4" s="74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4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4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t="str">
        <f t="shared" si="0"/>
        <v>JB1-10</v>
      </c>
      <c r="F5" t="str">
        <f t="shared" si="1"/>
        <v>Græs</v>
      </c>
      <c r="G5" s="74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4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4">
        <f>'Landbrugsareal - resultat'!D24</f>
        <v>4451192.319631801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t="str">
        <f t="shared" si="0"/>
        <v>JB1-10</v>
      </c>
      <c r="F6" t="str">
        <f t="shared" si="1"/>
        <v>Grøntsager</v>
      </c>
      <c r="G6" s="74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4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4">
        <f>'Landbrugsareal - resultat'!D25</f>
        <v>519487.36510723934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t="str">
        <f t="shared" si="0"/>
        <v>JB1-10</v>
      </c>
      <c r="F7" t="str">
        <f t="shared" si="1"/>
        <v>Kartofler</v>
      </c>
      <c r="G7" s="74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4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4">
        <f>'Landbrugsareal - resultat'!D26</f>
        <v>9267841.2008731291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t="str">
        <f t="shared" si="0"/>
        <v>JB1-10</v>
      </c>
      <c r="F8" t="str">
        <f t="shared" si="1"/>
        <v>Roer</v>
      </c>
      <c r="G8" s="74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4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4">
        <f>'Landbrugsareal - resultat'!E24</f>
        <v>0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t="str">
        <f t="shared" si="0"/>
        <v>JB1-10</v>
      </c>
      <c r="F9" t="str">
        <f t="shared" si="1"/>
        <v>Majs</v>
      </c>
      <c r="G9" s="74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4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4">
        <f>'Landbrugsareal - resultat'!E25</f>
        <v>0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t="str">
        <f t="shared" si="0"/>
        <v>JB1-10</v>
      </c>
      <c r="F10" t="str">
        <f t="shared" si="1"/>
        <v>Frugt</v>
      </c>
      <c r="G10" s="74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4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4">
        <f>'Landbrugsareal - resultat'!E26</f>
        <v>0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t="str">
        <f t="shared" si="0"/>
        <v>JB1-10</v>
      </c>
      <c r="F11" t="str">
        <f t="shared" si="1"/>
        <v>Øvrige</v>
      </c>
      <c r="G11" s="74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4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4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t="str">
        <f t="shared" si="0"/>
        <v>JB1-10</v>
      </c>
      <c r="F12" t="str">
        <f t="shared" si="1"/>
        <v>Halm</v>
      </c>
      <c r="G12" s="74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4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4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t="str">
        <f t="shared" si="0"/>
        <v>JB1-10</v>
      </c>
      <c r="F13" t="str">
        <f t="shared" si="1"/>
        <v>Juletræer</v>
      </c>
      <c r="G13" s="74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4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4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t="str">
        <f t="shared" si="0"/>
        <v>JB1-10</v>
      </c>
      <c r="F14" t="str">
        <f>IF(I14&lt;&gt;0,"Halm",IF(B14&lt;&gt;"Permanent græs",B14,"Græs"))</f>
        <v>Pil &amp; poppel</v>
      </c>
      <c r="G14" s="74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4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4">
        <f>'Landbrugsareal - resultat'!G24</f>
        <v>2734998.260478348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t="str">
        <f t="shared" si="0"/>
        <v>JB1-10</v>
      </c>
      <c r="F15" t="str">
        <f t="shared" si="1"/>
        <v>Græs</v>
      </c>
      <c r="G15" s="74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4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4">
        <f>'Landbrugsareal - resultat'!G25</f>
        <v>428286.51876372844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t="str">
        <f t="shared" si="0"/>
        <v>JB1-10</v>
      </c>
      <c r="F16" t="str">
        <f t="shared" si="1"/>
        <v>Halm</v>
      </c>
      <c r="G16" s="74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637347.23520128522</v>
      </c>
      <c r="H16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4467804.1187610095</v>
      </c>
      <c r="I16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1532729.9136543253</v>
      </c>
      <c r="J16" s="74">
        <f t="shared" si="2"/>
        <v>1532729.9136543253</v>
      </c>
      <c r="L16" t="s">
        <v>23</v>
      </c>
      <c r="M16" t="s">
        <v>4</v>
      </c>
      <c r="N16">
        <v>2030</v>
      </c>
      <c r="O16" t="s">
        <v>8</v>
      </c>
      <c r="P16" s="74">
        <f>'Landbrugsareal - resultat'!G26</f>
        <v>7477118.4636429986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t="str">
        <f t="shared" si="0"/>
        <v>JB1-10</v>
      </c>
      <c r="F17" t="str">
        <f t="shared" si="1"/>
        <v>Halm</v>
      </c>
      <c r="G17" s="74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189649.66510867511</v>
      </c>
      <c r="H17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732047.70731948595</v>
      </c>
      <c r="I17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228424.75811780654</v>
      </c>
      <c r="J17" s="74">
        <f t="shared" si="2"/>
        <v>228424.75811780654</v>
      </c>
      <c r="L17" t="s">
        <v>23</v>
      </c>
      <c r="M17" t="s">
        <v>22</v>
      </c>
      <c r="N17">
        <v>2050</v>
      </c>
      <c r="O17" t="s">
        <v>8</v>
      </c>
      <c r="P17" s="74">
        <f>'Landbrugsareal - resultat'!H24</f>
        <v>720277.08940132696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t="str">
        <f t="shared" si="0"/>
        <v>JB1-10</v>
      </c>
      <c r="F18" t="str">
        <f t="shared" si="1"/>
        <v>Halm</v>
      </c>
      <c r="G18" s="74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101555.35706467889</v>
      </c>
      <c r="H1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446843.57108458714</v>
      </c>
      <c r="I1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250845.80536577498</v>
      </c>
      <c r="J18" s="74">
        <f t="shared" si="2"/>
        <v>250845.80536577498</v>
      </c>
      <c r="L18" t="s">
        <v>23</v>
      </c>
      <c r="M18" t="s">
        <v>3</v>
      </c>
      <c r="N18">
        <v>2050</v>
      </c>
      <c r="O18" t="s">
        <v>8</v>
      </c>
      <c r="P18" s="74">
        <f>'Landbrugsareal - resultat'!H25</f>
        <v>139246.39999999999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t="str">
        <f t="shared" si="0"/>
        <v>JB1-10</v>
      </c>
      <c r="F19" t="str">
        <f t="shared" si="1"/>
        <v>Græs</v>
      </c>
      <c r="G19" s="74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139905.49065394065</v>
      </c>
      <c r="H1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6942110.4462485351</v>
      </c>
      <c r="I1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4">
        <f t="shared" si="2"/>
        <v>6942110.4462485351</v>
      </c>
      <c r="L19" t="s">
        <v>23</v>
      </c>
      <c r="M19" t="s">
        <v>4</v>
      </c>
      <c r="N19">
        <v>2050</v>
      </c>
      <c r="O19" t="s">
        <v>8</v>
      </c>
      <c r="P19" s="74">
        <f>'Landbrugsareal - resultat'!H26</f>
        <v>8509733.5999999996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t="str">
        <f t="shared" si="0"/>
        <v>JB1-10</v>
      </c>
      <c r="F20" t="str">
        <f t="shared" si="1"/>
        <v>Grøntsager</v>
      </c>
      <c r="G20" s="74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46635.163551313555</v>
      </c>
      <c r="H2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967679.64368975628</v>
      </c>
      <c r="I2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4">
        <f t="shared" si="2"/>
        <v>967679.64368975628</v>
      </c>
      <c r="L20" t="s">
        <v>24</v>
      </c>
      <c r="M20" t="s">
        <v>22</v>
      </c>
      <c r="N20">
        <v>2019</v>
      </c>
      <c r="O20" t="s">
        <v>7</v>
      </c>
      <c r="P20" s="74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t="str">
        <f t="shared" si="0"/>
        <v>JB1-10</v>
      </c>
      <c r="F21" t="str">
        <f t="shared" si="1"/>
        <v>Kartofler</v>
      </c>
      <c r="G21" s="74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34039.446970381257</v>
      </c>
      <c r="H2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1445685.930324076</v>
      </c>
      <c r="I2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4">
        <f t="shared" si="2"/>
        <v>1445685.930324076</v>
      </c>
      <c r="L21" t="s">
        <v>24</v>
      </c>
      <c r="M21" t="s">
        <v>3</v>
      </c>
      <c r="N21">
        <v>2019</v>
      </c>
      <c r="O21" t="s">
        <v>7</v>
      </c>
      <c r="P21" s="74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t="str">
        <f t="shared" si="0"/>
        <v>JB1-10</v>
      </c>
      <c r="F22" t="str">
        <f t="shared" si="1"/>
        <v>Roer</v>
      </c>
      <c r="G22" s="74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20934.388749875463</v>
      </c>
      <c r="H22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1700997.1993182392</v>
      </c>
      <c r="I22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4">
        <f t="shared" si="2"/>
        <v>1700997.1993182392</v>
      </c>
      <c r="L22" t="s">
        <v>24</v>
      </c>
      <c r="M22" t="s">
        <v>4</v>
      </c>
      <c r="N22">
        <v>2019</v>
      </c>
      <c r="O22" t="s">
        <v>7</v>
      </c>
      <c r="P22" s="74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t="str">
        <f t="shared" si="0"/>
        <v>JB1-10</v>
      </c>
      <c r="F23" t="str">
        <f t="shared" si="1"/>
        <v>Majs</v>
      </c>
      <c r="G23" s="74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87052.305295785307</v>
      </c>
      <c r="H23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3874698.1087154048</v>
      </c>
      <c r="I23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4">
        <f t="shared" si="2"/>
        <v>3874698.1087154048</v>
      </c>
      <c r="L23" t="s">
        <v>24</v>
      </c>
      <c r="M23" t="s">
        <v>22</v>
      </c>
      <c r="N23">
        <v>2030</v>
      </c>
      <c r="O23" t="s">
        <v>7</v>
      </c>
      <c r="P23" s="74">
        <f>'Landbrugsareal - resultat'!D51</f>
        <v>1409264.2692300314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t="str">
        <f t="shared" si="0"/>
        <v>JB1-10</v>
      </c>
      <c r="F24" t="str">
        <f t="shared" si="1"/>
        <v>Frugt</v>
      </c>
      <c r="G24" s="74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3155.9435616144051</v>
      </c>
      <c r="H24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26793.960838106304</v>
      </c>
      <c r="I24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4">
        <f t="shared" si="2"/>
        <v>26793.960838106304</v>
      </c>
      <c r="L24" t="s">
        <v>24</v>
      </c>
      <c r="M24" t="s">
        <v>3</v>
      </c>
      <c r="N24">
        <v>2030</v>
      </c>
      <c r="O24" t="s">
        <v>7</v>
      </c>
      <c r="P24" s="74">
        <f>'Landbrugsareal - resultat'!D52</f>
        <v>49361.692337422792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t="str">
        <f t="shared" si="0"/>
        <v>JB1-10</v>
      </c>
      <c r="F25" t="str">
        <f t="shared" si="1"/>
        <v>Øvrige</v>
      </c>
      <c r="G25" s="74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43477.4503319453</v>
      </c>
      <c r="H25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1295451.653970618</v>
      </c>
      <c r="I25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4">
        <f t="shared" si="2"/>
        <v>1295451.653970618</v>
      </c>
      <c r="L25" t="s">
        <v>24</v>
      </c>
      <c r="M25" t="s">
        <v>4</v>
      </c>
      <c r="N25">
        <v>2030</v>
      </c>
      <c r="O25" t="s">
        <v>7</v>
      </c>
      <c r="P25" s="74">
        <f>'Landbrugsareal - resultat'!D53</f>
        <v>1110078.7475035731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t="str">
        <f t="shared" si="0"/>
        <v>JB1-10</v>
      </c>
      <c r="F26" t="str">
        <f t="shared" si="1"/>
        <v>Halm</v>
      </c>
      <c r="G26" s="74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62794.725438569862</v>
      </c>
      <c r="H26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897265.08822235989</v>
      </c>
      <c r="I26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156672.21267540852</v>
      </c>
      <c r="J26" s="74">
        <f t="shared" si="2"/>
        <v>156672.21267540852</v>
      </c>
      <c r="L26" t="s">
        <v>24</v>
      </c>
      <c r="M26" t="s">
        <v>22</v>
      </c>
      <c r="N26">
        <v>2050</v>
      </c>
      <c r="O26" t="s">
        <v>7</v>
      </c>
      <c r="P26" s="74">
        <f>'Landbrugsareal - resultat'!E51</f>
        <v>1169559.3041937244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t="str">
        <f t="shared" si="0"/>
        <v>JB1-10</v>
      </c>
      <c r="F27" t="str">
        <f t="shared" si="1"/>
        <v>Juletræer</v>
      </c>
      <c r="G27" s="74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11793.931779450841</v>
      </c>
      <c r="H27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589696.58897254209</v>
      </c>
      <c r="I27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4">
        <f t="shared" si="2"/>
        <v>589696.58897254209</v>
      </c>
      <c r="L27" t="s">
        <v>24</v>
      </c>
      <c r="M27" t="s">
        <v>3</v>
      </c>
      <c r="N27">
        <v>2050</v>
      </c>
      <c r="O27" t="s">
        <v>7</v>
      </c>
      <c r="P27" s="74">
        <f>'Landbrugsareal - resultat'!E52</f>
        <v>-10807.957958172134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t="str">
        <f t="shared" si="0"/>
        <v>JB1-10</v>
      </c>
      <c r="F28" t="str">
        <f t="shared" ref="F28" si="4">IF(I28&lt;&gt;0,"Halm",IF(B28&lt;&gt;"Permanent græs",B28,"Græs"))</f>
        <v>Pil &amp; poppel</v>
      </c>
      <c r="G28" s="74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4535.2843920639016</v>
      </c>
      <c r="H2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110616.69248936347</v>
      </c>
      <c r="I2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4">
        <f t="shared" ref="J28" si="5">IF(I28&lt;&gt;0,I28,H28)</f>
        <v>110616.69248936347</v>
      </c>
      <c r="L28" t="s">
        <v>24</v>
      </c>
      <c r="M28" t="s">
        <v>4</v>
      </c>
      <c r="N28">
        <v>2050</v>
      </c>
      <c r="O28" t="s">
        <v>7</v>
      </c>
      <c r="P28" s="74">
        <f>'Landbrugsareal - resultat'!E53</f>
        <v>272840.10660097841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t="str">
        <f t="shared" si="0"/>
        <v>JB1-10</v>
      </c>
      <c r="F29" t="str">
        <f t="shared" si="1"/>
        <v>Græs</v>
      </c>
      <c r="G29" s="74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170995.5996881497</v>
      </c>
      <c r="H2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2358029.3196995845</v>
      </c>
      <c r="I2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4">
        <f t="shared" si="2"/>
        <v>2358029.3196995845</v>
      </c>
      <c r="L29" t="s">
        <v>24</v>
      </c>
      <c r="M29" t="s">
        <v>22</v>
      </c>
      <c r="N29">
        <v>2019</v>
      </c>
      <c r="O29" t="s">
        <v>8</v>
      </c>
      <c r="P29" s="74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t="str">
        <f t="shared" si="0"/>
        <v>JB1-10</v>
      </c>
      <c r="F30" t="str">
        <f t="shared" si="1"/>
        <v>Korn</v>
      </c>
      <c r="G30" s="74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0</v>
      </c>
      <c r="H3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0</v>
      </c>
      <c r="I3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0</v>
      </c>
      <c r="J30" s="74">
        <f t="shared" si="2"/>
        <v>0</v>
      </c>
      <c r="L30" t="s">
        <v>24</v>
      </c>
      <c r="M30" t="s">
        <v>3</v>
      </c>
      <c r="N30">
        <v>2019</v>
      </c>
      <c r="O30" t="s">
        <v>8</v>
      </c>
      <c r="P30" s="74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t="str">
        <f t="shared" si="0"/>
        <v>JB1-10</v>
      </c>
      <c r="F31" t="str">
        <f t="shared" si="1"/>
        <v>Halm</v>
      </c>
      <c r="G31" s="74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337598.06480333197</v>
      </c>
      <c r="H3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1303128.5301408616</v>
      </c>
      <c r="I3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442315.41413725627</v>
      </c>
      <c r="J31" s="74">
        <f t="shared" si="2"/>
        <v>442315.41413725627</v>
      </c>
      <c r="L31" t="s">
        <v>24</v>
      </c>
      <c r="M31" t="s">
        <v>4</v>
      </c>
      <c r="N31">
        <v>2019</v>
      </c>
      <c r="O31" t="s">
        <v>8</v>
      </c>
      <c r="P31" s="74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t="str">
        <f t="shared" si="0"/>
        <v>JB1-10</v>
      </c>
      <c r="F32" t="str">
        <f t="shared" si="1"/>
        <v>Halm</v>
      </c>
      <c r="G32" s="74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202558.83888199917</v>
      </c>
      <c r="H32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891258.89108079637</v>
      </c>
      <c r="I32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544247.24183848815</v>
      </c>
      <c r="J32" s="74">
        <f t="shared" si="2"/>
        <v>544247.24183848815</v>
      </c>
      <c r="L32" t="s">
        <v>24</v>
      </c>
      <c r="M32" t="s">
        <v>22</v>
      </c>
      <c r="N32">
        <v>2030</v>
      </c>
      <c r="O32" t="s">
        <v>8</v>
      </c>
      <c r="P32" s="74">
        <f>'Landbrugsareal - resultat'!G51</f>
        <v>147284.73076996871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t="str">
        <f t="shared" si="0"/>
        <v>JB1-10</v>
      </c>
      <c r="F33" t="str">
        <f t="shared" si="1"/>
        <v>Græs</v>
      </c>
      <c r="G33" s="74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472637.29072466469</v>
      </c>
      <c r="H33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23452262.365757864</v>
      </c>
      <c r="I33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4">
        <f t="shared" si="2"/>
        <v>23452262.365757864</v>
      </c>
      <c r="L33" t="s">
        <v>24</v>
      </c>
      <c r="M33" t="s">
        <v>3</v>
      </c>
      <c r="N33">
        <v>2030</v>
      </c>
      <c r="O33" t="s">
        <v>8</v>
      </c>
      <c r="P33" s="74">
        <f>'Landbrugsareal - resultat'!G52</f>
        <v>49606.307662577208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t="str">
        <f t="shared" ref="E34:E65" si="6">Jordbund1</f>
        <v>JB1-10</v>
      </c>
      <c r="F34" t="str">
        <f t="shared" si="1"/>
        <v>Grøntsager</v>
      </c>
      <c r="G34" s="74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135039.22592133281</v>
      </c>
      <c r="H34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2802063.9378676559</v>
      </c>
      <c r="I34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4">
        <f t="shared" si="2"/>
        <v>2802063.9378676559</v>
      </c>
      <c r="L34" t="s">
        <v>24</v>
      </c>
      <c r="M34" t="s">
        <v>4</v>
      </c>
      <c r="N34">
        <v>2030</v>
      </c>
      <c r="O34" t="s">
        <v>8</v>
      </c>
      <c r="P34" s="74">
        <f>'Landbrugsareal - resultat'!G53</f>
        <v>675468.25249642704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t="str">
        <f t="shared" si="6"/>
        <v>JB1-10</v>
      </c>
      <c r="F35" t="str">
        <f t="shared" si="1"/>
        <v>Kartofler</v>
      </c>
      <c r="G35" s="74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0</v>
      </c>
      <c r="H35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0</v>
      </c>
      <c r="I35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4">
        <f t="shared" si="2"/>
        <v>0</v>
      </c>
      <c r="L35" t="s">
        <v>24</v>
      </c>
      <c r="M35" t="s">
        <v>22</v>
      </c>
      <c r="N35">
        <v>2050</v>
      </c>
      <c r="O35" t="s">
        <v>8</v>
      </c>
      <c r="P35" s="74">
        <f>'Landbrugsareal - resultat'!H51</f>
        <v>386989.69580627553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t="str">
        <f t="shared" si="6"/>
        <v>JB1-10</v>
      </c>
      <c r="F36" t="str">
        <f t="shared" si="1"/>
        <v>Roer</v>
      </c>
      <c r="G36" s="74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0</v>
      </c>
      <c r="H36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0</v>
      </c>
      <c r="I36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4">
        <f t="shared" si="2"/>
        <v>0</v>
      </c>
      <c r="L36" t="s">
        <v>24</v>
      </c>
      <c r="M36" t="s">
        <v>3</v>
      </c>
      <c r="N36">
        <v>2050</v>
      </c>
      <c r="O36" t="s">
        <v>8</v>
      </c>
      <c r="P36" s="74">
        <f>'Landbrugsareal - resultat'!H52</f>
        <v>109775.95795817213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t="str">
        <f t="shared" si="6"/>
        <v>JB1-10</v>
      </c>
      <c r="F37" t="str">
        <f t="shared" si="1"/>
        <v>Majs</v>
      </c>
      <c r="G37" s="74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0</v>
      </c>
      <c r="H37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0</v>
      </c>
      <c r="I37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4">
        <f t="shared" si="2"/>
        <v>0</v>
      </c>
      <c r="L37" t="s">
        <v>24</v>
      </c>
      <c r="M37" t="s">
        <v>4</v>
      </c>
      <c r="N37">
        <v>2050</v>
      </c>
      <c r="O37" t="s">
        <v>8</v>
      </c>
      <c r="P37" s="74">
        <f>'Landbrugsareal - resultat'!H53</f>
        <v>1512706.8933990216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t="str">
        <f t="shared" si="6"/>
        <v>JB1-10</v>
      </c>
      <c r="F38" t="str">
        <f t="shared" si="1"/>
        <v>Frugt</v>
      </c>
      <c r="G38" s="74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188373.71840347553</v>
      </c>
      <c r="H3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1599292.8692455075</v>
      </c>
      <c r="I3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4">
        <f t="shared" si="2"/>
        <v>1599292.8692455075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t="str">
        <f t="shared" si="6"/>
        <v>JB1-10</v>
      </c>
      <c r="F39" t="str">
        <f t="shared" si="1"/>
        <v>Øvrige</v>
      </c>
      <c r="G39" s="74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0</v>
      </c>
      <c r="H3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0</v>
      </c>
      <c r="I3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4">
        <f t="shared" si="2"/>
        <v>0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t="str">
        <f t="shared" si="6"/>
        <v>JB1-10</v>
      </c>
      <c r="F40" t="str">
        <f t="shared" si="1"/>
        <v>Frø</v>
      </c>
      <c r="G40" s="74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0</v>
      </c>
      <c r="H4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0</v>
      </c>
      <c r="I4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0</v>
      </c>
      <c r="J40" s="74">
        <f t="shared" si="2"/>
        <v>0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t="str">
        <f t="shared" si="6"/>
        <v>JB1-10</v>
      </c>
      <c r="F41" t="str">
        <f t="shared" si="1"/>
        <v>Juletræer</v>
      </c>
      <c r="G41" s="74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10245.338260561472</v>
      </c>
      <c r="H4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512266.91302807361</v>
      </c>
      <c r="I4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4">
        <f t="shared" si="2"/>
        <v>512266.91302807361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t="str">
        <f t="shared" si="6"/>
        <v>JB1-10</v>
      </c>
      <c r="F42" t="str">
        <f t="shared" ref="F42" si="7">IF(I42&lt;&gt;0,"Halm",IF(B42&lt;&gt;"Permanent græs",B42,"Græs"))</f>
        <v>Pil &amp; poppel</v>
      </c>
      <c r="G42" s="74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3939.7822179621876</v>
      </c>
      <c r="H42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96092.249218589946</v>
      </c>
      <c r="I42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4">
        <f t="shared" ref="J42" si="8">IF(I42&lt;&gt;0,I42,H42)</f>
        <v>96092.249218589946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t="str">
        <f t="shared" si="6"/>
        <v>JB1-10</v>
      </c>
      <c r="F43" t="str">
        <f t="shared" si="1"/>
        <v>Græs</v>
      </c>
      <c r="G43" s="74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0</v>
      </c>
      <c r="H43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0</v>
      </c>
      <c r="I43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4">
        <f t="shared" si="2"/>
        <v>0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t="str">
        <f t="shared" si="6"/>
        <v>JB1-10</v>
      </c>
      <c r="F44" t="str">
        <f t="shared" si="1"/>
        <v>Halm</v>
      </c>
      <c r="G44" s="74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4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t="str">
        <f t="shared" si="6"/>
        <v>JB1-10</v>
      </c>
      <c r="F45" t="str">
        <f t="shared" si="1"/>
        <v>Halm</v>
      </c>
      <c r="G45" s="74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4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t="str">
        <f t="shared" si="6"/>
        <v>JB1-10</v>
      </c>
      <c r="F46" t="str">
        <f t="shared" si="1"/>
        <v>Halm</v>
      </c>
      <c r="G46" s="74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4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t="str">
        <f t="shared" si="6"/>
        <v>JB1-10</v>
      </c>
      <c r="F47" t="str">
        <f t="shared" si="1"/>
        <v>Græs</v>
      </c>
      <c r="G47" s="74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4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t="str">
        <f t="shared" si="6"/>
        <v>JB1-10</v>
      </c>
      <c r="F48" t="str">
        <f t="shared" si="1"/>
        <v>Grøntsager</v>
      </c>
      <c r="G48" s="74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4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t="str">
        <f t="shared" si="6"/>
        <v>JB1-10</v>
      </c>
      <c r="F49" t="str">
        <f t="shared" si="1"/>
        <v>Kartofler</v>
      </c>
      <c r="G49" s="74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4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t="str">
        <f t="shared" si="6"/>
        <v>JB1-10</v>
      </c>
      <c r="F50" t="str">
        <f t="shared" si="1"/>
        <v>Roer</v>
      </c>
      <c r="G50" s="74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4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t="str">
        <f t="shared" si="6"/>
        <v>JB1-10</v>
      </c>
      <c r="F51" t="str">
        <f t="shared" si="1"/>
        <v>Majs</v>
      </c>
      <c r="G51" s="74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4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t="str">
        <f t="shared" si="6"/>
        <v>JB1-10</v>
      </c>
      <c r="F52" t="str">
        <f t="shared" si="1"/>
        <v>Frugt</v>
      </c>
      <c r="G52" s="74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4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t="str">
        <f t="shared" si="6"/>
        <v>JB1-10</v>
      </c>
      <c r="F53" t="str">
        <f t="shared" si="1"/>
        <v>Øvrige</v>
      </c>
      <c r="G53" s="74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4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t="str">
        <f t="shared" si="6"/>
        <v>JB1-10</v>
      </c>
      <c r="F54" t="str">
        <f t="shared" si="1"/>
        <v>Halm</v>
      </c>
      <c r="G54" s="74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4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t="str">
        <f t="shared" si="6"/>
        <v>JB1-10</v>
      </c>
      <c r="F55" t="str">
        <f t="shared" si="1"/>
        <v>Juletræer</v>
      </c>
      <c r="G55" s="74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4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t="str">
        <f t="shared" si="6"/>
        <v>JB1-10</v>
      </c>
      <c r="F56" t="str">
        <f t="shared" ref="F56" si="9">IF(I56&lt;&gt;0,"Halm",IF(B56&lt;&gt;"Permanent græs",B56,"Græs"))</f>
        <v>Pil &amp; poppel</v>
      </c>
      <c r="G56" s="74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4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t="str">
        <f t="shared" si="6"/>
        <v>JB1-10</v>
      </c>
      <c r="F57" t="str">
        <f t="shared" si="1"/>
        <v>Græs</v>
      </c>
      <c r="G57" s="74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4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t="str">
        <f t="shared" si="6"/>
        <v>JB1-10</v>
      </c>
      <c r="F58" t="str">
        <f t="shared" si="1"/>
        <v>Halm</v>
      </c>
      <c r="G58" s="74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99671.748639212907</v>
      </c>
      <c r="H5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468128.30183379131</v>
      </c>
      <c r="I5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160596.62254123858</v>
      </c>
      <c r="J58" s="74">
        <f t="shared" si="2"/>
        <v>160596.62254123858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t="str">
        <f t="shared" si="6"/>
        <v>JB1-10</v>
      </c>
      <c r="F59" t="str">
        <f t="shared" si="1"/>
        <v>Halm</v>
      </c>
      <c r="G59" s="74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29658.422765814572</v>
      </c>
      <c r="H5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65254.461769345216</v>
      </c>
      <c r="I5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20361.698420380486</v>
      </c>
      <c r="J59" s="74">
        <f t="shared" si="2"/>
        <v>20361.698420380486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t="str">
        <f t="shared" si="6"/>
        <v>JB1-10</v>
      </c>
      <c r="F60" t="str">
        <f t="shared" si="1"/>
        <v>Halm</v>
      </c>
      <c r="G60" s="74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15881.766583829967</v>
      </c>
      <c r="H6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38433.875132868525</v>
      </c>
      <c r="I6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21575.730266480681</v>
      </c>
      <c r="J60" s="74">
        <f t="shared" si="2"/>
        <v>21575.730266480681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t="str">
        <f t="shared" si="6"/>
        <v>JB1-10</v>
      </c>
      <c r="F61" t="str">
        <f t="shared" si="1"/>
        <v>Græs</v>
      </c>
      <c r="G61" s="74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21879.164335436981</v>
      </c>
      <c r="H6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846802.42477301881</v>
      </c>
      <c r="I6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4">
        <f t="shared" si="2"/>
        <v>846802.42477301881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t="str">
        <f t="shared" si="6"/>
        <v>JB1-10</v>
      </c>
      <c r="F62" t="str">
        <f t="shared" si="1"/>
        <v>Grøntsager</v>
      </c>
      <c r="G62" s="74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7293.0547784789933</v>
      </c>
      <c r="H62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86258.605392460304</v>
      </c>
      <c r="I62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4">
        <f t="shared" si="2"/>
        <v>86258.605392460304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t="str">
        <f t="shared" si="6"/>
        <v>JB1-10</v>
      </c>
      <c r="F63" t="str">
        <f t="shared" si="1"/>
        <v>Kartofler</v>
      </c>
      <c r="G63" s="74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5323.269663479693</v>
      </c>
      <c r="H63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128867.90891845687</v>
      </c>
      <c r="I63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4">
        <f t="shared" si="2"/>
        <v>128867.90891845687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t="str">
        <f t="shared" si="6"/>
        <v>JB1-10</v>
      </c>
      <c r="F64" t="str">
        <f t="shared" si="1"/>
        <v>Roer</v>
      </c>
      <c r="G64" s="74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3273.8309953351877</v>
      </c>
      <c r="H64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151626.26097021959</v>
      </c>
      <c r="I64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4">
        <f t="shared" si="2"/>
        <v>151626.26097021959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t="str">
        <f t="shared" si="6"/>
        <v>JB1-10</v>
      </c>
      <c r="F65" t="str">
        <f t="shared" si="1"/>
        <v>Majs</v>
      </c>
      <c r="G65" s="74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13613.702253160789</v>
      </c>
      <c r="H65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502935.08644919499</v>
      </c>
      <c r="I65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4">
        <f t="shared" si="2"/>
        <v>502935.08644919499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t="str">
        <f t="shared" ref="E66:E85" si="11">Jordbund1</f>
        <v>JB1-10</v>
      </c>
      <c r="F66" t="str">
        <f t="shared" si="1"/>
        <v>Frugt</v>
      </c>
      <c r="G66" s="74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493.54323047064037</v>
      </c>
      <c r="H66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2388.4037552165701</v>
      </c>
      <c r="I66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4">
        <f t="shared" si="2"/>
        <v>2388.4037552165701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t="str">
        <f t="shared" si="11"/>
        <v>JB1-10</v>
      </c>
      <c r="F67" t="str">
        <f t="shared" si="1"/>
        <v>Øvrige</v>
      </c>
      <c r="G67" s="74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6799.2347995216924</v>
      </c>
      <c r="H67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115476.08111170237</v>
      </c>
      <c r="I67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4">
        <f t="shared" si="2"/>
        <v>115476.08111170237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t="str">
        <f t="shared" si="11"/>
        <v>JB1-10</v>
      </c>
      <c r="F68" t="str">
        <f t="shared" si="1"/>
        <v>Halm</v>
      </c>
      <c r="G68" s="74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9820.1729671030407</v>
      </c>
      <c r="H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79981.87797181512</v>
      </c>
      <c r="I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13965.703068426281</v>
      </c>
      <c r="J68" s="74">
        <f t="shared" si="2"/>
        <v>13965.703068426281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t="str">
        <f t="shared" si="11"/>
        <v>JB1-10</v>
      </c>
      <c r="F69" t="str">
        <f t="shared" si="1"/>
        <v>Juletræer</v>
      </c>
      <c r="G69" s="74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1844.3977456310754</v>
      </c>
      <c r="H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52565.335750485647</v>
      </c>
      <c r="I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4">
        <f t="shared" si="2"/>
        <v>52565.335750485647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t="str">
        <f t="shared" si="11"/>
        <v>JB1-10</v>
      </c>
      <c r="F70" t="str">
        <f t="shared" ref="F70" si="12">IF(I70&lt;&gt;0,"Halm",IF(B70&lt;&gt;"Permanent græs",B70,"Græs"))</f>
        <v>Pil &amp; poppel</v>
      </c>
      <c r="G70" s="74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709.25188181035526</v>
      </c>
      <c r="H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9860.3310398024987</v>
      </c>
      <c r="I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4">
        <f t="shared" ref="J70" si="13">IF(I70&lt;&gt;0,I70,H70)</f>
        <v>9860.3310398024987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t="str">
        <f t="shared" si="11"/>
        <v>JB1-10</v>
      </c>
      <c r="F71" t="str">
        <f t="shared" si="1"/>
        <v>Græs</v>
      </c>
      <c r="G71" s="74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26741.200854422976</v>
      </c>
      <c r="H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368761.15978249285</v>
      </c>
      <c r="I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4">
        <f t="shared" si="2"/>
        <v>368761.15978249285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t="str">
        <f t="shared" si="11"/>
        <v>JB1-10</v>
      </c>
      <c r="F72" t="str">
        <f t="shared" ref="F72:F139" si="14">IF(I72&lt;&gt;0,"Halm",IF(B72&lt;&gt;"Permanent græs",B72,"Græs"))</f>
        <v>Korn</v>
      </c>
      <c r="G72" s="74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0</v>
      </c>
      <c r="H72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0</v>
      </c>
      <c r="I72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0</v>
      </c>
      <c r="J72" s="74">
        <f t="shared" ref="J72:J139" si="15">IF(I72&lt;&gt;0,I72,H72)</f>
        <v>0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t="str">
        <f t="shared" si="11"/>
        <v>JB1-10</v>
      </c>
      <c r="F73" t="str">
        <f t="shared" si="14"/>
        <v>Halm</v>
      </c>
      <c r="G73" s="74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71611.710715858295</v>
      </c>
      <c r="H73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157560.08591703142</v>
      </c>
      <c r="I73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53479.9546184137</v>
      </c>
      <c r="J73" s="74">
        <f t="shared" si="15"/>
        <v>53479.9546184137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t="str">
        <f t="shared" si="11"/>
        <v>JB1-10</v>
      </c>
      <c r="F74" t="str">
        <f t="shared" si="14"/>
        <v>Halm</v>
      </c>
      <c r="G74" s="74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42967.026429514983</v>
      </c>
      <c r="H74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103980.20395942628</v>
      </c>
      <c r="I74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63495.511547823648</v>
      </c>
      <c r="J74" s="74">
        <f t="shared" si="15"/>
        <v>63495.511547823648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t="str">
        <f t="shared" si="11"/>
        <v>JB1-10</v>
      </c>
      <c r="F75" t="str">
        <f t="shared" si="14"/>
        <v>Græs</v>
      </c>
      <c r="G75" s="74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100256.39500220161</v>
      </c>
      <c r="H75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3880283.4096072102</v>
      </c>
      <c r="I75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4">
        <f t="shared" si="15"/>
        <v>3880283.4096072102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t="str">
        <f t="shared" si="11"/>
        <v>JB1-10</v>
      </c>
      <c r="F76" t="str">
        <f t="shared" si="14"/>
        <v>Grøntsager</v>
      </c>
      <c r="G76" s="74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28644.684286343319</v>
      </c>
      <c r="H76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338795.00339672563</v>
      </c>
      <c r="I76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4">
        <f t="shared" si="15"/>
        <v>338795.00339672563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t="str">
        <f t="shared" si="11"/>
        <v>JB1-10</v>
      </c>
      <c r="F77" t="str">
        <f t="shared" si="14"/>
        <v>Kartofler</v>
      </c>
      <c r="G77" s="74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0</v>
      </c>
      <c r="H77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0</v>
      </c>
      <c r="I77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4">
        <f t="shared" si="15"/>
        <v>0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t="str">
        <f t="shared" si="11"/>
        <v>JB1-10</v>
      </c>
      <c r="F78" t="str">
        <f t="shared" si="14"/>
        <v>Roer</v>
      </c>
      <c r="G78" s="74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0</v>
      </c>
      <c r="H7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0</v>
      </c>
      <c r="I7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4">
        <f t="shared" si="15"/>
        <v>0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t="str">
        <f t="shared" si="11"/>
        <v>JB1-10</v>
      </c>
      <c r="F79" t="str">
        <f t="shared" si="14"/>
        <v>Majs</v>
      </c>
      <c r="G79" s="74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0</v>
      </c>
      <c r="H7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0</v>
      </c>
      <c r="I7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4">
        <f t="shared" si="15"/>
        <v>0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t="str">
        <f t="shared" si="11"/>
        <v>JB1-10</v>
      </c>
      <c r="F80" t="str">
        <f t="shared" si="14"/>
        <v>Frugt</v>
      </c>
      <c r="G80" s="74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39958.061479525117</v>
      </c>
      <c r="H8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193369.0469178659</v>
      </c>
      <c r="I8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4">
        <f t="shared" si="15"/>
        <v>193369.0469178659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t="str">
        <f t="shared" si="11"/>
        <v>JB1-10</v>
      </c>
      <c r="F81" t="str">
        <f t="shared" si="14"/>
        <v>Øvrige</v>
      </c>
      <c r="G81" s="74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0</v>
      </c>
      <c r="H8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0</v>
      </c>
      <c r="I8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4">
        <f t="shared" si="15"/>
        <v>0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t="str">
        <f t="shared" si="11"/>
        <v>JB1-10</v>
      </c>
      <c r="F82" t="str">
        <f t="shared" si="14"/>
        <v>Frø</v>
      </c>
      <c r="G82" s="74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0</v>
      </c>
      <c r="H82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0</v>
      </c>
      <c r="I82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0</v>
      </c>
      <c r="J82" s="74">
        <f t="shared" si="15"/>
        <v>0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t="str">
        <f t="shared" si="11"/>
        <v>JB1-10</v>
      </c>
      <c r="F83" t="str">
        <f t="shared" si="14"/>
        <v>Juletræer</v>
      </c>
      <c r="G83" s="74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2173.2535704221305</v>
      </c>
      <c r="H83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61937.726757030716</v>
      </c>
      <c r="I83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4">
        <f t="shared" si="15"/>
        <v>61937.726757030716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t="str">
        <f t="shared" si="11"/>
        <v>JB1-10</v>
      </c>
      <c r="F84" t="str">
        <f t="shared" ref="F84" si="16">IF(I84&lt;&gt;0,"Halm",IF(B84&lt;&gt;"Permanent græs",B84,"Græs"))</f>
        <v>Pil &amp; poppel</v>
      </c>
      <c r="G84" s="74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835.7113795677368</v>
      </c>
      <c r="H84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11618.426496429513</v>
      </c>
      <c r="I84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4">
        <f t="shared" ref="J84" si="17">IF(I84&lt;&gt;0,I84,H84)</f>
        <v>11618.426496429513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t="str">
        <f t="shared" si="11"/>
        <v>JB1-10</v>
      </c>
      <c r="F85" t="str">
        <f t="shared" si="14"/>
        <v>Græs</v>
      </c>
      <c r="G85" s="74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0</v>
      </c>
      <c r="H85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0</v>
      </c>
      <c r="I85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4">
        <f t="shared" si="15"/>
        <v>0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t="str">
        <f t="shared" ref="E86:E117" si="18">Organ6</f>
        <v>OC6</v>
      </c>
      <c r="F86" t="str">
        <f t="shared" si="14"/>
        <v>Halm</v>
      </c>
      <c r="G86" s="74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4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t="str">
        <f t="shared" si="18"/>
        <v>OC6</v>
      </c>
      <c r="F87" t="str">
        <f t="shared" si="14"/>
        <v>Halm</v>
      </c>
      <c r="G87" s="74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4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t="str">
        <f t="shared" si="18"/>
        <v>OC6</v>
      </c>
      <c r="F88" t="str">
        <f t="shared" si="14"/>
        <v>Halm</v>
      </c>
      <c r="G88" s="74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4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t="str">
        <f t="shared" si="18"/>
        <v>OC6</v>
      </c>
      <c r="F89" t="str">
        <f t="shared" si="14"/>
        <v>Græs</v>
      </c>
      <c r="G89" s="74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4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t="str">
        <f t="shared" si="18"/>
        <v>OC6</v>
      </c>
      <c r="F90" t="str">
        <f t="shared" si="14"/>
        <v>Grøntsager</v>
      </c>
      <c r="G90" s="74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4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t="str">
        <f t="shared" si="18"/>
        <v>OC6</v>
      </c>
      <c r="F91" t="str">
        <f t="shared" si="14"/>
        <v>Kartofler</v>
      </c>
      <c r="G91" s="74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4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t="str">
        <f t="shared" si="18"/>
        <v>OC6</v>
      </c>
      <c r="F92" t="str">
        <f t="shared" si="14"/>
        <v>Roer</v>
      </c>
      <c r="G92" s="74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4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t="str">
        <f t="shared" si="18"/>
        <v>OC6</v>
      </c>
      <c r="F93" t="str">
        <f t="shared" si="14"/>
        <v>Majs</v>
      </c>
      <c r="G93" s="74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4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t="str">
        <f t="shared" si="18"/>
        <v>OC6</v>
      </c>
      <c r="F94" t="str">
        <f t="shared" si="14"/>
        <v>Frugt</v>
      </c>
      <c r="G94" s="74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4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t="str">
        <f t="shared" si="18"/>
        <v>OC6</v>
      </c>
      <c r="F95" t="str">
        <f t="shared" si="14"/>
        <v>Øvrige</v>
      </c>
      <c r="G95" s="74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4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t="str">
        <f t="shared" si="18"/>
        <v>OC6</v>
      </c>
      <c r="F96" t="str">
        <f t="shared" si="14"/>
        <v>Halm</v>
      </c>
      <c r="G96" s="74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4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t="str">
        <f t="shared" si="18"/>
        <v>OC6</v>
      </c>
      <c r="F97" t="str">
        <f t="shared" si="14"/>
        <v>Juletræer</v>
      </c>
      <c r="G97" s="74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4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t="str">
        <f t="shared" si="18"/>
        <v>OC6</v>
      </c>
      <c r="F98" t="str">
        <f t="shared" ref="F98" si="19">IF(I98&lt;&gt;0,"Halm",IF(B98&lt;&gt;"Permanent græs",B98,"Græs"))</f>
        <v>Pil &amp; poppel</v>
      </c>
      <c r="G98" s="74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4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t="str">
        <f t="shared" si="18"/>
        <v>OC6</v>
      </c>
      <c r="F99" t="str">
        <f t="shared" si="14"/>
        <v>Græs</v>
      </c>
      <c r="G99" s="74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4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t="str">
        <f t="shared" si="18"/>
        <v>OC6</v>
      </c>
      <c r="F100" t="str">
        <f t="shared" si="14"/>
        <v>Halm</v>
      </c>
      <c r="G100" s="74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16851.178700525419</v>
      </c>
      <c r="H10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141752.11522881981</v>
      </c>
      <c r="I10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48629.640324347674</v>
      </c>
      <c r="J100" s="74">
        <f t="shared" si="15"/>
        <v>48629.640324347674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t="str">
        <f t="shared" si="18"/>
        <v>OC6</v>
      </c>
      <c r="F101" t="str">
        <f t="shared" si="14"/>
        <v>Halm</v>
      </c>
      <c r="G101" s="74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1444.5538636691219</v>
      </c>
      <c r="H10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6691.1734965153728</v>
      </c>
      <c r="I10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2087.8826232000652</v>
      </c>
      <c r="J101" s="74">
        <f t="shared" si="15"/>
        <v>2087.8826232000652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t="str">
        <f t="shared" si="18"/>
        <v>OC6</v>
      </c>
      <c r="F102" t="str">
        <f t="shared" si="14"/>
        <v>Halm</v>
      </c>
      <c r="G102" s="74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1546.8037177185506</v>
      </c>
      <c r="H102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8167.1236295539466</v>
      </c>
      <c r="I102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4584.8006706344586</v>
      </c>
      <c r="J102" s="74">
        <f t="shared" si="15"/>
        <v>4584.8006706344586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t="str">
        <f t="shared" si="18"/>
        <v>OC6</v>
      </c>
      <c r="F103" t="str">
        <f t="shared" si="14"/>
        <v>Græs</v>
      </c>
      <c r="G103" s="74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14274.450695696209</v>
      </c>
      <c r="H103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849957.892224535</v>
      </c>
      <c r="I103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4">
        <f t="shared" si="15"/>
        <v>849957.892224535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t="str">
        <f t="shared" si="18"/>
        <v>OC6</v>
      </c>
      <c r="F104" t="str">
        <f t="shared" si="14"/>
        <v>Grøntsager</v>
      </c>
      <c r="G104" s="74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66.762142822909354</v>
      </c>
      <c r="H104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1662.377356290443</v>
      </c>
      <c r="I104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4">
        <f t="shared" si="15"/>
        <v>1662.377356290443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t="str">
        <f t="shared" si="18"/>
        <v>OC6</v>
      </c>
      <c r="F105" t="str">
        <f t="shared" si="14"/>
        <v>Kartofler</v>
      </c>
      <c r="G105" s="74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1054.0011940040383</v>
      </c>
      <c r="H105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53717.254503304226</v>
      </c>
      <c r="I105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4">
        <f t="shared" si="15"/>
        <v>53717.254503304226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t="str">
        <f t="shared" si="18"/>
        <v>OC6</v>
      </c>
      <c r="F106" t="str">
        <f t="shared" si="14"/>
        <v>Roer</v>
      </c>
      <c r="G106" s="74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27.652057994053425</v>
      </c>
      <c r="H106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2696.199469605257</v>
      </c>
      <c r="I106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4">
        <f t="shared" si="15"/>
        <v>2696.199469605257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t="str">
        <f t="shared" si="18"/>
        <v>OC6</v>
      </c>
      <c r="F107" t="str">
        <f t="shared" si="14"/>
        <v>Majs</v>
      </c>
      <c r="G107" s="74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3569.4651454094223</v>
      </c>
      <c r="H107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190652.27234660808</v>
      </c>
      <c r="I107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4">
        <f t="shared" si="15"/>
        <v>190652.27234660808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t="str">
        <f t="shared" si="18"/>
        <v>OC6</v>
      </c>
      <c r="F108" t="str">
        <f t="shared" si="14"/>
        <v>Frugt</v>
      </c>
      <c r="G108" s="74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60.808907260539151</v>
      </c>
      <c r="H10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619.52114717037284</v>
      </c>
      <c r="I10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4">
        <f t="shared" si="15"/>
        <v>619.52114717037284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t="str">
        <f t="shared" si="18"/>
        <v>OC6</v>
      </c>
      <c r="F109" t="str">
        <f t="shared" si="14"/>
        <v>Øvrige</v>
      </c>
      <c r="G109" s="74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1075.4603376621412</v>
      </c>
      <c r="H10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38453.226559531351</v>
      </c>
      <c r="I10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4">
        <f t="shared" si="15"/>
        <v>38453.226559531351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t="str">
        <f t="shared" si="18"/>
        <v>OC6</v>
      </c>
      <c r="F110" t="str">
        <f t="shared" si="14"/>
        <v>Halm</v>
      </c>
      <c r="G110" s="74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2654.553265707737</v>
      </c>
      <c r="H11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45516.650390828472</v>
      </c>
      <c r="I11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7947.7006560371638</v>
      </c>
      <c r="J110" s="74">
        <f t="shared" si="15"/>
        <v>7947.7006560371638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t="str">
        <f t="shared" si="18"/>
        <v>OC6</v>
      </c>
      <c r="F111" t="str">
        <f t="shared" si="14"/>
        <v>Juletræer</v>
      </c>
      <c r="G111" s="74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304.98975247773001</v>
      </c>
      <c r="H11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18299.385148663798</v>
      </c>
      <c r="I11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4">
        <f t="shared" si="15"/>
        <v>18299.385148663798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4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500.90563602022252</v>
      </c>
      <c r="H112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14660.65276156749</v>
      </c>
      <c r="I112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4">
        <f t="shared" ref="J112" si="22">IF(I112&lt;&gt;0,I112,H112)</f>
        <v>14660.65276156749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t="str">
        <f t="shared" si="18"/>
        <v>OC6</v>
      </c>
      <c r="F113" t="str">
        <f t="shared" si="14"/>
        <v>Græs</v>
      </c>
      <c r="G113" s="74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14158.130367806998</v>
      </c>
      <c r="H113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234288.74132647022</v>
      </c>
      <c r="I113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4">
        <f t="shared" si="15"/>
        <v>234288.74132647022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t="str">
        <f t="shared" si="18"/>
        <v>OC6</v>
      </c>
      <c r="F114" t="str">
        <f t="shared" si="14"/>
        <v>Halm</v>
      </c>
      <c r="G114" s="74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1830.4013535168494</v>
      </c>
      <c r="H114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15397.336185783737</v>
      </c>
      <c r="I114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5745.900931129846</v>
      </c>
      <c r="J114" s="74">
        <f t="shared" si="15"/>
        <v>5745.900931129846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t="str">
        <f t="shared" si="18"/>
        <v>OC6</v>
      </c>
      <c r="F115" t="str">
        <f t="shared" si="14"/>
        <v>Halm</v>
      </c>
      <c r="G115" s="74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156.90969719557435</v>
      </c>
      <c r="H115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726.80571740990047</v>
      </c>
      <c r="I115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246.69659550676531</v>
      </c>
      <c r="J115" s="74">
        <f t="shared" si="15"/>
        <v>246.69659550676531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t="str">
        <f t="shared" si="18"/>
        <v>OC6</v>
      </c>
      <c r="F116" t="str">
        <f t="shared" si="14"/>
        <v>Halm</v>
      </c>
      <c r="G116" s="74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168.0162360659466</v>
      </c>
      <c r="H116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887.12572642819816</v>
      </c>
      <c r="I116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541.72332484337903</v>
      </c>
      <c r="J116" s="74">
        <f t="shared" si="15"/>
        <v>541.72332484337903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t="str">
        <f t="shared" si="18"/>
        <v>OC6</v>
      </c>
      <c r="F117" t="str">
        <f t="shared" si="14"/>
        <v>Græs</v>
      </c>
      <c r="G117" s="74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1550.5131325500222</v>
      </c>
      <c r="H117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92323.753964558535</v>
      </c>
      <c r="I117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4">
        <f t="shared" si="15"/>
        <v>92323.753964558535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t="str">
        <f t="shared" ref="E118:E149" si="23">Organ6</f>
        <v>OC6</v>
      </c>
      <c r="F118" t="str">
        <f t="shared" si="14"/>
        <v>Grøntsager</v>
      </c>
      <c r="G118" s="74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7.2518082419319594</v>
      </c>
      <c r="H11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180.57002522410579</v>
      </c>
      <c r="I11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4">
        <f t="shared" si="15"/>
        <v>180.57002522410579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t="str">
        <f t="shared" si="23"/>
        <v>OC6</v>
      </c>
      <c r="F119" t="str">
        <f t="shared" si="14"/>
        <v>Kartofler</v>
      </c>
      <c r="G119" s="74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114.48725613794682</v>
      </c>
      <c r="H11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5834.8520953606294</v>
      </c>
      <c r="I11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4">
        <f t="shared" si="15"/>
        <v>5834.8520953606294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t="str">
        <f t="shared" si="23"/>
        <v>OC6</v>
      </c>
      <c r="F120" t="str">
        <f t="shared" si="14"/>
        <v>Roer</v>
      </c>
      <c r="G120" s="74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3.0036097343305523</v>
      </c>
      <c r="H12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292.86539809603926</v>
      </c>
      <c r="I12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4">
        <f t="shared" si="15"/>
        <v>292.86539809603926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t="str">
        <f t="shared" si="23"/>
        <v>OC6</v>
      </c>
      <c r="F121" t="str">
        <f t="shared" si="14"/>
        <v>Majs</v>
      </c>
      <c r="G121" s="74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387.72087992188403</v>
      </c>
      <c r="H12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20708.947638387672</v>
      </c>
      <c r="I12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4">
        <f t="shared" si="15"/>
        <v>20708.947638387672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t="str">
        <f t="shared" si="23"/>
        <v>OC6</v>
      </c>
      <c r="F122" t="str">
        <f t="shared" si="14"/>
        <v>Frugt</v>
      </c>
      <c r="G122" s="74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6.6051584956547265</v>
      </c>
      <c r="H122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67.293354753730355</v>
      </c>
      <c r="I122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4">
        <f t="shared" si="15"/>
        <v>67.293354753730355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t="str">
        <f t="shared" si="23"/>
        <v>OC6</v>
      </c>
      <c r="F123" t="str">
        <f t="shared" si="14"/>
        <v>Øvrige</v>
      </c>
      <c r="G123" s="74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116.81818184321391</v>
      </c>
      <c r="H123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4176.8495363153243</v>
      </c>
      <c r="I123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4">
        <f t="shared" si="15"/>
        <v>4176.8495363153243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t="str">
        <f t="shared" si="23"/>
        <v>OC6</v>
      </c>
      <c r="F124" t="str">
        <f t="shared" si="14"/>
        <v>Halm</v>
      </c>
      <c r="G124" s="74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288.34172237355216</v>
      </c>
      <c r="H124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4944.0896665779219</v>
      </c>
      <c r="I124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939.07132142618457</v>
      </c>
      <c r="J124" s="74">
        <f t="shared" si="15"/>
        <v>939.07132142618457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t="str">
        <f t="shared" si="23"/>
        <v>OC6</v>
      </c>
      <c r="F125" t="str">
        <f t="shared" si="14"/>
        <v>Juletræer</v>
      </c>
      <c r="G125" s="74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33.128463335719047</v>
      </c>
      <c r="H125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1987.7078001431428</v>
      </c>
      <c r="I125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4">
        <f t="shared" si="15"/>
        <v>1987.7078001431428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4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54.409152644440603</v>
      </c>
      <c r="H126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1592.4630042275298</v>
      </c>
      <c r="I126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4">
        <f t="shared" ref="J126" si="25">IF(I126&lt;&gt;0,I126,H126)</f>
        <v>1592.4630042275298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t="str">
        <f t="shared" si="23"/>
        <v>OC6</v>
      </c>
      <c r="F127" t="str">
        <f t="shared" si="14"/>
        <v>Græs</v>
      </c>
      <c r="G127" s="74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1537.8782368318195</v>
      </c>
      <c r="H127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25448.809063092951</v>
      </c>
      <c r="I127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4">
        <f t="shared" si="15"/>
        <v>25448.809063092951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t="str">
        <f t="shared" si="23"/>
        <v>OC6</v>
      </c>
      <c r="F128" t="str">
        <f t="shared" si="14"/>
        <v>Halm</v>
      </c>
      <c r="G128" s="74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4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t="str">
        <f t="shared" si="23"/>
        <v>OC6</v>
      </c>
      <c r="F129" t="str">
        <f t="shared" si="14"/>
        <v>Halm</v>
      </c>
      <c r="G129" s="74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4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t="str">
        <f t="shared" si="23"/>
        <v>OC6</v>
      </c>
      <c r="F130" t="str">
        <f t="shared" si="14"/>
        <v>Halm</v>
      </c>
      <c r="G130" s="74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4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t="str">
        <f t="shared" si="23"/>
        <v>OC6</v>
      </c>
      <c r="F131" t="str">
        <f t="shared" si="14"/>
        <v>Græs</v>
      </c>
      <c r="G131" s="74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4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t="str">
        <f t="shared" si="23"/>
        <v>OC6</v>
      </c>
      <c r="F132" t="str">
        <f t="shared" si="14"/>
        <v>Grøntsager</v>
      </c>
      <c r="G132" s="74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4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t="str">
        <f t="shared" si="23"/>
        <v>OC6</v>
      </c>
      <c r="F133" t="str">
        <f t="shared" si="14"/>
        <v>Kartofler</v>
      </c>
      <c r="G133" s="74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4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t="str">
        <f t="shared" si="23"/>
        <v>OC6</v>
      </c>
      <c r="F134" t="str">
        <f t="shared" si="14"/>
        <v>Roer</v>
      </c>
      <c r="G134" s="74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4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t="str">
        <f t="shared" si="23"/>
        <v>OC6</v>
      </c>
      <c r="F135" t="str">
        <f t="shared" si="14"/>
        <v>Majs</v>
      </c>
      <c r="G135" s="74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4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t="str">
        <f t="shared" si="23"/>
        <v>OC6</v>
      </c>
      <c r="F136" t="str">
        <f t="shared" si="14"/>
        <v>Frugt</v>
      </c>
      <c r="G136" s="74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4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t="str">
        <f t="shared" si="23"/>
        <v>OC6</v>
      </c>
      <c r="F137" t="str">
        <f t="shared" si="14"/>
        <v>Øvrige</v>
      </c>
      <c r="G137" s="74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4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t="str">
        <f t="shared" si="23"/>
        <v>OC6</v>
      </c>
      <c r="F138" t="str">
        <f t="shared" si="14"/>
        <v>Halm</v>
      </c>
      <c r="G138" s="74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4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t="str">
        <f t="shared" si="23"/>
        <v>OC6</v>
      </c>
      <c r="F139" t="str">
        <f t="shared" si="14"/>
        <v>Juletræer</v>
      </c>
      <c r="G139" s="74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4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4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4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t="str">
        <f t="shared" si="23"/>
        <v>OC6</v>
      </c>
      <c r="F141" t="str">
        <f t="shared" ref="F141:F208" si="28">IF(I141&lt;&gt;0,"Halm",IF(B141&lt;&gt;"Permanent græs",B141,"Græs"))</f>
        <v>Græs</v>
      </c>
      <c r="G141" s="74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4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t="str">
        <f t="shared" si="23"/>
        <v>OC6</v>
      </c>
      <c r="F142" t="str">
        <f t="shared" si="28"/>
        <v>Halm</v>
      </c>
      <c r="G142" s="74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2635.2769023667065</v>
      </c>
      <c r="H142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14852.526032814852</v>
      </c>
      <c r="I142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5095.3243111602642</v>
      </c>
      <c r="J142" s="74">
        <f t="shared" si="29"/>
        <v>5095.3243111602642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t="str">
        <f t="shared" si="23"/>
        <v>OC6</v>
      </c>
      <c r="F143" t="str">
        <f t="shared" si="28"/>
        <v>Halm</v>
      </c>
      <c r="G143" s="74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225.90701213281457</v>
      </c>
      <c r="H143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596.44872971354232</v>
      </c>
      <c r="I143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186.11308450560904</v>
      </c>
      <c r="J143" s="74">
        <f t="shared" si="29"/>
        <v>186.11308450560904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t="str">
        <f t="shared" si="23"/>
        <v>OC6</v>
      </c>
      <c r="F144" t="str">
        <f t="shared" si="28"/>
        <v>Halm</v>
      </c>
      <c r="G144" s="74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241.89738784691369</v>
      </c>
      <c r="H144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702.4700143074374</v>
      </c>
      <c r="I144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394.34752536900641</v>
      </c>
      <c r="J144" s="74">
        <f t="shared" si="29"/>
        <v>394.34752536900641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t="str">
        <f t="shared" si="23"/>
        <v>OC6</v>
      </c>
      <c r="F145" t="str">
        <f t="shared" si="28"/>
        <v>Græs</v>
      </c>
      <c r="G145" s="74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2232.3144796492898</v>
      </c>
      <c r="H145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103678.32803346511</v>
      </c>
      <c r="I145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4">
        <f t="shared" si="29"/>
        <v>103678.32803346511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t="str">
        <f t="shared" si="23"/>
        <v>OC6</v>
      </c>
      <c r="F146" t="str">
        <f t="shared" si="28"/>
        <v>Grøntsager</v>
      </c>
      <c r="G146" s="74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10.440618787588701</v>
      </c>
      <c r="H146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148.18370245224639</v>
      </c>
      <c r="I146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4">
        <f t="shared" si="29"/>
        <v>148.18370245224639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t="str">
        <f t="shared" si="23"/>
        <v>OC6</v>
      </c>
      <c r="F147" t="str">
        <f t="shared" si="28"/>
        <v>Kartofler</v>
      </c>
      <c r="G147" s="74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164.83030955805884</v>
      </c>
      <c r="H147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4788.3361907863282</v>
      </c>
      <c r="I147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4">
        <f t="shared" si="29"/>
        <v>4788.3361907863282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t="str">
        <f t="shared" si="23"/>
        <v>OC6</v>
      </c>
      <c r="F148" t="str">
        <f t="shared" si="28"/>
        <v>Roer</v>
      </c>
      <c r="G148" s="74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4.3243758213994576</v>
      </c>
      <c r="H14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240.3382231140578</v>
      </c>
      <c r="I14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4">
        <f t="shared" si="29"/>
        <v>240.3382231140578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t="str">
        <f t="shared" si="23"/>
        <v>OC6</v>
      </c>
      <c r="F149" t="str">
        <f t="shared" si="28"/>
        <v>Majs</v>
      </c>
      <c r="G149" s="74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558.21193393475642</v>
      </c>
      <c r="H14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24746.629126718264</v>
      </c>
      <c r="I14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4">
        <f t="shared" si="29"/>
        <v>24746.629126718264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t="str">
        <f t="shared" ref="E150:E169" si="30">Organ6</f>
        <v>OC6</v>
      </c>
      <c r="F150" t="str">
        <f t="shared" si="28"/>
        <v>Frugt</v>
      </c>
      <c r="G150" s="74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9.5096201642477052</v>
      </c>
      <c r="H15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55.223885833012702</v>
      </c>
      <c r="I15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4">
        <f t="shared" si="29"/>
        <v>55.223885833012702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t="str">
        <f t="shared" si="30"/>
        <v>OC6</v>
      </c>
      <c r="F151" t="str">
        <f t="shared" si="28"/>
        <v>Øvrige</v>
      </c>
      <c r="G151" s="74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168.18620451542492</v>
      </c>
      <c r="H15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3427.706387640942</v>
      </c>
      <c r="I15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4">
        <f t="shared" si="29"/>
        <v>3427.706387640942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t="str">
        <f t="shared" si="30"/>
        <v>OC6</v>
      </c>
      <c r="F152" t="str">
        <f t="shared" si="28"/>
        <v>Halm</v>
      </c>
      <c r="G152" s="74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415.13315071565842</v>
      </c>
      <c r="H152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4057.3373744625455</v>
      </c>
      <c r="I152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708.45509579232339</v>
      </c>
      <c r="J152" s="74">
        <f t="shared" si="29"/>
        <v>708.45509579232339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t="str">
        <f t="shared" si="30"/>
        <v>OC6</v>
      </c>
      <c r="F153" t="str">
        <f t="shared" si="28"/>
        <v>Juletræer</v>
      </c>
      <c r="G153" s="74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47.695918751252741</v>
      </c>
      <c r="H153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1631.2004212928437</v>
      </c>
      <c r="I153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4">
        <f t="shared" si="29"/>
        <v>1631.2004212928437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4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78.334286065593687</v>
      </c>
      <c r="H154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1306.8451626552703</v>
      </c>
      <c r="I154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4">
        <f t="shared" ref="J154" si="32">IF(I154&lt;&gt;0,I154,H154)</f>
        <v>1306.8451626552703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t="str">
        <f t="shared" si="30"/>
        <v>OC6</v>
      </c>
      <c r="F155" t="str">
        <f t="shared" si="28"/>
        <v>Græs</v>
      </c>
      <c r="G155" s="74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2214.1236884405648</v>
      </c>
      <c r="H155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36639.318796314466</v>
      </c>
      <c r="I155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4">
        <f t="shared" si="29"/>
        <v>36639.318796314466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t="str">
        <f t="shared" si="30"/>
        <v>OC6</v>
      </c>
      <c r="F156" t="str">
        <f t="shared" si="28"/>
        <v>Halm</v>
      </c>
      <c r="G156" s="74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388.26695377630136</v>
      </c>
      <c r="H156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2188.2880821613853</v>
      </c>
      <c r="I156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816.61440506057488</v>
      </c>
      <c r="J156" s="74">
        <f t="shared" si="29"/>
        <v>816.61440506057488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t="str">
        <f t="shared" si="30"/>
        <v>OC6</v>
      </c>
      <c r="F157" t="str">
        <f t="shared" si="28"/>
        <v>Halm</v>
      </c>
      <c r="G157" s="74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33.283875162697591</v>
      </c>
      <c r="H157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87.877418559560681</v>
      </c>
      <c r="I157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29.827861093090707</v>
      </c>
      <c r="J157" s="74">
        <f t="shared" si="29"/>
        <v>29.827861093090707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t="str">
        <f t="shared" si="30"/>
        <v>OC6</v>
      </c>
      <c r="F158" t="str">
        <f t="shared" si="28"/>
        <v>Halm</v>
      </c>
      <c r="G158" s="74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35.63980765035231</v>
      </c>
      <c r="H15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103.49800141662314</v>
      </c>
      <c r="I15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63.201054565060886</v>
      </c>
      <c r="J158" s="74">
        <f t="shared" si="29"/>
        <v>63.201054565060886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t="str">
        <f t="shared" si="30"/>
        <v>OC6</v>
      </c>
      <c r="F159" t="str">
        <f t="shared" si="28"/>
        <v>Græs</v>
      </c>
      <c r="G159" s="74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328.89672508636835</v>
      </c>
      <c r="H15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15275.384746863321</v>
      </c>
      <c r="I15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4">
        <f t="shared" si="29"/>
        <v>15275.384746863321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t="str">
        <f t="shared" si="30"/>
        <v>OC6</v>
      </c>
      <c r="F160" t="str">
        <f t="shared" si="28"/>
        <v>Grøntsager</v>
      </c>
      <c r="G160" s="74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1.5382623543492036</v>
      </c>
      <c r="H16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21.832557595278246</v>
      </c>
      <c r="I16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4">
        <f t="shared" si="29"/>
        <v>21.832557595278246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t="str">
        <f t="shared" si="30"/>
        <v>OC6</v>
      </c>
      <c r="F161" t="str">
        <f t="shared" si="28"/>
        <v>Kartofler</v>
      </c>
      <c r="G161" s="74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24.285175544412962</v>
      </c>
      <c r="H16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705.48666243905791</v>
      </c>
      <c r="I16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4">
        <f t="shared" si="29"/>
        <v>705.48666243905791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t="str">
        <f t="shared" si="30"/>
        <v>OC6</v>
      </c>
      <c r="F162" t="str">
        <f t="shared" si="28"/>
        <v>Roer</v>
      </c>
      <c r="G162" s="74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0.63712933758526868</v>
      </c>
      <c r="H162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35.410089042521115</v>
      </c>
      <c r="I162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4">
        <f t="shared" si="29"/>
        <v>35.410089042521115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t="str">
        <f t="shared" si="30"/>
        <v>OC6</v>
      </c>
      <c r="F163" t="str">
        <f t="shared" si="28"/>
        <v>Majs</v>
      </c>
      <c r="G163" s="74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82.243823013732964</v>
      </c>
      <c r="H163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3646.0298720918895</v>
      </c>
      <c r="I163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4">
        <f t="shared" si="29"/>
        <v>3646.0298720918895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t="str">
        <f t="shared" si="30"/>
        <v>OC6</v>
      </c>
      <c r="F164" t="str">
        <f t="shared" si="28"/>
        <v>Frugt</v>
      </c>
      <c r="G164" s="74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1.4010942263510027</v>
      </c>
      <c r="H164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8.136378347496489</v>
      </c>
      <c r="I164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4">
        <f t="shared" si="29"/>
        <v>8.136378347496489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t="str">
        <f t="shared" si="30"/>
        <v>OC6</v>
      </c>
      <c r="F165" t="str">
        <f t="shared" si="28"/>
        <v>Øvrige</v>
      </c>
      <c r="G165" s="74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24.77961433037871</v>
      </c>
      <c r="H165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505.01908029994365</v>
      </c>
      <c r="I165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4">
        <f t="shared" si="29"/>
        <v>505.01908029994365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t="str">
        <f t="shared" si="30"/>
        <v>OC6</v>
      </c>
      <c r="F166" t="str">
        <f t="shared" si="28"/>
        <v>Halm</v>
      </c>
      <c r="G166" s="74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61.163395654995902</v>
      </c>
      <c r="H166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597.78538695896668</v>
      </c>
      <c r="I166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113.54225977243867</v>
      </c>
      <c r="J166" s="74">
        <f t="shared" si="29"/>
        <v>113.54225977243867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t="str">
        <f t="shared" si="30"/>
        <v>OC6</v>
      </c>
      <c r="F167" t="str">
        <f t="shared" si="28"/>
        <v>Juletræer</v>
      </c>
      <c r="G167" s="74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7.0272497984858573</v>
      </c>
      <c r="H167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240.33194310821634</v>
      </c>
      <c r="I167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4">
        <f t="shared" si="29"/>
        <v>240.33194310821634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4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11.541335409426795</v>
      </c>
      <c r="H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192.54325414751042</v>
      </c>
      <c r="I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4">
        <f t="shared" ref="J168" si="34">IF(I168&lt;&gt;0,I168,H168)</f>
        <v>192.54325414751042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t="str">
        <f t="shared" si="30"/>
        <v>OC6</v>
      </c>
      <c r="F169" t="str">
        <f t="shared" si="28"/>
        <v>Græs</v>
      </c>
      <c r="G169" s="74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326.21659569159806</v>
      </c>
      <c r="H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5398.2322255045656</v>
      </c>
      <c r="I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4">
        <f t="shared" si="29"/>
        <v>5398.2322255045656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t="str">
        <f t="shared" ref="E170:E201" si="35">Organ12</f>
        <v>OC12</v>
      </c>
      <c r="F170" t="str">
        <f t="shared" si="28"/>
        <v>Halm</v>
      </c>
      <c r="G170" s="74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4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t="str">
        <f t="shared" si="35"/>
        <v>OC12</v>
      </c>
      <c r="F171" t="str">
        <f t="shared" si="28"/>
        <v>Halm</v>
      </c>
      <c r="G171" s="74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4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t="str">
        <f t="shared" si="35"/>
        <v>OC12</v>
      </c>
      <c r="F172" t="str">
        <f t="shared" si="28"/>
        <v>Halm</v>
      </c>
      <c r="G172" s="74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4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t="str">
        <f t="shared" si="35"/>
        <v>OC12</v>
      </c>
      <c r="F173" t="str">
        <f t="shared" si="28"/>
        <v>Græs</v>
      </c>
      <c r="G173" s="74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4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t="str">
        <f t="shared" si="35"/>
        <v>OC12</v>
      </c>
      <c r="F174" t="str">
        <f t="shared" si="28"/>
        <v>Grøntsager</v>
      </c>
      <c r="G174" s="74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4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t="str">
        <f t="shared" si="35"/>
        <v>OC12</v>
      </c>
      <c r="F175" t="str">
        <f t="shared" si="28"/>
        <v>Kartofler</v>
      </c>
      <c r="G175" s="74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4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t="str">
        <f t="shared" si="35"/>
        <v>OC12</v>
      </c>
      <c r="F176" t="str">
        <f t="shared" si="28"/>
        <v>Roer</v>
      </c>
      <c r="G176" s="74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4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t="str">
        <f t="shared" si="35"/>
        <v>OC12</v>
      </c>
      <c r="F177" t="str">
        <f t="shared" si="28"/>
        <v>Majs</v>
      </c>
      <c r="G177" s="74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4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t="str">
        <f t="shared" si="35"/>
        <v>OC12</v>
      </c>
      <c r="F178" t="str">
        <f t="shared" si="28"/>
        <v>Frugt</v>
      </c>
      <c r="G178" s="74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4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t="str">
        <f t="shared" si="35"/>
        <v>OC12</v>
      </c>
      <c r="F179" t="str">
        <f t="shared" si="28"/>
        <v>Øvrige</v>
      </c>
      <c r="G179" s="74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4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t="str">
        <f t="shared" si="35"/>
        <v>OC12</v>
      </c>
      <c r="F180" t="str">
        <f t="shared" si="28"/>
        <v>Halm</v>
      </c>
      <c r="G180" s="74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4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t="str">
        <f t="shared" si="35"/>
        <v>OC12</v>
      </c>
      <c r="F181" t="str">
        <f t="shared" si="28"/>
        <v>Juletræer</v>
      </c>
      <c r="G181" s="74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4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4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4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t="str">
        <f t="shared" si="35"/>
        <v>OC12</v>
      </c>
      <c r="F183" t="str">
        <f t="shared" si="28"/>
        <v>Græs</v>
      </c>
      <c r="G183" s="74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4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t="str">
        <f t="shared" si="35"/>
        <v>OC12</v>
      </c>
      <c r="F184" t="str">
        <f t="shared" si="28"/>
        <v>Halm</v>
      </c>
      <c r="G184" s="74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8266.7568307088786</v>
      </c>
      <c r="H184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81129.951536576918</v>
      </c>
      <c r="I184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27832.532561414399</v>
      </c>
      <c r="J184" s="74">
        <f t="shared" si="29"/>
        <v>27832.532561414399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t="str">
        <f t="shared" si="35"/>
        <v>OC12</v>
      </c>
      <c r="F185" t="str">
        <f t="shared" si="28"/>
        <v>Halm</v>
      </c>
      <c r="G185" s="74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475.99342925102297</v>
      </c>
      <c r="H185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2572.2684916725284</v>
      </c>
      <c r="I185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802.63868344842786</v>
      </c>
      <c r="J185" s="74">
        <f t="shared" si="29"/>
        <v>802.63868344842786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t="str">
        <f t="shared" si="35"/>
        <v>OC12</v>
      </c>
      <c r="F186" t="str">
        <f t="shared" si="28"/>
        <v>Halm</v>
      </c>
      <c r="G186" s="74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616.38993680991337</v>
      </c>
      <c r="H186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3796.9620107490664</v>
      </c>
      <c r="I186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2131.5110145096023</v>
      </c>
      <c r="J186" s="74">
        <f t="shared" si="29"/>
        <v>2131.5110145096023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t="str">
        <f t="shared" si="35"/>
        <v>OC12</v>
      </c>
      <c r="F187" t="str">
        <f t="shared" si="28"/>
        <v>Græs</v>
      </c>
      <c r="G187" s="74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14215.89771790568</v>
      </c>
      <c r="H187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987549.98266747175</v>
      </c>
      <c r="I187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4">
        <f t="shared" si="29"/>
        <v>987549.98266747175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t="str">
        <f t="shared" si="35"/>
        <v>OC12</v>
      </c>
      <c r="F188" t="str">
        <f t="shared" si="28"/>
        <v>Grøntsager</v>
      </c>
      <c r="G188" s="74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16.523315723463227</v>
      </c>
      <c r="H18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480.00232176660677</v>
      </c>
      <c r="I18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4">
        <f t="shared" si="29"/>
        <v>480.00232176660677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t="str">
        <f t="shared" si="35"/>
        <v>OC12</v>
      </c>
      <c r="F189" t="str">
        <f t="shared" si="28"/>
        <v>Kartofler</v>
      </c>
      <c r="G189" s="74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874.58394661057821</v>
      </c>
      <c r="H18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52002.113625504528</v>
      </c>
      <c r="I18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4">
        <f t="shared" si="29"/>
        <v>52002.113625504528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t="str">
        <f t="shared" si="35"/>
        <v>OC12</v>
      </c>
      <c r="F190" t="str">
        <f t="shared" si="28"/>
        <v>Roer</v>
      </c>
      <c r="G190" s="74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9.4578056299713129</v>
      </c>
      <c r="H19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1075.8747968565574</v>
      </c>
      <c r="I19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4">
        <f t="shared" si="29"/>
        <v>1075.8747968565574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t="str">
        <f t="shared" si="35"/>
        <v>OC12</v>
      </c>
      <c r="F191" t="str">
        <f t="shared" si="28"/>
        <v>Majs</v>
      </c>
      <c r="G191" s="74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1176.1707180927949</v>
      </c>
      <c r="H19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73291.902127234425</v>
      </c>
      <c r="I19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4">
        <f t="shared" si="29"/>
        <v>73291.902127234425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t="str">
        <f t="shared" si="35"/>
        <v>OC12</v>
      </c>
      <c r="F192" t="str">
        <f t="shared" si="28"/>
        <v>Frugt</v>
      </c>
      <c r="G192" s="74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33.705478633164141</v>
      </c>
      <c r="H192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400.62331903378896</v>
      </c>
      <c r="I192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4">
        <f t="shared" si="29"/>
        <v>400.62331903378896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t="str">
        <f t="shared" si="35"/>
        <v>OC12</v>
      </c>
      <c r="F193" t="str">
        <f t="shared" si="28"/>
        <v>Øvrige</v>
      </c>
      <c r="G193" s="74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596.11177153005485</v>
      </c>
      <c r="H193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24866.397736704123</v>
      </c>
      <c r="I193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4">
        <f t="shared" si="29"/>
        <v>24866.397736704123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t="str">
        <f t="shared" si="35"/>
        <v>OC12</v>
      </c>
      <c r="F194" t="str">
        <f t="shared" si="28"/>
        <v>Halm</v>
      </c>
      <c r="G194" s="74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1896.6283551983877</v>
      </c>
      <c r="H194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37940.921871912171</v>
      </c>
      <c r="I194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6624.896319541378</v>
      </c>
      <c r="J194" s="74">
        <f t="shared" si="29"/>
        <v>6624.896319541378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t="str">
        <f t="shared" si="35"/>
        <v>OC12</v>
      </c>
      <c r="F195" t="str">
        <f t="shared" si="28"/>
        <v>Juletræer</v>
      </c>
      <c r="G195" s="74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169.05131252281291</v>
      </c>
      <c r="H195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11833.591876596904</v>
      </c>
      <c r="I195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4">
        <f t="shared" si="29"/>
        <v>11833.591876596904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4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399.04965430443821</v>
      </c>
      <c r="H196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13626.085756736917</v>
      </c>
      <c r="I196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4">
        <f t="shared" ref="J196" si="39">IF(I196&lt;&gt;0,I196,H196)</f>
        <v>13626.085756736917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t="str">
        <f t="shared" si="35"/>
        <v>OC12</v>
      </c>
      <c r="F197" t="str">
        <f t="shared" si="28"/>
        <v>Græs</v>
      </c>
      <c r="G197" s="74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14758.95687153021</v>
      </c>
      <c r="H197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284936.42136176227</v>
      </c>
      <c r="I197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4">
        <f t="shared" si="29"/>
        <v>284936.42136176227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t="str">
        <f t="shared" si="35"/>
        <v>OC12</v>
      </c>
      <c r="F198" t="str">
        <f t="shared" si="28"/>
        <v>Korn</v>
      </c>
      <c r="G198" s="74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4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t="str">
        <f t="shared" si="35"/>
        <v>OC12</v>
      </c>
      <c r="F199" t="str">
        <f t="shared" si="28"/>
        <v>Bælgsæd</v>
      </c>
      <c r="G199" s="74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4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t="str">
        <f t="shared" si="35"/>
        <v>OC12</v>
      </c>
      <c r="F200" t="str">
        <f t="shared" si="28"/>
        <v>Raps</v>
      </c>
      <c r="G200" s="74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4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t="str">
        <f t="shared" si="35"/>
        <v>OC12</v>
      </c>
      <c r="F201" t="str">
        <f t="shared" si="28"/>
        <v>Græs</v>
      </c>
      <c r="G201" s="74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4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t="str">
        <f t="shared" ref="E202:E233" si="40">Organ12</f>
        <v>OC12</v>
      </c>
      <c r="F202" t="str">
        <f t="shared" si="28"/>
        <v>Grøntsager</v>
      </c>
      <c r="G202" s="74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4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t="str">
        <f t="shared" si="40"/>
        <v>OC12</v>
      </c>
      <c r="F203" t="str">
        <f t="shared" si="28"/>
        <v>Kartofler</v>
      </c>
      <c r="G203" s="74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4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t="str">
        <f t="shared" si="40"/>
        <v>OC12</v>
      </c>
      <c r="F204" t="str">
        <f t="shared" si="28"/>
        <v>Roer</v>
      </c>
      <c r="G204" s="74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4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t="str">
        <f t="shared" si="40"/>
        <v>OC12</v>
      </c>
      <c r="F205" t="str">
        <f t="shared" si="28"/>
        <v>Majs</v>
      </c>
      <c r="G205" s="74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4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t="str">
        <f t="shared" si="40"/>
        <v>OC12</v>
      </c>
      <c r="F206" t="str">
        <f t="shared" si="28"/>
        <v>Frugt</v>
      </c>
      <c r="G206" s="74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4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t="str">
        <f t="shared" si="40"/>
        <v>OC12</v>
      </c>
      <c r="F207" t="str">
        <f t="shared" si="28"/>
        <v>Øvrige</v>
      </c>
      <c r="G207" s="74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4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t="str">
        <f t="shared" si="40"/>
        <v>OC12</v>
      </c>
      <c r="F208" t="str">
        <f t="shared" si="28"/>
        <v>Frø</v>
      </c>
      <c r="G208" s="74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4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4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4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4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4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t="str">
        <f t="shared" si="40"/>
        <v>OC12</v>
      </c>
      <c r="F211" t="str">
        <f t="shared" si="41"/>
        <v>Græs</v>
      </c>
      <c r="G211" s="74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4">
        <f t="shared" si="42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t="str">
        <f t="shared" si="40"/>
        <v>OC12</v>
      </c>
      <c r="F212" t="str">
        <f t="shared" si="41"/>
        <v>Halm</v>
      </c>
      <c r="G212" s="74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4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t="str">
        <f t="shared" si="40"/>
        <v>OC12</v>
      </c>
      <c r="F213" t="str">
        <f t="shared" si="41"/>
        <v>Halm</v>
      </c>
      <c r="G213" s="74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4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t="str">
        <f t="shared" si="40"/>
        <v>OC12</v>
      </c>
      <c r="F214" t="str">
        <f t="shared" si="41"/>
        <v>Halm</v>
      </c>
      <c r="G214" s="74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4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t="str">
        <f t="shared" si="40"/>
        <v>OC12</v>
      </c>
      <c r="F215" t="str">
        <f t="shared" si="41"/>
        <v>Græs</v>
      </c>
      <c r="G215" s="74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4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t="str">
        <f t="shared" si="40"/>
        <v>OC12</v>
      </c>
      <c r="F216" t="str">
        <f t="shared" si="41"/>
        <v>Grøntsager</v>
      </c>
      <c r="G216" s="74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4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t="str">
        <f t="shared" si="40"/>
        <v>OC12</v>
      </c>
      <c r="F217" t="str">
        <f t="shared" si="41"/>
        <v>Kartofler</v>
      </c>
      <c r="G217" s="74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4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t="str">
        <f t="shared" si="40"/>
        <v>OC12</v>
      </c>
      <c r="F218" t="str">
        <f t="shared" si="41"/>
        <v>Roer</v>
      </c>
      <c r="G218" s="74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4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t="str">
        <f t="shared" si="40"/>
        <v>OC12</v>
      </c>
      <c r="F219" t="str">
        <f t="shared" si="41"/>
        <v>Majs</v>
      </c>
      <c r="G219" s="74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4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t="str">
        <f t="shared" si="40"/>
        <v>OC12</v>
      </c>
      <c r="F220" t="str">
        <f t="shared" si="41"/>
        <v>Frugt</v>
      </c>
      <c r="G220" s="74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4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t="str">
        <f t="shared" si="40"/>
        <v>OC12</v>
      </c>
      <c r="F221" t="str">
        <f t="shared" si="41"/>
        <v>Øvrige</v>
      </c>
      <c r="G221" s="74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4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t="str">
        <f t="shared" si="40"/>
        <v>OC12</v>
      </c>
      <c r="F222" t="str">
        <f t="shared" si="41"/>
        <v>Halm</v>
      </c>
      <c r="G222" s="74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4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t="str">
        <f t="shared" si="40"/>
        <v>OC12</v>
      </c>
      <c r="F223" t="str">
        <f t="shared" si="41"/>
        <v>Juletræer</v>
      </c>
      <c r="G223" s="74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4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4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4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t="str">
        <f t="shared" si="40"/>
        <v>OC12</v>
      </c>
      <c r="F225" t="str">
        <f t="shared" si="41"/>
        <v>Græs</v>
      </c>
      <c r="G225" s="74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4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t="str">
        <f t="shared" si="40"/>
        <v>OC12</v>
      </c>
      <c r="F226" t="str">
        <f t="shared" si="41"/>
        <v>Halm</v>
      </c>
      <c r="G226" s="74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1292.799377456608</v>
      </c>
      <c r="H226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8500.6471705406311</v>
      </c>
      <c r="I226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2916.2415937164728</v>
      </c>
      <c r="J226" s="74">
        <f t="shared" si="42"/>
        <v>2916.2415937164728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t="str">
        <f t="shared" si="40"/>
        <v>OC12</v>
      </c>
      <c r="F227" t="str">
        <f t="shared" si="41"/>
        <v>Halm</v>
      </c>
      <c r="G227" s="74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74.438382743186438</v>
      </c>
      <c r="H227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229.29106159618232</v>
      </c>
      <c r="I227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71.546915262484092</v>
      </c>
      <c r="J227" s="74">
        <f t="shared" si="42"/>
        <v>71.546915262484092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t="str">
        <f t="shared" si="40"/>
        <v>OC12</v>
      </c>
      <c r="F228" t="str">
        <f t="shared" si="41"/>
        <v>Halm</v>
      </c>
      <c r="G228" s="74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96.394334912357877</v>
      </c>
      <c r="H22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326.58400668306854</v>
      </c>
      <c r="I22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183.33536270232733</v>
      </c>
      <c r="J228" s="74">
        <f t="shared" si="42"/>
        <v>183.33536270232733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t="str">
        <f t="shared" si="40"/>
        <v>OC12</v>
      </c>
      <c r="F229" t="str">
        <f t="shared" si="41"/>
        <v>Græs</v>
      </c>
      <c r="G229" s="74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2223.1576537275891</v>
      </c>
      <c r="H22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120461.88639353556</v>
      </c>
      <c r="I22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4">
        <f t="shared" si="42"/>
        <v>120461.88639353556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t="str">
        <f t="shared" si="40"/>
        <v>OC12</v>
      </c>
      <c r="F230" t="str">
        <f t="shared" si="41"/>
        <v>Grøntsager</v>
      </c>
      <c r="G230" s="74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2.5840039471658796</v>
      </c>
      <c r="H23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42.78722935914621</v>
      </c>
      <c r="I23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4">
        <f t="shared" si="42"/>
        <v>42.78722935914621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t="str">
        <f t="shared" si="40"/>
        <v>OC12</v>
      </c>
      <c r="F231" t="str">
        <f t="shared" si="41"/>
        <v>Kartofler</v>
      </c>
      <c r="G231" s="74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136.7720866678431</v>
      </c>
      <c r="H23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4635.4491675495001</v>
      </c>
      <c r="I23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4">
        <f t="shared" si="42"/>
        <v>4635.4491675495001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t="str">
        <f t="shared" si="40"/>
        <v>OC12</v>
      </c>
      <c r="F232" t="str">
        <f t="shared" si="41"/>
        <v>Roer</v>
      </c>
      <c r="G232" s="74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1.479061920040055</v>
      </c>
      <c r="H232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95.903081313030611</v>
      </c>
      <c r="I232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4">
        <f t="shared" si="42"/>
        <v>95.903081313030611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t="str">
        <f t="shared" si="40"/>
        <v>OC12</v>
      </c>
      <c r="F233" t="str">
        <f t="shared" si="41"/>
        <v>Majs</v>
      </c>
      <c r="G233" s="74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183.93582916151516</v>
      </c>
      <c r="H233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9513.275124447644</v>
      </c>
      <c r="I233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4">
        <f t="shared" si="42"/>
        <v>9513.275124447644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t="str">
        <f t="shared" ref="E234:E253" si="47">Organ12</f>
        <v>OC12</v>
      </c>
      <c r="F234" t="str">
        <f t="shared" si="41"/>
        <v>Frugt</v>
      </c>
      <c r="G234" s="74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5.2710419196030802</v>
      </c>
      <c r="H234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35.711414426149261</v>
      </c>
      <c r="I234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4">
        <f t="shared" si="42"/>
        <v>35.711414426149261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t="str">
        <f t="shared" si="47"/>
        <v>OC12</v>
      </c>
      <c r="F235" t="str">
        <f t="shared" si="41"/>
        <v>Øvrige</v>
      </c>
      <c r="G235" s="74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93.223127631604285</v>
      </c>
      <c r="H235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2216.5814935650428</v>
      </c>
      <c r="I235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4">
        <f t="shared" si="42"/>
        <v>2216.5814935650428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t="str">
        <f t="shared" si="47"/>
        <v>OC12</v>
      </c>
      <c r="F236" t="str">
        <f t="shared" si="41"/>
        <v>Halm</v>
      </c>
      <c r="G236" s="74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296.60482424723369</v>
      </c>
      <c r="H236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3382.0397373417254</v>
      </c>
      <c r="I236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590.54080668094912</v>
      </c>
      <c r="J236" s="74">
        <f t="shared" si="42"/>
        <v>590.54080668094912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t="str">
        <f t="shared" si="47"/>
        <v>OC12</v>
      </c>
      <c r="F237" t="str">
        <f t="shared" si="41"/>
        <v>Juletræer</v>
      </c>
      <c r="G237" s="74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26.437142892102489</v>
      </c>
      <c r="H237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1054.8420013948892</v>
      </c>
      <c r="I237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4">
        <f t="shared" si="42"/>
        <v>1054.8420013948892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4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62.405506200768976</v>
      </c>
      <c r="H23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1214.6242426393571</v>
      </c>
      <c r="I23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4">
        <f t="shared" ref="J238" si="49">IF(I238&lt;&gt;0,I238,H238)</f>
        <v>1214.6242426393571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t="str">
        <f t="shared" si="47"/>
        <v>OC12</v>
      </c>
      <c r="F239" t="str">
        <f t="shared" si="41"/>
        <v>Græs</v>
      </c>
      <c r="G239" s="74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2308.0841309550201</v>
      </c>
      <c r="H23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44559.872232217625</v>
      </c>
      <c r="I23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4">
        <f t="shared" si="42"/>
        <v>44559.872232217625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t="str">
        <f t="shared" si="47"/>
        <v>OC12</v>
      </c>
      <c r="F240" t="str">
        <f t="shared" si="41"/>
        <v>Korn</v>
      </c>
      <c r="G240" s="74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4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t="str">
        <f t="shared" si="47"/>
        <v>OC12</v>
      </c>
      <c r="F241" t="str">
        <f t="shared" si="41"/>
        <v>Bælgsæd</v>
      </c>
      <c r="G241" s="74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4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t="str">
        <f t="shared" si="47"/>
        <v>OC12</v>
      </c>
      <c r="F242" t="str">
        <f t="shared" si="41"/>
        <v>Raps</v>
      </c>
      <c r="G242" s="74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4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t="str">
        <f t="shared" si="47"/>
        <v>OC12</v>
      </c>
      <c r="F243" t="str">
        <f t="shared" si="41"/>
        <v>Græs</v>
      </c>
      <c r="G243" s="74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4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t="str">
        <f t="shared" si="47"/>
        <v>OC12</v>
      </c>
      <c r="F244" t="str">
        <f t="shared" si="41"/>
        <v>Grøntsager</v>
      </c>
      <c r="G244" s="74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4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t="str">
        <f t="shared" si="47"/>
        <v>OC12</v>
      </c>
      <c r="F245" t="str">
        <f t="shared" si="41"/>
        <v>Kartofler</v>
      </c>
      <c r="G245" s="74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4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t="str">
        <f t="shared" si="47"/>
        <v>OC12</v>
      </c>
      <c r="F246" t="str">
        <f t="shared" si="41"/>
        <v>Roer</v>
      </c>
      <c r="G246" s="74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4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t="str">
        <f t="shared" si="47"/>
        <v>OC12</v>
      </c>
      <c r="F247" t="str">
        <f t="shared" si="41"/>
        <v>Majs</v>
      </c>
      <c r="G247" s="74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4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t="str">
        <f t="shared" si="47"/>
        <v>OC12</v>
      </c>
      <c r="F248" t="str">
        <f t="shared" si="41"/>
        <v>Frugt</v>
      </c>
      <c r="G248" s="74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4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t="str">
        <f t="shared" si="47"/>
        <v>OC12</v>
      </c>
      <c r="F249" t="str">
        <f t="shared" si="41"/>
        <v>Øvrige</v>
      </c>
      <c r="G249" s="74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4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t="str">
        <f t="shared" si="47"/>
        <v>OC12</v>
      </c>
      <c r="F250" t="str">
        <f t="shared" si="41"/>
        <v>Frø</v>
      </c>
      <c r="G250" s="74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4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t="str">
        <f t="shared" si="47"/>
        <v>OC12</v>
      </c>
      <c r="F251" t="str">
        <f t="shared" si="41"/>
        <v>Juletræer</v>
      </c>
      <c r="G251" s="74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4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4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4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t="str">
        <f t="shared" si="47"/>
        <v>OC12</v>
      </c>
      <c r="F253" t="str">
        <f t="shared" si="41"/>
        <v>Græs</v>
      </c>
      <c r="G253" s="74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4">
        <f t="shared" si="42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t="str">
        <f t="shared" ref="E254:E285" si="52">Jordbund1</f>
        <v>JB1-10</v>
      </c>
      <c r="F254" t="str">
        <f>IF(I254&lt;&gt;0,"Halm",IF(B254&lt;&gt;"Permanent græs",B254,"Græs"))</f>
        <v>Halm</v>
      </c>
      <c r="G254" s="74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4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t="str">
        <f t="shared" si="52"/>
        <v>JB1-10</v>
      </c>
      <c r="F255" t="str">
        <f t="shared" ref="F255:F265" si="53">IF(I255&lt;&gt;0,"Halm",IF(B255&lt;&gt;"Permanent græs",B255,"Græs"))</f>
        <v>Halm</v>
      </c>
      <c r="G255" s="74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4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t="str">
        <f t="shared" si="52"/>
        <v>JB1-10</v>
      </c>
      <c r="F256" t="str">
        <f t="shared" si="53"/>
        <v>Halm</v>
      </c>
      <c r="G256" s="74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4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t="str">
        <f t="shared" si="52"/>
        <v>JB1-10</v>
      </c>
      <c r="F257" t="str">
        <f t="shared" si="53"/>
        <v>Græs</v>
      </c>
      <c r="G257" s="74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4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t="str">
        <f t="shared" si="52"/>
        <v>JB1-10</v>
      </c>
      <c r="F258" t="str">
        <f t="shared" si="53"/>
        <v>Grøntsager</v>
      </c>
      <c r="G258" s="74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4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t="str">
        <f t="shared" si="52"/>
        <v>JB1-10</v>
      </c>
      <c r="F259" t="str">
        <f t="shared" si="53"/>
        <v>Kartofler</v>
      </c>
      <c r="G259" s="74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4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t="str">
        <f t="shared" si="52"/>
        <v>JB1-10</v>
      </c>
      <c r="F260" t="str">
        <f t="shared" si="53"/>
        <v>Roer</v>
      </c>
      <c r="G260" s="74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4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t="str">
        <f t="shared" si="52"/>
        <v>JB1-10</v>
      </c>
      <c r="F261" t="str">
        <f t="shared" si="53"/>
        <v>Majs</v>
      </c>
      <c r="G261" s="74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4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t="str">
        <f t="shared" si="52"/>
        <v>JB1-10</v>
      </c>
      <c r="F262" t="str">
        <f t="shared" si="53"/>
        <v>Frugt</v>
      </c>
      <c r="G262" s="74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4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t="str">
        <f t="shared" si="52"/>
        <v>JB1-10</v>
      </c>
      <c r="F263" t="str">
        <f t="shared" si="53"/>
        <v>Øvrige</v>
      </c>
      <c r="G263" s="74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4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t="str">
        <f t="shared" si="52"/>
        <v>JB1-10</v>
      </c>
      <c r="F264" t="str">
        <f t="shared" si="53"/>
        <v>Halm</v>
      </c>
      <c r="G264" s="74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4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t="str">
        <f t="shared" si="52"/>
        <v>JB1-10</v>
      </c>
      <c r="F265" t="str">
        <f t="shared" si="53"/>
        <v>Juletræer</v>
      </c>
      <c r="G265" s="74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4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t="str">
        <f t="shared" si="52"/>
        <v>JB1-10</v>
      </c>
      <c r="F266" t="str">
        <f>IF(I266&lt;&gt;0,"Halm",IF(B266&lt;&gt;"Permanent græs",B266,"Græs"))</f>
        <v>Pil &amp; poppel</v>
      </c>
      <c r="G266" s="74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4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t="str">
        <f t="shared" si="52"/>
        <v>JB1-10</v>
      </c>
      <c r="F267" t="str">
        <f t="shared" ref="F267:F335" si="54">IF(I267&lt;&gt;0,"Halm",IF(B267&lt;&gt;"Permanent græs",B267,"Græs"))</f>
        <v>Græs</v>
      </c>
      <c r="G267" s="74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4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t="str">
        <f t="shared" si="52"/>
        <v>JB1-10</v>
      </c>
      <c r="F268" t="str">
        <f t="shared" si="54"/>
        <v>Halm</v>
      </c>
      <c r="G268" s="74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190577.22290130702</v>
      </c>
      <c r="H2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1335946.3325381624</v>
      </c>
      <c r="I2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458311.25369163969</v>
      </c>
      <c r="J268" s="74">
        <f t="shared" si="42"/>
        <v>458311.25369163969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t="str">
        <f t="shared" si="52"/>
        <v>JB1-10</v>
      </c>
      <c r="F269" t="str">
        <f t="shared" si="54"/>
        <v>Halm</v>
      </c>
      <c r="G269" s="74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56708.344375510875</v>
      </c>
      <c r="H2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218894.209289472</v>
      </c>
      <c r="I2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68302.729877295278</v>
      </c>
      <c r="J269" s="74">
        <f t="shared" si="42"/>
        <v>68302.729877295278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t="str">
        <f t="shared" si="52"/>
        <v>JB1-10</v>
      </c>
      <c r="F270" t="str">
        <f t="shared" si="54"/>
        <v>Halm</v>
      </c>
      <c r="G270" s="74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30366.708838118309</v>
      </c>
      <c r="H2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133613.51888772057</v>
      </c>
      <c r="I2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75006.988848007444</v>
      </c>
      <c r="J270" s="74">
        <f t="shared" si="42"/>
        <v>75006.988848007444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t="str">
        <f t="shared" si="52"/>
        <v>JB1-10</v>
      </c>
      <c r="F271" t="str">
        <f t="shared" si="54"/>
        <v>Græs</v>
      </c>
      <c r="G271" s="74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41834.0245393113</v>
      </c>
      <c r="H2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2075804.2976406266</v>
      </c>
      <c r="I2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4">
        <f t="shared" si="42"/>
        <v>2075804.2976406266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t="str">
        <f t="shared" si="52"/>
        <v>JB1-10</v>
      </c>
      <c r="F272" t="str">
        <f t="shared" si="54"/>
        <v>Grøntsager</v>
      </c>
      <c r="G272" s="74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13944.674846437101</v>
      </c>
      <c r="H272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289352.00306356989</v>
      </c>
      <c r="I272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4">
        <f t="shared" si="42"/>
        <v>289352.00306356989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t="str">
        <f t="shared" si="52"/>
        <v>JB1-10</v>
      </c>
      <c r="F273" t="str">
        <f t="shared" si="54"/>
        <v>Kartofler</v>
      </c>
      <c r="G273" s="74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10178.350064800734</v>
      </c>
      <c r="H273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432283.68238177506</v>
      </c>
      <c r="I273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4">
        <f t="shared" si="42"/>
        <v>432283.68238177506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t="str">
        <f t="shared" si="52"/>
        <v>JB1-10</v>
      </c>
      <c r="F274" t="str">
        <f t="shared" si="54"/>
        <v>Roer</v>
      </c>
      <c r="G274" s="74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6259.7238220193121</v>
      </c>
      <c r="H274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508625.91771750944</v>
      </c>
      <c r="I274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4">
        <f t="shared" si="42"/>
        <v>508625.91771750944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t="str">
        <f t="shared" si="52"/>
        <v>JB1-10</v>
      </c>
      <c r="F275" t="str">
        <f t="shared" si="54"/>
        <v>Majs</v>
      </c>
      <c r="G275" s="74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26030.059713349256</v>
      </c>
      <c r="H275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1158597.9578411754</v>
      </c>
      <c r="I275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4">
        <f t="shared" si="42"/>
        <v>1158597.9578411754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t="str">
        <f t="shared" si="52"/>
        <v>JB1-10</v>
      </c>
      <c r="F276" t="str">
        <f t="shared" si="54"/>
        <v>Frugt</v>
      </c>
      <c r="G276" s="74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943.67862036113604</v>
      </c>
      <c r="H276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8011.8314868660455</v>
      </c>
      <c r="I276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4">
        <f t="shared" si="42"/>
        <v>8011.8314868660455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t="str">
        <f t="shared" si="52"/>
        <v>JB1-10</v>
      </c>
      <c r="F277" t="str">
        <f t="shared" si="54"/>
        <v>Øvrige</v>
      </c>
      <c r="G277" s="74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13000.467069532109</v>
      </c>
      <c r="H277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387361.18238381506</v>
      </c>
      <c r="I277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4">
        <f t="shared" ref="J277:J340" si="55">IF(I277&lt;&gt;0,I277,H277)</f>
        <v>387361.18238381506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t="str">
        <f t="shared" si="52"/>
        <v>JB1-10</v>
      </c>
      <c r="F278" t="str">
        <f t="shared" si="54"/>
        <v>Halm</v>
      </c>
      <c r="G278" s="74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18776.64752582357</v>
      </c>
      <c r="H27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268296.90202658431</v>
      </c>
      <c r="I27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46847.548005841112</v>
      </c>
      <c r="J278" s="74">
        <f t="shared" si="55"/>
        <v>46847.548005841112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t="str">
        <f t="shared" si="52"/>
        <v>JB1-10</v>
      </c>
      <c r="F279" t="str">
        <f t="shared" si="54"/>
        <v>Juletræer</v>
      </c>
      <c r="G279" s="74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3526.5780432943488</v>
      </c>
      <c r="H27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176328.90216471744</v>
      </c>
      <c r="I27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4">
        <f t="shared" si="55"/>
        <v>176328.90216471744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t="str">
        <f t="shared" si="52"/>
        <v>JB1-10</v>
      </c>
      <c r="F280" t="str">
        <f t="shared" si="54"/>
        <v>Pil &amp; poppel</v>
      </c>
      <c r="G280" s="74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1356.1240353293651</v>
      </c>
      <c r="H28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33076.195983643054</v>
      </c>
      <c r="I28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4">
        <f t="shared" si="55"/>
        <v>33076.195983643054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t="str">
        <f t="shared" si="52"/>
        <v>JB1-10</v>
      </c>
      <c r="F281" t="str">
        <f t="shared" si="54"/>
        <v>Græs</v>
      </c>
      <c r="G281" s="74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51130.474436936034</v>
      </c>
      <c r="H28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705089.24248534802</v>
      </c>
      <c r="I28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4">
        <f t="shared" si="55"/>
        <v>705089.24248534802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t="str">
        <f t="shared" si="52"/>
        <v>JB1-10</v>
      </c>
      <c r="F282" t="str">
        <f t="shared" si="54"/>
        <v>Korn</v>
      </c>
      <c r="G282" s="74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0</v>
      </c>
      <c r="H282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0</v>
      </c>
      <c r="I282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0</v>
      </c>
      <c r="J282" s="74">
        <f t="shared" si="55"/>
        <v>0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t="str">
        <f t="shared" si="52"/>
        <v>JB1-10</v>
      </c>
      <c r="F283" t="str">
        <f t="shared" si="54"/>
        <v>Halm</v>
      </c>
      <c r="G283" s="74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105826.23519666794</v>
      </c>
      <c r="H283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408489.26785913832</v>
      </c>
      <c r="I283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138651.78722179355</v>
      </c>
      <c r="J283" s="74">
        <f t="shared" si="55"/>
        <v>138651.78722179355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t="str">
        <f t="shared" si="52"/>
        <v>JB1-10</v>
      </c>
      <c r="F284" t="str">
        <f t="shared" si="54"/>
        <v>Halm</v>
      </c>
      <c r="G284" s="74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63495.741118000762</v>
      </c>
      <c r="H284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279381.26091920334</v>
      </c>
      <c r="I284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170604.16698031151</v>
      </c>
      <c r="J284" s="74">
        <f t="shared" si="55"/>
        <v>170604.16698031151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t="str">
        <f t="shared" si="52"/>
        <v>JB1-10</v>
      </c>
      <c r="F285" t="str">
        <f t="shared" si="54"/>
        <v>Græs</v>
      </c>
      <c r="G285" s="74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148156.72927533509</v>
      </c>
      <c r="H285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7351536.9066421278</v>
      </c>
      <c r="I285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4">
        <f t="shared" si="55"/>
        <v>7351536.9066421278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t="str">
        <f t="shared" ref="E286:E317" si="56">Jordbund1</f>
        <v>JB1-10</v>
      </c>
      <c r="F286" t="str">
        <f t="shared" si="54"/>
        <v>Grøntsager</v>
      </c>
      <c r="G286" s="74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42330.49407866718</v>
      </c>
      <c r="H286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878357.75213234406</v>
      </c>
      <c r="I286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4">
        <f t="shared" si="55"/>
        <v>878357.75213234406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t="str">
        <f t="shared" si="56"/>
        <v>JB1-10</v>
      </c>
      <c r="F287" t="str">
        <f t="shared" si="54"/>
        <v>Kartofler</v>
      </c>
      <c r="G287" s="74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0</v>
      </c>
      <c r="H287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0</v>
      </c>
      <c r="I287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4">
        <f t="shared" si="55"/>
        <v>0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t="str">
        <f t="shared" si="56"/>
        <v>JB1-10</v>
      </c>
      <c r="F288" t="str">
        <f t="shared" si="54"/>
        <v>Roer</v>
      </c>
      <c r="G288" s="74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0</v>
      </c>
      <c r="H28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0</v>
      </c>
      <c r="I28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4">
        <f t="shared" si="55"/>
        <v>0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t="str">
        <f t="shared" si="56"/>
        <v>JB1-10</v>
      </c>
      <c r="F289" t="str">
        <f t="shared" si="54"/>
        <v>Majs</v>
      </c>
      <c r="G289" s="74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0</v>
      </c>
      <c r="H28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0</v>
      </c>
      <c r="I28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4">
        <f t="shared" si="55"/>
        <v>0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t="str">
        <f t="shared" si="56"/>
        <v>JB1-10</v>
      </c>
      <c r="F290" t="str">
        <f t="shared" si="54"/>
        <v>Frugt</v>
      </c>
      <c r="G290" s="74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59049.1578802449</v>
      </c>
      <c r="H29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501327.3504032793</v>
      </c>
      <c r="I29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4">
        <f t="shared" si="55"/>
        <v>501327.3504032793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t="str">
        <f t="shared" si="56"/>
        <v>JB1-10</v>
      </c>
      <c r="F291" t="str">
        <f t="shared" si="54"/>
        <v>Øvrige</v>
      </c>
      <c r="G291" s="74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0</v>
      </c>
      <c r="H29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0</v>
      </c>
      <c r="I29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4">
        <f t="shared" si="55"/>
        <v>0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t="str">
        <f t="shared" si="56"/>
        <v>JB1-10</v>
      </c>
      <c r="F292" t="str">
        <f t="shared" si="54"/>
        <v>Frø</v>
      </c>
      <c r="G292" s="74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0</v>
      </c>
      <c r="H292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0</v>
      </c>
      <c r="I292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0</v>
      </c>
      <c r="J292" s="74">
        <f t="shared" si="55"/>
        <v>0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t="str">
        <f t="shared" si="56"/>
        <v>JB1-10</v>
      </c>
      <c r="F293" t="str">
        <f t="shared" si="54"/>
        <v>Juletræer</v>
      </c>
      <c r="G293" s="74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3211.5870600834623</v>
      </c>
      <c r="H293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160579.35300417314</v>
      </c>
      <c r="I293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4">
        <f t="shared" si="55"/>
        <v>160579.35300417314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t="str">
        <f t="shared" si="56"/>
        <v>JB1-10</v>
      </c>
      <c r="F294" t="str">
        <f t="shared" si="54"/>
        <v>Pil &amp; poppel</v>
      </c>
      <c r="G294" s="74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1234.9961776724069</v>
      </c>
      <c r="H294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30121.857992009926</v>
      </c>
      <c r="I294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4">
        <f t="shared" si="55"/>
        <v>30121.857992009926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t="str">
        <f t="shared" si="56"/>
        <v>JB1-10</v>
      </c>
      <c r="F295" t="str">
        <f t="shared" si="54"/>
        <v>Græs</v>
      </c>
      <c r="G295" s="74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0</v>
      </c>
      <c r="H295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0</v>
      </c>
      <c r="I295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4">
        <f t="shared" si="55"/>
        <v>0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t="str">
        <f t="shared" si="56"/>
        <v>JB1-10</v>
      </c>
      <c r="F296" t="str">
        <f t="shared" si="54"/>
        <v>Halm</v>
      </c>
      <c r="G296" s="74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4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t="str">
        <f t="shared" si="56"/>
        <v>JB1-10</v>
      </c>
      <c r="F297" t="str">
        <f t="shared" si="54"/>
        <v>Halm</v>
      </c>
      <c r="G297" s="74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4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t="str">
        <f t="shared" si="56"/>
        <v>JB1-10</v>
      </c>
      <c r="F298" t="str">
        <f t="shared" si="54"/>
        <v>Halm</v>
      </c>
      <c r="G298" s="74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4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t="str">
        <f t="shared" si="56"/>
        <v>JB1-10</v>
      </c>
      <c r="F299" t="str">
        <f t="shared" si="54"/>
        <v>Græs</v>
      </c>
      <c r="G299" s="74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4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t="str">
        <f t="shared" si="56"/>
        <v>JB1-10</v>
      </c>
      <c r="F300" t="str">
        <f t="shared" si="54"/>
        <v>Grøntsager</v>
      </c>
      <c r="G300" s="74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4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t="str">
        <f t="shared" si="56"/>
        <v>JB1-10</v>
      </c>
      <c r="F301" t="str">
        <f t="shared" si="54"/>
        <v>Kartofler</v>
      </c>
      <c r="G301" s="74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4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t="str">
        <f t="shared" si="56"/>
        <v>JB1-10</v>
      </c>
      <c r="F302" t="str">
        <f t="shared" si="54"/>
        <v>Roer</v>
      </c>
      <c r="G302" s="74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4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t="str">
        <f t="shared" si="56"/>
        <v>JB1-10</v>
      </c>
      <c r="F303" t="str">
        <f t="shared" si="54"/>
        <v>Majs</v>
      </c>
      <c r="G303" s="74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4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t="str">
        <f t="shared" si="56"/>
        <v>JB1-10</v>
      </c>
      <c r="F304" t="str">
        <f t="shared" si="54"/>
        <v>Frugt</v>
      </c>
      <c r="G304" s="74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4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t="str">
        <f t="shared" si="56"/>
        <v>JB1-10</v>
      </c>
      <c r="F305" t="str">
        <f t="shared" si="54"/>
        <v>Øvrige</v>
      </c>
      <c r="G305" s="74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4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t="str">
        <f t="shared" si="56"/>
        <v>JB1-10</v>
      </c>
      <c r="F306" t="str">
        <f t="shared" si="54"/>
        <v>Halm</v>
      </c>
      <c r="G306" s="74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4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t="str">
        <f t="shared" si="56"/>
        <v>JB1-10</v>
      </c>
      <c r="F307" t="str">
        <f t="shared" si="54"/>
        <v>Juletræer</v>
      </c>
      <c r="G307" s="74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4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t="str">
        <f t="shared" si="56"/>
        <v>JB1-10</v>
      </c>
      <c r="F308" t="str">
        <f t="shared" si="54"/>
        <v>Pil &amp; poppel</v>
      </c>
      <c r="G308" s="74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4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t="str">
        <f t="shared" si="56"/>
        <v>JB1-10</v>
      </c>
      <c r="F309" t="str">
        <f t="shared" si="54"/>
        <v>Græs</v>
      </c>
      <c r="G309" s="74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4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t="str">
        <f t="shared" si="56"/>
        <v>JB1-10</v>
      </c>
      <c r="F310" t="str">
        <f t="shared" si="54"/>
        <v>Halm</v>
      </c>
      <c r="G310" s="74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29803.479184120606</v>
      </c>
      <c r="H31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139978.00068405925</v>
      </c>
      <c r="I31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48021.010590204845</v>
      </c>
      <c r="J310" s="74">
        <f t="shared" si="55"/>
        <v>48021.010590204845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t="str">
        <f t="shared" si="56"/>
        <v>JB1-10</v>
      </c>
      <c r="F311" t="str">
        <f t="shared" si="54"/>
        <v>Halm</v>
      </c>
      <c r="G311" s="74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8868.3523425919848</v>
      </c>
      <c r="H31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19512.148824170883</v>
      </c>
      <c r="I31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6088.4800689290223</v>
      </c>
      <c r="J311" s="74">
        <f t="shared" si="55"/>
        <v>6088.4800689290223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t="str">
        <f t="shared" si="56"/>
        <v>JB1-10</v>
      </c>
      <c r="F312" t="str">
        <f t="shared" si="54"/>
        <v>Halm</v>
      </c>
      <c r="G312" s="74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4748.9073508841821</v>
      </c>
      <c r="H312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11492.355789139723</v>
      </c>
      <c r="I312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6451.4954002349659</v>
      </c>
      <c r="J312" s="74">
        <f t="shared" si="55"/>
        <v>6451.4954002349659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t="str">
        <f t="shared" si="56"/>
        <v>JB1-10</v>
      </c>
      <c r="F313" t="str">
        <f t="shared" si="54"/>
        <v>Græs</v>
      </c>
      <c r="G313" s="74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6542.2271379776948</v>
      </c>
      <c r="H313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253207.74225743354</v>
      </c>
      <c r="I313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4">
        <f t="shared" si="55"/>
        <v>253207.74225743354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t="str">
        <f t="shared" si="56"/>
        <v>JB1-10</v>
      </c>
      <c r="F314" t="str">
        <f t="shared" si="54"/>
        <v>Grøntsager</v>
      </c>
      <c r="G314" s="74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2180.7423793258981</v>
      </c>
      <c r="H314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25792.730491477061</v>
      </c>
      <c r="I314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4">
        <f t="shared" si="55"/>
        <v>25792.730491477061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t="str">
        <f t="shared" si="56"/>
        <v>JB1-10</v>
      </c>
      <c r="F315" t="str">
        <f t="shared" si="54"/>
        <v>Kartofler</v>
      </c>
      <c r="G315" s="74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1591.7444890152233</v>
      </c>
      <c r="H315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38533.607500504557</v>
      </c>
      <c r="I315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4">
        <f t="shared" si="55"/>
        <v>38533.607500504557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t="str">
        <f t="shared" si="56"/>
        <v>JB1-10</v>
      </c>
      <c r="F316" t="str">
        <f t="shared" si="54"/>
        <v>Roer</v>
      </c>
      <c r="G316" s="74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978.92888660944459</v>
      </c>
      <c r="H316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45338.7261113438</v>
      </c>
      <c r="I316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4">
        <f t="shared" si="55"/>
        <v>45338.7261113438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t="str">
        <f t="shared" si="56"/>
        <v>JB1-10</v>
      </c>
      <c r="F317" t="str">
        <f t="shared" si="54"/>
        <v>Majs</v>
      </c>
      <c r="G317" s="74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4070.7191080750104</v>
      </c>
      <c r="H317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150385.79722534755</v>
      </c>
      <c r="I317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4">
        <f t="shared" si="55"/>
        <v>150385.79722534755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t="str">
        <f t="shared" ref="E318:E337" si="57">Jordbund1</f>
        <v>JB1-10</v>
      </c>
      <c r="F318" t="str">
        <f t="shared" si="54"/>
        <v>Frugt</v>
      </c>
      <c r="G318" s="74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147.57747904112145</v>
      </c>
      <c r="H31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714.17169432369906</v>
      </c>
      <c r="I31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4">
        <f t="shared" si="55"/>
        <v>714.17169432369906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t="str">
        <f t="shared" si="57"/>
        <v>JB1-10</v>
      </c>
      <c r="F319" t="str">
        <f t="shared" si="54"/>
        <v>Øvrige</v>
      </c>
      <c r="G319" s="74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2033.0821479715682</v>
      </c>
      <c r="H31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34529.232472223855</v>
      </c>
      <c r="I31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4">
        <f t="shared" si="55"/>
        <v>34529.232472223855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t="str">
        <f t="shared" si="57"/>
        <v>JB1-10</v>
      </c>
      <c r="F320" t="str">
        <f t="shared" si="54"/>
        <v>Halm</v>
      </c>
      <c r="G320" s="74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2936.3919526377699</v>
      </c>
      <c r="H32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23915.886575527133</v>
      </c>
      <c r="I32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4175.9730954263596</v>
      </c>
      <c r="J320" s="74">
        <f t="shared" si="55"/>
        <v>4175.9730954263596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t="str">
        <f t="shared" si="57"/>
        <v>JB1-10</v>
      </c>
      <c r="F321" t="str">
        <f t="shared" si="54"/>
        <v>Juletræer</v>
      </c>
      <c r="G321" s="74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551.50502092755107</v>
      </c>
      <c r="H32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15717.893096435204</v>
      </c>
      <c r="I32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4">
        <f t="shared" si="55"/>
        <v>15717.893096435204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t="str">
        <f t="shared" si="57"/>
        <v>JB1-10</v>
      </c>
      <c r="F322" t="str">
        <f t="shared" si="54"/>
        <v>Pil &amp; poppel</v>
      </c>
      <c r="G322" s="74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212.07788550342642</v>
      </c>
      <c r="H322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2948.3998716330011</v>
      </c>
      <c r="I322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4">
        <f t="shared" si="55"/>
        <v>2948.3998716330011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t="str">
        <f t="shared" si="57"/>
        <v>JB1-10</v>
      </c>
      <c r="F323" t="str">
        <f t="shared" si="54"/>
        <v>Græs</v>
      </c>
      <c r="G323" s="74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7996.0553908616266</v>
      </c>
      <c r="H323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110265.60383998184</v>
      </c>
      <c r="I323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4">
        <f t="shared" si="55"/>
        <v>110265.60383998184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t="str">
        <f t="shared" si="57"/>
        <v>JB1-10</v>
      </c>
      <c r="F324" t="str">
        <f t="shared" si="54"/>
        <v>Korn</v>
      </c>
      <c r="G324" s="74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0</v>
      </c>
      <c r="H324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0</v>
      </c>
      <c r="I324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0</v>
      </c>
      <c r="J324" s="74">
        <f t="shared" si="55"/>
        <v>0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t="str">
        <f t="shared" si="57"/>
        <v>JB1-10</v>
      </c>
      <c r="F325" t="str">
        <f t="shared" si="54"/>
        <v>Halm</v>
      </c>
      <c r="G325" s="74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22447.989284141684</v>
      </c>
      <c r="H325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49390.066022968531</v>
      </c>
      <c r="I325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16764.261545907768</v>
      </c>
      <c r="J325" s="74">
        <f t="shared" si="55"/>
        <v>16764.261545907768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t="str">
        <f t="shared" si="57"/>
        <v>JB1-10</v>
      </c>
      <c r="F326" t="str">
        <f t="shared" si="54"/>
        <v>Halm</v>
      </c>
      <c r="G326" s="74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13468.79357048501</v>
      </c>
      <c r="H326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32594.480440573723</v>
      </c>
      <c r="I326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19903.819481036346</v>
      </c>
      <c r="J326" s="74">
        <f t="shared" si="55"/>
        <v>19903.819481036346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t="str">
        <f t="shared" si="57"/>
        <v>JB1-10</v>
      </c>
      <c r="F327" t="str">
        <f t="shared" si="54"/>
        <v>Græs</v>
      </c>
      <c r="G327" s="74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31427.184997798355</v>
      </c>
      <c r="H327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1216345.1972807886</v>
      </c>
      <c r="I327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4">
        <f t="shared" si="55"/>
        <v>1216345.1972807886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t="str">
        <f t="shared" si="57"/>
        <v>JB1-10</v>
      </c>
      <c r="F328" t="str">
        <f t="shared" si="54"/>
        <v>Grøntsager</v>
      </c>
      <c r="G328" s="74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8979.1957136566725</v>
      </c>
      <c r="H32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106201.43730327429</v>
      </c>
      <c r="I32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4">
        <f t="shared" si="55"/>
        <v>106201.43730327429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t="str">
        <f t="shared" si="57"/>
        <v>JB1-10</v>
      </c>
      <c r="F329" t="str">
        <f t="shared" si="54"/>
        <v>Kartofler</v>
      </c>
      <c r="G329" s="74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0</v>
      </c>
      <c r="H32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0</v>
      </c>
      <c r="I32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4">
        <f t="shared" si="55"/>
        <v>0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t="str">
        <f t="shared" si="57"/>
        <v>JB1-10</v>
      </c>
      <c r="F330" t="str">
        <f t="shared" si="54"/>
        <v>Roer</v>
      </c>
      <c r="G330" s="74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0</v>
      </c>
      <c r="H33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0</v>
      </c>
      <c r="I33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4">
        <f t="shared" si="55"/>
        <v>0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t="str">
        <f t="shared" si="57"/>
        <v>JB1-10</v>
      </c>
      <c r="F331" t="str">
        <f t="shared" si="54"/>
        <v>Majs</v>
      </c>
      <c r="G331" s="74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0</v>
      </c>
      <c r="H33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0</v>
      </c>
      <c r="I33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4">
        <f t="shared" si="55"/>
        <v>0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t="str">
        <f t="shared" si="57"/>
        <v>JB1-10</v>
      </c>
      <c r="F332" t="str">
        <f t="shared" si="54"/>
        <v>Frugt</v>
      </c>
      <c r="G332" s="74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12525.578944294373</v>
      </c>
      <c r="H332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60615.034185123761</v>
      </c>
      <c r="I332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4">
        <f t="shared" si="55"/>
        <v>60615.034185123761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t="str">
        <f t="shared" si="57"/>
        <v>JB1-10</v>
      </c>
      <c r="F333" t="str">
        <f t="shared" si="54"/>
        <v>Øvrige</v>
      </c>
      <c r="G333" s="74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0</v>
      </c>
      <c r="H333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0</v>
      </c>
      <c r="I333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4">
        <f t="shared" si="55"/>
        <v>0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t="str">
        <f t="shared" si="57"/>
        <v>JB1-10</v>
      </c>
      <c r="F334" t="str">
        <f t="shared" si="54"/>
        <v>Frø</v>
      </c>
      <c r="G334" s="74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0</v>
      </c>
      <c r="H334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0</v>
      </c>
      <c r="I334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0</v>
      </c>
      <c r="J334" s="74">
        <f t="shared" si="55"/>
        <v>0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t="str">
        <f t="shared" si="57"/>
        <v>JB1-10</v>
      </c>
      <c r="F335" t="str">
        <f t="shared" si="54"/>
        <v>Juletræer</v>
      </c>
      <c r="G335" s="74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681.24574001770407</v>
      </c>
      <c r="H335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19415.503590504566</v>
      </c>
      <c r="I335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4">
        <f t="shared" si="55"/>
        <v>19415.503590504566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4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261.96888617293479</v>
      </c>
      <c r="H336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3642.0064663066546</v>
      </c>
      <c r="I336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4">
        <f t="shared" si="55"/>
        <v>3642.0064663066546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t="str">
        <f t="shared" si="57"/>
        <v>JB1-10</v>
      </c>
      <c r="F337" t="str">
        <f t="shared" si="58"/>
        <v>Græs</v>
      </c>
      <c r="G337" s="74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0</v>
      </c>
      <c r="H337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0</v>
      </c>
      <c r="I337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4">
        <f t="shared" si="55"/>
        <v>0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t="str">
        <f t="shared" ref="E338:E369" si="59">Organ6</f>
        <v>OC6</v>
      </c>
      <c r="F338" t="str">
        <f t="shared" si="58"/>
        <v>Halm</v>
      </c>
      <c r="G338" s="74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4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t="str">
        <f t="shared" si="59"/>
        <v>OC6</v>
      </c>
      <c r="F339" t="str">
        <f t="shared" si="58"/>
        <v>Halm</v>
      </c>
      <c r="G339" s="74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4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t="str">
        <f t="shared" si="59"/>
        <v>OC6</v>
      </c>
      <c r="F340" t="str">
        <f t="shared" si="58"/>
        <v>Halm</v>
      </c>
      <c r="G340" s="74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4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t="str">
        <f t="shared" si="59"/>
        <v>OC6</v>
      </c>
      <c r="F341" t="str">
        <f t="shared" si="58"/>
        <v>Græs</v>
      </c>
      <c r="G341" s="74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4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t="str">
        <f t="shared" si="59"/>
        <v>OC6</v>
      </c>
      <c r="F342" t="str">
        <f t="shared" si="58"/>
        <v>Grøntsager</v>
      </c>
      <c r="G342" s="74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4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t="str">
        <f t="shared" si="59"/>
        <v>OC6</v>
      </c>
      <c r="F343" t="str">
        <f t="shared" si="58"/>
        <v>Kartofler</v>
      </c>
      <c r="G343" s="74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4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t="str">
        <f t="shared" si="59"/>
        <v>OC6</v>
      </c>
      <c r="F344" t="str">
        <f t="shared" si="58"/>
        <v>Roer</v>
      </c>
      <c r="G344" s="74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4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t="str">
        <f t="shared" si="59"/>
        <v>OC6</v>
      </c>
      <c r="F345" t="str">
        <f t="shared" si="58"/>
        <v>Majs</v>
      </c>
      <c r="G345" s="74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4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t="str">
        <f t="shared" si="59"/>
        <v>OC6</v>
      </c>
      <c r="F346" t="str">
        <f t="shared" si="58"/>
        <v>Frugt</v>
      </c>
      <c r="G346" s="74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4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t="str">
        <f t="shared" si="59"/>
        <v>OC6</v>
      </c>
      <c r="F347" t="str">
        <f t="shared" si="58"/>
        <v>Øvrige</v>
      </c>
      <c r="G347" s="74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4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t="str">
        <f t="shared" si="59"/>
        <v>OC6</v>
      </c>
      <c r="F348" t="str">
        <f t="shared" si="58"/>
        <v>Halm</v>
      </c>
      <c r="G348" s="74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4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t="str">
        <f t="shared" si="59"/>
        <v>OC6</v>
      </c>
      <c r="F349" t="str">
        <f t="shared" si="58"/>
        <v>Juletræer</v>
      </c>
      <c r="G349" s="74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4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t="str">
        <f t="shared" si="59"/>
        <v>OC6</v>
      </c>
      <c r="F350" t="str">
        <f t="shared" si="58"/>
        <v>Pil &amp; poppel</v>
      </c>
      <c r="G350" s="74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4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t="str">
        <f t="shared" si="59"/>
        <v>OC6</v>
      </c>
      <c r="F351" t="str">
        <f t="shared" si="58"/>
        <v>Græs</v>
      </c>
      <c r="G351" s="74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4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t="str">
        <f t="shared" si="59"/>
        <v>OC6</v>
      </c>
      <c r="F352" t="str">
        <f t="shared" si="58"/>
        <v>Halm</v>
      </c>
      <c r="G352" s="74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3357.5605834995149</v>
      </c>
      <c r="H352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28243.799628397916</v>
      </c>
      <c r="I352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9689.3497152040363</v>
      </c>
      <c r="J352" s="74">
        <f t="shared" si="60"/>
        <v>9689.3497152040363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t="str">
        <f t="shared" si="59"/>
        <v>OC6</v>
      </c>
      <c r="F353" t="str">
        <f t="shared" si="58"/>
        <v>Halm</v>
      </c>
      <c r="G353" s="74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90.793805177184794</v>
      </c>
      <c r="H353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420.55690558071996</v>
      </c>
      <c r="I353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131.22861866996251</v>
      </c>
      <c r="J353" s="74">
        <f t="shared" si="60"/>
        <v>131.22861866996251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t="str">
        <f t="shared" si="59"/>
        <v>OC6</v>
      </c>
      <c r="F354" t="str">
        <f t="shared" si="58"/>
        <v>Halm</v>
      </c>
      <c r="G354" s="74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366.73036231407929</v>
      </c>
      <c r="H354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1936.3363130183386</v>
      </c>
      <c r="I354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1087.0064454975313</v>
      </c>
      <c r="J354" s="74">
        <f t="shared" si="60"/>
        <v>1087.0064454975313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t="str">
        <f t="shared" si="59"/>
        <v>OC6</v>
      </c>
      <c r="F355" t="str">
        <f t="shared" si="58"/>
        <v>Græs</v>
      </c>
      <c r="G355" s="74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1078.3409265177115</v>
      </c>
      <c r="H355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64208.732128570613</v>
      </c>
      <c r="I355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4">
        <f t="shared" si="60"/>
        <v>64208.732128570613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t="str">
        <f t="shared" si="59"/>
        <v>OC6</v>
      </c>
      <c r="F356" t="str">
        <f t="shared" si="58"/>
        <v>Grøntsager</v>
      </c>
      <c r="G356" s="74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20.422609337589453</v>
      </c>
      <c r="H356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508.52297250597741</v>
      </c>
      <c r="I356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4">
        <f t="shared" si="60"/>
        <v>508.52297250597741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t="str">
        <f t="shared" si="59"/>
        <v>OC6</v>
      </c>
      <c r="F357" t="str">
        <f t="shared" si="58"/>
        <v>Kartofler</v>
      </c>
      <c r="G357" s="74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34.720305000251777</v>
      </c>
      <c r="H357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1769.5230999175938</v>
      </c>
      <c r="I357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4">
        <f t="shared" si="60"/>
        <v>1769.5230999175938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t="str">
        <f t="shared" si="59"/>
        <v>OC6</v>
      </c>
      <c r="F358" t="str">
        <f t="shared" si="58"/>
        <v>Roer</v>
      </c>
      <c r="G358" s="74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97.001227381554372</v>
      </c>
      <c r="H35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9458.0540035554968</v>
      </c>
      <c r="I35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4">
        <f t="shared" si="60"/>
        <v>9458.0540035554968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t="str">
        <f t="shared" si="59"/>
        <v>OC6</v>
      </c>
      <c r="F359" t="str">
        <f t="shared" si="58"/>
        <v>Majs</v>
      </c>
      <c r="G359" s="74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103.41827733151489</v>
      </c>
      <c r="H35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5523.7770288308739</v>
      </c>
      <c r="I35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4">
        <f t="shared" si="60"/>
        <v>5523.7770288308739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t="str">
        <f t="shared" si="59"/>
        <v>OC6</v>
      </c>
      <c r="F360" t="str">
        <f t="shared" si="58"/>
        <v>Frugt</v>
      </c>
      <c r="G360" s="74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22.309448342014662</v>
      </c>
      <c r="H36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227.28865970844541</v>
      </c>
      <c r="I36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4">
        <f t="shared" si="60"/>
        <v>227.28865970844541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t="str">
        <f t="shared" si="59"/>
        <v>OC6</v>
      </c>
      <c r="F361" t="str">
        <f t="shared" si="58"/>
        <v>Øvrige</v>
      </c>
      <c r="G361" s="74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159.30028150544692</v>
      </c>
      <c r="H36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5695.8026262893663</v>
      </c>
      <c r="I36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4">
        <f t="shared" si="60"/>
        <v>5695.8026262893663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t="str">
        <f t="shared" si="59"/>
        <v>OC6</v>
      </c>
      <c r="F362" t="str">
        <f t="shared" si="58"/>
        <v>Halm</v>
      </c>
      <c r="G362" s="74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1156.5124894314743</v>
      </c>
      <c r="H362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19830.295113722077</v>
      </c>
      <c r="I362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3462.5845296493239</v>
      </c>
      <c r="J362" s="74">
        <f t="shared" si="60"/>
        <v>3462.5845296493239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t="str">
        <f t="shared" si="59"/>
        <v>OC6</v>
      </c>
      <c r="F363" t="str">
        <f t="shared" si="58"/>
        <v>Juletræer</v>
      </c>
      <c r="G363" s="74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34.958778596980039</v>
      </c>
      <c r="H363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2097.5267158188026</v>
      </c>
      <c r="I363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4">
        <f t="shared" si="60"/>
        <v>2097.5267158188026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t="str">
        <f t="shared" si="59"/>
        <v>OC6</v>
      </c>
      <c r="F364" t="str">
        <f t="shared" si="58"/>
        <v>Pil &amp; poppel</v>
      </c>
      <c r="G364" s="74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74.1955849335599</v>
      </c>
      <c r="H364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2171.5780956163871</v>
      </c>
      <c r="I364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4">
        <f t="shared" si="60"/>
        <v>2171.5780956163871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t="str">
        <f t="shared" si="59"/>
        <v>OC6</v>
      </c>
      <c r="F365" t="str">
        <f t="shared" si="58"/>
        <v>Græs</v>
      </c>
      <c r="G365" s="74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2150.2962504007219</v>
      </c>
      <c r="H365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35583.102351631147</v>
      </c>
      <c r="I365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4">
        <f t="shared" si="60"/>
        <v>35583.102351631147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t="str">
        <f t="shared" si="59"/>
        <v>OC6</v>
      </c>
      <c r="F366" t="str">
        <f t="shared" si="58"/>
        <v>Halm</v>
      </c>
      <c r="G366" s="74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364.7034753931315</v>
      </c>
      <c r="H366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3067.8856350070218</v>
      </c>
      <c r="I366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1144.8582218437455</v>
      </c>
      <c r="J366" s="74">
        <f t="shared" si="60"/>
        <v>1144.8582218437455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t="str">
        <f t="shared" si="59"/>
        <v>OC6</v>
      </c>
      <c r="F367" t="str">
        <f t="shared" si="58"/>
        <v>Halm</v>
      </c>
      <c r="G367" s="74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9.8621649464842704</v>
      </c>
      <c r="H367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45.681548032115138</v>
      </c>
      <c r="I367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15.505494944594487</v>
      </c>
      <c r="J367" s="74">
        <f t="shared" si="60"/>
        <v>15.505494944594487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t="str">
        <f t="shared" si="59"/>
        <v>OC6</v>
      </c>
      <c r="F368" t="str">
        <f t="shared" si="58"/>
        <v>Halm</v>
      </c>
      <c r="G368" s="74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39.83482482056197</v>
      </c>
      <c r="H3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210.32787505256721</v>
      </c>
      <c r="I3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128.43671690085014</v>
      </c>
      <c r="J368" s="74">
        <f t="shared" si="60"/>
        <v>128.43671690085014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t="str">
        <f t="shared" si="59"/>
        <v>OC6</v>
      </c>
      <c r="F369" t="str">
        <f t="shared" si="58"/>
        <v>Græs</v>
      </c>
      <c r="G369" s="74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117.13107590444632</v>
      </c>
      <c r="H3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6974.4527836543512</v>
      </c>
      <c r="I3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4">
        <f t="shared" si="60"/>
        <v>6974.4527836543512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t="str">
        <f t="shared" ref="E370:E401" si="61">Organ6</f>
        <v>OC6</v>
      </c>
      <c r="F370" t="str">
        <f t="shared" si="58"/>
        <v>Grøntsager</v>
      </c>
      <c r="G370" s="74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2.2183357282125327</v>
      </c>
      <c r="H3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55.23655963249206</v>
      </c>
      <c r="I3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4">
        <f t="shared" si="60"/>
        <v>55.23655963249206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t="str">
        <f t="shared" si="61"/>
        <v>OC6</v>
      </c>
      <c r="F371" t="str">
        <f t="shared" si="58"/>
        <v>Kartofler</v>
      </c>
      <c r="G371" s="74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3.7713737653851549</v>
      </c>
      <c r="H3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192.2083632682326</v>
      </c>
      <c r="I3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4">
        <f t="shared" si="60"/>
        <v>192.2083632682326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t="str">
        <f t="shared" si="61"/>
        <v>OC6</v>
      </c>
      <c r="F372" t="str">
        <f t="shared" si="58"/>
        <v>Roer</v>
      </c>
      <c r="G372" s="74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10.536424842878008</v>
      </c>
      <c r="H372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1027.3486002022901</v>
      </c>
      <c r="I372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4">
        <f t="shared" si="60"/>
        <v>1027.3486002022901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t="str">
        <f t="shared" si="61"/>
        <v>OC6</v>
      </c>
      <c r="F373" t="str">
        <f t="shared" si="58"/>
        <v>Majs</v>
      </c>
      <c r="G373" s="74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11.233454832455337</v>
      </c>
      <c r="H373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600.00128951110446</v>
      </c>
      <c r="I373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4">
        <f t="shared" si="60"/>
        <v>600.00128951110446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t="str">
        <f t="shared" si="61"/>
        <v>OC6</v>
      </c>
      <c r="F374" t="str">
        <f t="shared" si="58"/>
        <v>Frugt</v>
      </c>
      <c r="G374" s="74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2.4232871282864399</v>
      </c>
      <c r="H374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24.68844926298225</v>
      </c>
      <c r="I374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4">
        <f t="shared" si="60"/>
        <v>24.68844926298225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t="str">
        <f t="shared" si="61"/>
        <v>OC6</v>
      </c>
      <c r="F375" t="str">
        <f t="shared" si="58"/>
        <v>Øvrige</v>
      </c>
      <c r="G375" s="74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17.303445418574402</v>
      </c>
      <c r="H375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618.6869786265936</v>
      </c>
      <c r="I375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4">
        <f t="shared" si="60"/>
        <v>618.6869786265936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t="str">
        <f t="shared" si="61"/>
        <v>OC6</v>
      </c>
      <c r="F376" t="str">
        <f t="shared" si="58"/>
        <v>Halm</v>
      </c>
      <c r="G376" s="74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125.62219317919325</v>
      </c>
      <c r="H376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2153.9976319676493</v>
      </c>
      <c r="I376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409.12635874599658</v>
      </c>
      <c r="J376" s="74">
        <f t="shared" si="60"/>
        <v>409.12635874599658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t="str">
        <f t="shared" si="61"/>
        <v>OC6</v>
      </c>
      <c r="F377" t="str">
        <f t="shared" si="58"/>
        <v>Juletræer</v>
      </c>
      <c r="G377" s="74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3.7972771399791134</v>
      </c>
      <c r="H377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227.83662839874683</v>
      </c>
      <c r="I377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4">
        <f t="shared" si="60"/>
        <v>227.83662839874683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t="str">
        <f t="shared" si="61"/>
        <v>OC6</v>
      </c>
      <c r="F378" t="str">
        <f t="shared" si="58"/>
        <v>Pil &amp; poppel</v>
      </c>
      <c r="G378" s="74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8.0592403356999522</v>
      </c>
      <c r="H37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235.88020494731569</v>
      </c>
      <c r="I37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4">
        <f t="shared" si="60"/>
        <v>235.88020494731569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t="str">
        <f t="shared" si="61"/>
        <v>OC6</v>
      </c>
      <c r="F379" t="str">
        <f t="shared" si="58"/>
        <v>Græs</v>
      </c>
      <c r="G379" s="74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233.56853767582237</v>
      </c>
      <c r="H37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3865.0921614595086</v>
      </c>
      <c r="I37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4">
        <f t="shared" si="60"/>
        <v>3865.0921614595086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t="str">
        <f t="shared" si="61"/>
        <v>OC6</v>
      </c>
      <c r="F380" t="str">
        <f t="shared" si="58"/>
        <v>Halm</v>
      </c>
      <c r="G380" s="74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4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t="str">
        <f t="shared" si="61"/>
        <v>OC6</v>
      </c>
      <c r="F381" t="str">
        <f t="shared" si="58"/>
        <v>Halm</v>
      </c>
      <c r="G381" s="74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4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t="str">
        <f t="shared" si="61"/>
        <v>OC6</v>
      </c>
      <c r="F382" t="str">
        <f t="shared" si="58"/>
        <v>Halm</v>
      </c>
      <c r="G382" s="74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4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t="str">
        <f t="shared" si="61"/>
        <v>OC6</v>
      </c>
      <c r="F383" t="str">
        <f t="shared" si="58"/>
        <v>Græs</v>
      </c>
      <c r="G383" s="74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4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t="str">
        <f t="shared" si="61"/>
        <v>OC6</v>
      </c>
      <c r="F384" t="str">
        <f t="shared" si="58"/>
        <v>Grøntsager</v>
      </c>
      <c r="G384" s="74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4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t="str">
        <f t="shared" si="61"/>
        <v>OC6</v>
      </c>
      <c r="F385" t="str">
        <f t="shared" si="58"/>
        <v>Kartofler</v>
      </c>
      <c r="G385" s="74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4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t="str">
        <f t="shared" si="61"/>
        <v>OC6</v>
      </c>
      <c r="F386" t="str">
        <f t="shared" si="58"/>
        <v>Roer</v>
      </c>
      <c r="G386" s="74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4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t="str">
        <f t="shared" si="61"/>
        <v>OC6</v>
      </c>
      <c r="F387" t="str">
        <f t="shared" si="58"/>
        <v>Majs</v>
      </c>
      <c r="G387" s="74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4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t="str">
        <f t="shared" si="61"/>
        <v>OC6</v>
      </c>
      <c r="F388" t="str">
        <f t="shared" si="58"/>
        <v>Frugt</v>
      </c>
      <c r="G388" s="74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4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t="str">
        <f t="shared" si="61"/>
        <v>OC6</v>
      </c>
      <c r="F389" t="str">
        <f t="shared" si="58"/>
        <v>Øvrige</v>
      </c>
      <c r="G389" s="74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4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t="str">
        <f t="shared" si="61"/>
        <v>OC6</v>
      </c>
      <c r="F390" t="str">
        <f t="shared" si="58"/>
        <v>Halm</v>
      </c>
      <c r="G390" s="74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4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t="str">
        <f t="shared" si="61"/>
        <v>OC6</v>
      </c>
      <c r="F391" t="str">
        <f t="shared" si="58"/>
        <v>Juletræer</v>
      </c>
      <c r="G391" s="74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4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t="str">
        <f t="shared" si="61"/>
        <v>OC6</v>
      </c>
      <c r="F392" t="str">
        <f t="shared" si="58"/>
        <v>Pil &amp; poppel</v>
      </c>
      <c r="G392" s="74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4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t="str">
        <f t="shared" si="61"/>
        <v>OC6</v>
      </c>
      <c r="F393" t="str">
        <f t="shared" si="58"/>
        <v>Græs</v>
      </c>
      <c r="G393" s="74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4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t="str">
        <f t="shared" si="61"/>
        <v>OC6</v>
      </c>
      <c r="F394" t="str">
        <f t="shared" si="58"/>
        <v>Halm</v>
      </c>
      <c r="G394" s="74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525.07317210500355</v>
      </c>
      <c r="H394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2959.3334009106838</v>
      </c>
      <c r="I394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1015.2322500007133</v>
      </c>
      <c r="J394" s="74">
        <f t="shared" si="60"/>
        <v>1015.2322500007133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t="str">
        <f t="shared" si="61"/>
        <v>OC6</v>
      </c>
      <c r="F395" t="str">
        <f t="shared" si="58"/>
        <v>Halm</v>
      </c>
      <c r="G395" s="74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14.198817893608684</v>
      </c>
      <c r="H395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37.488286955421387</v>
      </c>
      <c r="I395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11.697670513030937</v>
      </c>
      <c r="J395" s="74">
        <f t="shared" si="60"/>
        <v>11.697670513030937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t="str">
        <f t="shared" si="61"/>
        <v>OC6</v>
      </c>
      <c r="F396" t="str">
        <f t="shared" si="58"/>
        <v>Halm</v>
      </c>
      <c r="G396" s="74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57.351243517032643</v>
      </c>
      <c r="H396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166.54801117346281</v>
      </c>
      <c r="I396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93.495515429418262</v>
      </c>
      <c r="J396" s="74">
        <f t="shared" si="60"/>
        <v>93.495515429418262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t="str">
        <f t="shared" si="61"/>
        <v>OC6</v>
      </c>
      <c r="F397" t="str">
        <f t="shared" si="58"/>
        <v>Græs</v>
      </c>
      <c r="G397" s="74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168.63668631323898</v>
      </c>
      <c r="H397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7832.2162228716916</v>
      </c>
      <c r="I397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4">
        <f t="shared" si="60"/>
        <v>7832.2162228716916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t="str">
        <f t="shared" si="61"/>
        <v>OC6</v>
      </c>
      <c r="F398" t="str">
        <f t="shared" si="58"/>
        <v>Grøntsager</v>
      </c>
      <c r="G398" s="74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3.1937962103345354</v>
      </c>
      <c r="H39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45.329549613278061</v>
      </c>
      <c r="I39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4">
        <f t="shared" si="60"/>
        <v>45.329549613278061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t="str">
        <f t="shared" si="61"/>
        <v>OC6</v>
      </c>
      <c r="F399" t="str">
        <f t="shared" si="58"/>
        <v>Kartofler</v>
      </c>
      <c r="G399" s="74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5.429745861483144</v>
      </c>
      <c r="H39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157.73463439473878</v>
      </c>
      <c r="I39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4">
        <f t="shared" si="60"/>
        <v>157.73463439473878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t="str">
        <f t="shared" si="61"/>
        <v>OC6</v>
      </c>
      <c r="F400" t="str">
        <f t="shared" ref="F400:F467" si="62">IF(I400&lt;&gt;0,"Halm",IF(B400&lt;&gt;"Permanent græs",B400,"Græs"))</f>
        <v>Roer</v>
      </c>
      <c r="G400" s="74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15.169567575226109</v>
      </c>
      <c r="H40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843.08743435222607</v>
      </c>
      <c r="I40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4">
        <f t="shared" si="60"/>
        <v>843.08743435222607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t="str">
        <f t="shared" si="61"/>
        <v>OC6</v>
      </c>
      <c r="F401" t="str">
        <f t="shared" si="62"/>
        <v>Majs</v>
      </c>
      <c r="G401" s="74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16.173099958034264</v>
      </c>
      <c r="H40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716.98522041557669</v>
      </c>
      <c r="I40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4">
        <f t="shared" si="60"/>
        <v>716.98522041557669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t="str">
        <f t="shared" ref="E402:E421" si="63">Organ6</f>
        <v>OC6</v>
      </c>
      <c r="F402" t="str">
        <f t="shared" si="62"/>
        <v>Frugt</v>
      </c>
      <c r="G402" s="74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3.4888701238698125</v>
      </c>
      <c r="H402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20.260427028531822</v>
      </c>
      <c r="I402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4">
        <f t="shared" si="60"/>
        <v>20.260427028531822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t="str">
        <f t="shared" si="63"/>
        <v>OC6</v>
      </c>
      <c r="F403" t="str">
        <f t="shared" si="62"/>
        <v>Øvrige</v>
      </c>
      <c r="G403" s="74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24.912224827259667</v>
      </c>
      <c r="H403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507.72173863352538</v>
      </c>
      <c r="I403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4">
        <f t="shared" si="60"/>
        <v>507.72173863352538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t="str">
        <f t="shared" si="63"/>
        <v>OC6</v>
      </c>
      <c r="F404" t="str">
        <f t="shared" si="62"/>
        <v>Halm</v>
      </c>
      <c r="G404" s="74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180.86157086461591</v>
      </c>
      <c r="H404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1767.6651691342113</v>
      </c>
      <c r="I404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308.65350380028923</v>
      </c>
      <c r="J404" s="74">
        <f t="shared" si="60"/>
        <v>308.65350380028923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t="str">
        <f t="shared" si="63"/>
        <v>OC6</v>
      </c>
      <c r="F405" t="str">
        <f t="shared" si="62"/>
        <v>Juletræer</v>
      </c>
      <c r="G405" s="74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5.467039630212966</v>
      </c>
      <c r="H405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186.97275535328342</v>
      </c>
      <c r="I405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4">
        <f t="shared" ref="J405:J468" si="64">IF(I405&lt;&gt;0,I405,H405)</f>
        <v>186.97275535328342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t="str">
        <f t="shared" si="63"/>
        <v>OC6</v>
      </c>
      <c r="F406" t="str">
        <f t="shared" si="62"/>
        <v>Pil &amp; poppel</v>
      </c>
      <c r="G406" s="74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11.603099979403883</v>
      </c>
      <c r="H406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193.57366794907941</v>
      </c>
      <c r="I406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4">
        <f t="shared" si="64"/>
        <v>193.57366794907941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t="str">
        <f t="shared" si="63"/>
        <v>OC6</v>
      </c>
      <c r="F407" t="str">
        <f t="shared" si="62"/>
        <v>Græs</v>
      </c>
      <c r="G407" s="74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336.27475814199715</v>
      </c>
      <c r="H407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5564.6746977337698</v>
      </c>
      <c r="I407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4">
        <f t="shared" si="64"/>
        <v>5564.6746977337698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t="str">
        <f t="shared" si="63"/>
        <v>OC6</v>
      </c>
      <c r="F408" t="str">
        <f t="shared" si="62"/>
        <v>Halm</v>
      </c>
      <c r="G408" s="74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77.361343265209698</v>
      </c>
      <c r="H40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436.01162509645246</v>
      </c>
      <c r="I40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162.70863819536862</v>
      </c>
      <c r="J408" s="74">
        <f t="shared" si="64"/>
        <v>162.70863819536862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t="str">
        <f t="shared" si="63"/>
        <v>OC6</v>
      </c>
      <c r="F409" t="str">
        <f t="shared" si="62"/>
        <v>Halm</v>
      </c>
      <c r="G409" s="74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2.0919743825875723</v>
      </c>
      <c r="H40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5.5233144438830122</v>
      </c>
      <c r="I40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1.8747552978464239</v>
      </c>
      <c r="J409" s="74">
        <f t="shared" si="64"/>
        <v>1.8747552978464239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t="str">
        <f t="shared" si="63"/>
        <v>OC6</v>
      </c>
      <c r="F410" t="str">
        <f t="shared" si="62"/>
        <v>Halm</v>
      </c>
      <c r="G410" s="74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8.4498113255737515</v>
      </c>
      <c r="H41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24.53825208946618</v>
      </c>
      <c r="I41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14.984283638432522</v>
      </c>
      <c r="J410" s="74">
        <f t="shared" si="64"/>
        <v>14.984283638432522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t="str">
        <f t="shared" si="63"/>
        <v>OC6</v>
      </c>
      <c r="F411" t="str">
        <f t="shared" si="62"/>
        <v>Græs</v>
      </c>
      <c r="G411" s="74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24.845985797912856</v>
      </c>
      <c r="H41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1153.9549151137201</v>
      </c>
      <c r="I41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4">
        <f t="shared" si="64"/>
        <v>1153.9549151137201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t="str">
        <f t="shared" si="63"/>
        <v>OC6</v>
      </c>
      <c r="F412" t="str">
        <f t="shared" si="62"/>
        <v>Grøntsager</v>
      </c>
      <c r="G412" s="74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0.47055606356023416</v>
      </c>
      <c r="H412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6.6786022101104026</v>
      </c>
      <c r="I412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4">
        <f t="shared" si="64"/>
        <v>6.6786022101104026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t="str">
        <f t="shared" si="63"/>
        <v>OC6</v>
      </c>
      <c r="F413" t="str">
        <f t="shared" si="62"/>
        <v>Kartofler</v>
      </c>
      <c r="G413" s="74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0.79998837447563886</v>
      </c>
      <c r="H413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23.239738467886301</v>
      </c>
      <c r="I413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4">
        <f t="shared" si="64"/>
        <v>23.239738467886301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t="str">
        <f t="shared" si="63"/>
        <v>OC6</v>
      </c>
      <c r="F414" t="str">
        <f t="shared" si="62"/>
        <v>Roer</v>
      </c>
      <c r="G414" s="74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2.234999209095335</v>
      </c>
      <c r="H414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124.21578529718597</v>
      </c>
      <c r="I414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4">
        <f t="shared" si="64"/>
        <v>124.21578529718597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t="str">
        <f t="shared" si="63"/>
        <v>OC6</v>
      </c>
      <c r="F415" t="str">
        <f t="shared" si="62"/>
        <v>Majs</v>
      </c>
      <c r="G415" s="74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2.3828540553693136</v>
      </c>
      <c r="H415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105.63659066847021</v>
      </c>
      <c r="I415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4">
        <f t="shared" si="64"/>
        <v>105.63659066847021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t="str">
        <f t="shared" si="63"/>
        <v>OC6</v>
      </c>
      <c r="F416" t="str">
        <f t="shared" si="62"/>
        <v>Frugt</v>
      </c>
      <c r="G416" s="74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0.51403060296985081</v>
      </c>
      <c r="H416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2.9850579563423985</v>
      </c>
      <c r="I416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4">
        <f t="shared" si="64"/>
        <v>2.9850579563423985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t="str">
        <f t="shared" si="63"/>
        <v>OC6</v>
      </c>
      <c r="F417" t="str">
        <f t="shared" si="62"/>
        <v>Øvrige</v>
      </c>
      <c r="G417" s="74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3.6704278160612374</v>
      </c>
      <c r="H417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74.804880143033586</v>
      </c>
      <c r="I417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4">
        <f t="shared" si="64"/>
        <v>74.804880143033586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t="str">
        <f t="shared" si="63"/>
        <v>OC6</v>
      </c>
      <c r="F418" t="str">
        <f t="shared" si="62"/>
        <v>Halm</v>
      </c>
      <c r="G418" s="74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26.647131886495536</v>
      </c>
      <c r="H41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260.43789550154304</v>
      </c>
      <c r="I41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49.467096102925041</v>
      </c>
      <c r="J418" s="74">
        <f t="shared" si="64"/>
        <v>49.467096102925041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t="str">
        <f t="shared" si="63"/>
        <v>OC6</v>
      </c>
      <c r="F419" t="str">
        <f t="shared" si="62"/>
        <v>Juletræer</v>
      </c>
      <c r="G419" s="74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0.80548302969253915</v>
      </c>
      <c r="H41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27.547519615484841</v>
      </c>
      <c r="I41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4">
        <f t="shared" si="64"/>
        <v>27.547519615484841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t="str">
        <f t="shared" si="63"/>
        <v>OC6</v>
      </c>
      <c r="F420" t="str">
        <f t="shared" si="62"/>
        <v>Pil &amp; poppel</v>
      </c>
      <c r="G420" s="74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1.7095358287848383</v>
      </c>
      <c r="H42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28.520061143629984</v>
      </c>
      <c r="I42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4">
        <f t="shared" si="64"/>
        <v>28.520061143629984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t="str">
        <f t="shared" si="63"/>
        <v>OC6</v>
      </c>
      <c r="F421" t="str">
        <f t="shared" si="62"/>
        <v>Græs</v>
      </c>
      <c r="G421" s="74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49.544841325174438</v>
      </c>
      <c r="H42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819.86803424898665</v>
      </c>
      <c r="I42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4">
        <f t="shared" si="64"/>
        <v>819.86803424898665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t="str">
        <f t="shared" ref="E422:E453" si="65">Organ12</f>
        <v>OC12</v>
      </c>
      <c r="F422" t="str">
        <f t="shared" si="62"/>
        <v>Halm</v>
      </c>
      <c r="G422" s="74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4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t="str">
        <f t="shared" si="65"/>
        <v>OC12</v>
      </c>
      <c r="F423" t="str">
        <f t="shared" si="62"/>
        <v>Halm</v>
      </c>
      <c r="G423" s="74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4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t="str">
        <f t="shared" si="65"/>
        <v>OC12</v>
      </c>
      <c r="F424" t="str">
        <f t="shared" si="62"/>
        <v>Halm</v>
      </c>
      <c r="G424" s="74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4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t="str">
        <f t="shared" si="65"/>
        <v>OC12</v>
      </c>
      <c r="F425" t="str">
        <f t="shared" si="62"/>
        <v>Græs</v>
      </c>
      <c r="G425" s="74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4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t="str">
        <f t="shared" si="65"/>
        <v>OC12</v>
      </c>
      <c r="F426" t="str">
        <f t="shared" si="62"/>
        <v>Grøntsager</v>
      </c>
      <c r="G426" s="74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4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t="str">
        <f t="shared" si="65"/>
        <v>OC12</v>
      </c>
      <c r="F427" t="str">
        <f t="shared" si="62"/>
        <v>Kartofler</v>
      </c>
      <c r="G427" s="74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4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t="str">
        <f t="shared" si="65"/>
        <v>OC12</v>
      </c>
      <c r="F428" t="str">
        <f t="shared" si="62"/>
        <v>Roer</v>
      </c>
      <c r="G428" s="74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4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t="str">
        <f t="shared" si="65"/>
        <v>OC12</v>
      </c>
      <c r="F429" t="str">
        <f t="shared" si="62"/>
        <v>Majs</v>
      </c>
      <c r="G429" s="74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4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t="str">
        <f t="shared" si="65"/>
        <v>OC12</v>
      </c>
      <c r="F430" t="str">
        <f t="shared" si="62"/>
        <v>Frugt</v>
      </c>
      <c r="G430" s="74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4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t="str">
        <f t="shared" si="65"/>
        <v>OC12</v>
      </c>
      <c r="F431" t="str">
        <f t="shared" si="62"/>
        <v>Øvrige</v>
      </c>
      <c r="G431" s="74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4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t="str">
        <f t="shared" si="65"/>
        <v>OC12</v>
      </c>
      <c r="F432" t="str">
        <f t="shared" si="62"/>
        <v>Halm</v>
      </c>
      <c r="G432" s="74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4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t="str">
        <f t="shared" si="65"/>
        <v>OC12</v>
      </c>
      <c r="F433" t="str">
        <f t="shared" si="62"/>
        <v>Juletræer</v>
      </c>
      <c r="G433" s="74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4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t="str">
        <f t="shared" si="65"/>
        <v>OC12</v>
      </c>
      <c r="F434" t="str">
        <f t="shared" si="62"/>
        <v>Pil &amp; poppel</v>
      </c>
      <c r="G434" s="74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4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t="str">
        <f t="shared" si="65"/>
        <v>OC12</v>
      </c>
      <c r="F435" t="str">
        <f t="shared" si="62"/>
        <v>Græs</v>
      </c>
      <c r="G435" s="74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4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t="str">
        <f t="shared" si="65"/>
        <v>OC12</v>
      </c>
      <c r="F436" t="str">
        <f t="shared" si="62"/>
        <v>Halm</v>
      </c>
      <c r="G436" s="74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1796.1549250748035</v>
      </c>
      <c r="H436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17627.46443468412</v>
      </c>
      <c r="I436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6047.2978050816228</v>
      </c>
      <c r="J436" s="74">
        <f t="shared" si="64"/>
        <v>6047.2978050816228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t="str">
        <f t="shared" si="65"/>
        <v>OC12</v>
      </c>
      <c r="F437" t="str">
        <f t="shared" si="62"/>
        <v>Halm</v>
      </c>
      <c r="G437" s="74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32.624096434599416</v>
      </c>
      <c r="H437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176.30061713257524</v>
      </c>
      <c r="I437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55.012023699915716</v>
      </c>
      <c r="J437" s="74">
        <f t="shared" si="64"/>
        <v>55.012023699915716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t="str">
        <f t="shared" si="65"/>
        <v>OC12</v>
      </c>
      <c r="F438" t="str">
        <f t="shared" si="62"/>
        <v>Halm</v>
      </c>
      <c r="G438" s="74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159.36107732825297</v>
      </c>
      <c r="H43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981.66423634203829</v>
      </c>
      <c r="I43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551.0795542303614</v>
      </c>
      <c r="J438" s="74">
        <f t="shared" si="64"/>
        <v>551.0795542303614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t="str">
        <f t="shared" si="65"/>
        <v>OC12</v>
      </c>
      <c r="F439" t="str">
        <f t="shared" si="62"/>
        <v>Græs</v>
      </c>
      <c r="G439" s="74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1171.0785614452748</v>
      </c>
      <c r="H43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81352.485506480356</v>
      </c>
      <c r="I43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4">
        <f t="shared" si="64"/>
        <v>81352.485506480356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t="str">
        <f t="shared" si="65"/>
        <v>OC12</v>
      </c>
      <c r="F440" t="str">
        <f t="shared" si="62"/>
        <v>Grøntsager</v>
      </c>
      <c r="G440" s="74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5.5117970826864369</v>
      </c>
      <c r="H44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160.11770525204099</v>
      </c>
      <c r="I44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4">
        <f t="shared" si="64"/>
        <v>160.11770525204099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t="str">
        <f t="shared" si="65"/>
        <v>OC12</v>
      </c>
      <c r="F441" t="str">
        <f t="shared" si="62"/>
        <v>Kartofler</v>
      </c>
      <c r="G441" s="74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31.416585856718971</v>
      </c>
      <c r="H44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1868.0069234954308</v>
      </c>
      <c r="I44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4">
        <f t="shared" si="64"/>
        <v>1868.0069234954308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t="str">
        <f t="shared" si="65"/>
        <v>OC12</v>
      </c>
      <c r="F442" t="str">
        <f t="shared" si="62"/>
        <v>Roer</v>
      </c>
      <c r="G442" s="74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36.178887809125172</v>
      </c>
      <c r="H442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4115.5374824780356</v>
      </c>
      <c r="I442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4">
        <f t="shared" si="64"/>
        <v>4115.5374824780356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t="str">
        <f t="shared" si="65"/>
        <v>OC12</v>
      </c>
      <c r="F443" t="str">
        <f t="shared" si="62"/>
        <v>Majs</v>
      </c>
      <c r="G443" s="74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37.160330995922486</v>
      </c>
      <c r="H443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2315.6088656799143</v>
      </c>
      <c r="I443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4">
        <f t="shared" si="64"/>
        <v>2315.6088656799143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t="str">
        <f t="shared" si="65"/>
        <v>OC12</v>
      </c>
      <c r="F444" t="str">
        <f t="shared" si="62"/>
        <v>Frugt</v>
      </c>
      <c r="G444" s="74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13.484572661869436</v>
      </c>
      <c r="H444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160.27763065898012</v>
      </c>
      <c r="I444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4">
        <f t="shared" si="64"/>
        <v>160.27763065898012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t="str">
        <f t="shared" si="65"/>
        <v>OC12</v>
      </c>
      <c r="F445" t="str">
        <f t="shared" si="62"/>
        <v>Øvrige</v>
      </c>
      <c r="G445" s="74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96.286388981255755</v>
      </c>
      <c r="H445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4016.521329369848</v>
      </c>
      <c r="I445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4">
        <f t="shared" si="64"/>
        <v>4016.521329369848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t="str">
        <f t="shared" si="65"/>
        <v>OC12</v>
      </c>
      <c r="F446" t="str">
        <f t="shared" si="62"/>
        <v>Halm</v>
      </c>
      <c r="G446" s="74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901.06512085105521</v>
      </c>
      <c r="H446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18025.271665907891</v>
      </c>
      <c r="I446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3147.4078653479032</v>
      </c>
      <c r="J446" s="74">
        <f t="shared" si="64"/>
        <v>3147.4078653479032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t="str">
        <f t="shared" si="65"/>
        <v>OC12</v>
      </c>
      <c r="F447" t="str">
        <f t="shared" si="62"/>
        <v>Juletræer</v>
      </c>
      <c r="G447" s="74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21.130248625350497</v>
      </c>
      <c r="H447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1479.117403774535</v>
      </c>
      <c r="I447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4">
        <f t="shared" si="64"/>
        <v>1479.117403774535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t="str">
        <f t="shared" si="65"/>
        <v>OC12</v>
      </c>
      <c r="F448" t="str">
        <f t="shared" si="62"/>
        <v>Pil &amp; poppel</v>
      </c>
      <c r="G448" s="74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64.456117245548413</v>
      </c>
      <c r="H44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2200.9405888723845</v>
      </c>
      <c r="I44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4">
        <f t="shared" si="64"/>
        <v>2200.9405888723845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t="str">
        <f t="shared" si="65"/>
        <v>OC12</v>
      </c>
      <c r="F449" t="str">
        <f t="shared" si="62"/>
        <v>Græs</v>
      </c>
      <c r="G449" s="74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2241.5480572801857</v>
      </c>
      <c r="H44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43275.326793851265</v>
      </c>
      <c r="I44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4">
        <f t="shared" si="64"/>
        <v>43275.326793851265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t="str">
        <f t="shared" si="65"/>
        <v>OC12</v>
      </c>
      <c r="F450" t="str">
        <f t="shared" si="62"/>
        <v>Korn</v>
      </c>
      <c r="G450" s="74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4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t="str">
        <f t="shared" si="65"/>
        <v>OC12</v>
      </c>
      <c r="F451" t="str">
        <f t="shared" si="62"/>
        <v>Bælgsæd</v>
      </c>
      <c r="G451" s="74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4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t="str">
        <f t="shared" si="65"/>
        <v>OC12</v>
      </c>
      <c r="F452" t="str">
        <f t="shared" si="62"/>
        <v>Raps</v>
      </c>
      <c r="G452" s="74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4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t="str">
        <f t="shared" si="65"/>
        <v>OC12</v>
      </c>
      <c r="F453" t="str">
        <f t="shared" si="62"/>
        <v>Græs</v>
      </c>
      <c r="G453" s="74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4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t="str">
        <f t="shared" ref="E454:E485" si="66">Organ12</f>
        <v>OC12</v>
      </c>
      <c r="F454" t="str">
        <f t="shared" si="62"/>
        <v>Grøntsager</v>
      </c>
      <c r="G454" s="74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4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t="str">
        <f t="shared" si="66"/>
        <v>OC12</v>
      </c>
      <c r="F455" t="str">
        <f t="shared" si="62"/>
        <v>Kartofler</v>
      </c>
      <c r="G455" s="74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4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t="str">
        <f t="shared" si="66"/>
        <v>OC12</v>
      </c>
      <c r="F456" t="str">
        <f t="shared" si="62"/>
        <v>Roer</v>
      </c>
      <c r="G456" s="74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4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t="str">
        <f t="shared" si="66"/>
        <v>OC12</v>
      </c>
      <c r="F457" t="str">
        <f t="shared" si="62"/>
        <v>Majs</v>
      </c>
      <c r="G457" s="74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4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t="str">
        <f t="shared" si="66"/>
        <v>OC12</v>
      </c>
      <c r="F458" t="str">
        <f t="shared" si="62"/>
        <v>Frugt</v>
      </c>
      <c r="G458" s="74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4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t="str">
        <f t="shared" si="66"/>
        <v>OC12</v>
      </c>
      <c r="F459" t="str">
        <f t="shared" si="62"/>
        <v>Øvrige</v>
      </c>
      <c r="G459" s="74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4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t="str">
        <f t="shared" si="66"/>
        <v>OC12</v>
      </c>
      <c r="F460" t="str">
        <f t="shared" si="62"/>
        <v>Frø</v>
      </c>
      <c r="G460" s="74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4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t="str">
        <f t="shared" si="66"/>
        <v>OC12</v>
      </c>
      <c r="F461" t="str">
        <f t="shared" si="62"/>
        <v>Juletræer</v>
      </c>
      <c r="G461" s="74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4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t="str">
        <f t="shared" si="66"/>
        <v>OC12</v>
      </c>
      <c r="F462" t="str">
        <f t="shared" si="62"/>
        <v>Pil &amp; poppel</v>
      </c>
      <c r="G462" s="74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4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t="str">
        <f t="shared" si="66"/>
        <v>OC12</v>
      </c>
      <c r="F463" t="str">
        <f t="shared" si="62"/>
        <v>Græs</v>
      </c>
      <c r="G463" s="74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4">
        <f t="shared" si="64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t="str">
        <f t="shared" si="66"/>
        <v>OC12</v>
      </c>
      <c r="F464" t="str">
        <f t="shared" si="62"/>
        <v>Halm</v>
      </c>
      <c r="G464" s="74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4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t="str">
        <f t="shared" si="66"/>
        <v>OC12</v>
      </c>
      <c r="F465" t="str">
        <f t="shared" si="62"/>
        <v>Halm</v>
      </c>
      <c r="G465" s="74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4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t="str">
        <f t="shared" si="66"/>
        <v>OC12</v>
      </c>
      <c r="F466" t="str">
        <f t="shared" si="62"/>
        <v>Halm</v>
      </c>
      <c r="G466" s="74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4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t="str">
        <f t="shared" si="66"/>
        <v>OC12</v>
      </c>
      <c r="F467" t="str">
        <f t="shared" si="62"/>
        <v>Græs</v>
      </c>
      <c r="G467" s="74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4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4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4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t="str">
        <f t="shared" si="66"/>
        <v>OC12</v>
      </c>
      <c r="F469" t="str">
        <f t="shared" si="67"/>
        <v>Kartofler</v>
      </c>
      <c r="G469" s="74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4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t="str">
        <f t="shared" si="66"/>
        <v>OC12</v>
      </c>
      <c r="F470" t="str">
        <f t="shared" si="67"/>
        <v>Roer</v>
      </c>
      <c r="G470" s="74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4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t="str">
        <f t="shared" si="66"/>
        <v>OC12</v>
      </c>
      <c r="F471" t="str">
        <f t="shared" si="67"/>
        <v>Majs</v>
      </c>
      <c r="G471" s="74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4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t="str">
        <f t="shared" si="66"/>
        <v>OC12</v>
      </c>
      <c r="F472" t="str">
        <f t="shared" si="67"/>
        <v>Frugt</v>
      </c>
      <c r="G472" s="74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4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t="str">
        <f t="shared" si="66"/>
        <v>OC12</v>
      </c>
      <c r="F473" t="str">
        <f t="shared" si="67"/>
        <v>Øvrige</v>
      </c>
      <c r="G473" s="74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4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t="str">
        <f t="shared" si="66"/>
        <v>OC12</v>
      </c>
      <c r="F474" t="str">
        <f t="shared" si="67"/>
        <v>Halm</v>
      </c>
      <c r="G474" s="74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4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t="str">
        <f t="shared" si="66"/>
        <v>OC12</v>
      </c>
      <c r="F475" t="str">
        <f t="shared" si="67"/>
        <v>Juletræer</v>
      </c>
      <c r="G475" s="74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4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t="str">
        <f t="shared" si="66"/>
        <v>OC12</v>
      </c>
      <c r="F476" t="str">
        <f t="shared" si="67"/>
        <v>Pil &amp; poppel</v>
      </c>
      <c r="G476" s="74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4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t="str">
        <f t="shared" si="66"/>
        <v>OC12</v>
      </c>
      <c r="F477" t="str">
        <f t="shared" si="67"/>
        <v>Græs</v>
      </c>
      <c r="G477" s="74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4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t="str">
        <f t="shared" si="66"/>
        <v>OC12</v>
      </c>
      <c r="F478" t="str">
        <f t="shared" si="67"/>
        <v>Halm</v>
      </c>
      <c r="G478" s="74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280.89225514973896</v>
      </c>
      <c r="H47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1846.9733166664905</v>
      </c>
      <c r="I47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633.62474650323929</v>
      </c>
      <c r="J478" s="74">
        <f t="shared" si="68"/>
        <v>633.62474650323929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t="str">
        <f t="shared" si="66"/>
        <v>OC12</v>
      </c>
      <c r="F479" t="str">
        <f t="shared" si="67"/>
        <v>Halm</v>
      </c>
      <c r="G479" s="74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5.1019296230003928</v>
      </c>
      <c r="H47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15.715371779135646</v>
      </c>
      <c r="I47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4.9037514379015512</v>
      </c>
      <c r="J479" s="74">
        <f t="shared" si="68"/>
        <v>4.9037514379015512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t="str">
        <f t="shared" si="66"/>
        <v>OC12</v>
      </c>
      <c r="F480" t="str">
        <f t="shared" si="67"/>
        <v>Halm</v>
      </c>
      <c r="G480" s="74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24.921732401207365</v>
      </c>
      <c r="H48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84.434829375290576</v>
      </c>
      <c r="I48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47.399412559875849</v>
      </c>
      <c r="J480" s="74">
        <f t="shared" si="68"/>
        <v>47.399412559875849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t="str">
        <f t="shared" si="66"/>
        <v>OC12</v>
      </c>
      <c r="F481" t="str">
        <f t="shared" si="67"/>
        <v>Græs</v>
      </c>
      <c r="G481" s="74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183.13949063618546</v>
      </c>
      <c r="H48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9923.4206257013338</v>
      </c>
      <c r="I48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4">
        <f t="shared" si="68"/>
        <v>9923.4206257013338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t="str">
        <f t="shared" si="66"/>
        <v>OC12</v>
      </c>
      <c r="F482" t="str">
        <f t="shared" si="67"/>
        <v>Grøntsager</v>
      </c>
      <c r="G482" s="74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0.86196412729768701</v>
      </c>
      <c r="H482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14.27283300185875</v>
      </c>
      <c r="I482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4">
        <f t="shared" si="68"/>
        <v>14.27283300185875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t="str">
        <f t="shared" si="66"/>
        <v>OC12</v>
      </c>
      <c r="F483" t="str">
        <f t="shared" si="67"/>
        <v>Kartofler</v>
      </c>
      <c r="G483" s="74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4.9130926999694466</v>
      </c>
      <c r="H483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166.51344598898669</v>
      </c>
      <c r="I483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4">
        <f t="shared" si="68"/>
        <v>166.51344598898669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t="str">
        <f t="shared" si="66"/>
        <v>OC12</v>
      </c>
      <c r="F484" t="str">
        <f t="shared" si="67"/>
        <v>Roer</v>
      </c>
      <c r="G484" s="74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5.6578467946418041</v>
      </c>
      <c r="H484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366.85748841976005</v>
      </c>
      <c r="I484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4">
        <f t="shared" si="68"/>
        <v>366.85748841976005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t="str">
        <f t="shared" si="66"/>
        <v>OC12</v>
      </c>
      <c r="F485" t="str">
        <f t="shared" si="67"/>
        <v>Majs</v>
      </c>
      <c r="G485" s="74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5.8113300973303872</v>
      </c>
      <c r="H485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300.56559565858794</v>
      </c>
      <c r="I485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4">
        <f t="shared" si="68"/>
        <v>300.56559565858794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t="str">
        <f t="shared" ref="E486:E505" si="69">Organ12</f>
        <v>OC12</v>
      </c>
      <c r="F486" t="str">
        <f t="shared" si="67"/>
        <v>Frugt</v>
      </c>
      <c r="G486" s="74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2.1087891539006742</v>
      </c>
      <c r="H486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14.287088693460143</v>
      </c>
      <c r="I486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4">
        <f t="shared" si="68"/>
        <v>14.287088693460143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t="str">
        <f t="shared" si="69"/>
        <v>OC12</v>
      </c>
      <c r="F487" t="str">
        <f t="shared" si="67"/>
        <v>Øvrige</v>
      </c>
      <c r="G487" s="74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15.057777346262895</v>
      </c>
      <c r="H487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358.03122516814113</v>
      </c>
      <c r="I487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4">
        <f t="shared" si="68"/>
        <v>358.03122516814113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t="str">
        <f t="shared" si="69"/>
        <v>OC12</v>
      </c>
      <c r="F488" t="str">
        <f t="shared" si="67"/>
        <v>Halm</v>
      </c>
      <c r="G488" s="74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140.91335346369644</v>
      </c>
      <c r="H48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1606.7660468632666</v>
      </c>
      <c r="I48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280.55877256131697</v>
      </c>
      <c r="J488" s="74">
        <f t="shared" ref="J488:J505" si="70">IF(I488&lt;&gt;0,I488,H488)</f>
        <v>280.55877256131697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t="str">
        <f t="shared" si="69"/>
        <v>OC12</v>
      </c>
      <c r="F489" t="str">
        <f t="shared" si="67"/>
        <v>Juletræer</v>
      </c>
      <c r="G489" s="74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3.3044606038102131</v>
      </c>
      <c r="H48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131.84797809202749</v>
      </c>
      <c r="I48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4">
        <f t="shared" si="70"/>
        <v>131.84797809202749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t="str">
        <f t="shared" si="69"/>
        <v>OC12</v>
      </c>
      <c r="F490" t="str">
        <f t="shared" si="67"/>
        <v>Pil &amp; poppel</v>
      </c>
      <c r="G490" s="74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10.079990249473639</v>
      </c>
      <c r="H49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196.19102973365764</v>
      </c>
      <c r="I49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4">
        <f t="shared" si="70"/>
        <v>196.19102973365764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t="str">
        <f t="shared" si="69"/>
        <v>OC12</v>
      </c>
      <c r="F491" t="str">
        <f t="shared" si="67"/>
        <v>Græs</v>
      </c>
      <c r="G491" s="74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350.54520077644509</v>
      </c>
      <c r="H49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6767.6256461900484</v>
      </c>
      <c r="I49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4">
        <f t="shared" si="70"/>
        <v>6767.6256461900484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t="str">
        <f t="shared" si="69"/>
        <v>OC12</v>
      </c>
      <c r="F492" t="str">
        <f t="shared" si="67"/>
        <v>Korn</v>
      </c>
      <c r="G492" s="74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4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t="str">
        <f t="shared" si="69"/>
        <v>OC12</v>
      </c>
      <c r="F493" t="str">
        <f t="shared" si="67"/>
        <v>Bælgsæd</v>
      </c>
      <c r="G493" s="74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4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t="str">
        <f t="shared" si="69"/>
        <v>OC12</v>
      </c>
      <c r="F494" t="str">
        <f t="shared" si="67"/>
        <v>Raps</v>
      </c>
      <c r="G494" s="74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4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t="str">
        <f t="shared" si="69"/>
        <v>OC12</v>
      </c>
      <c r="F495" t="str">
        <f t="shared" si="67"/>
        <v>Græs</v>
      </c>
      <c r="G495" s="74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4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t="str">
        <f t="shared" si="69"/>
        <v>OC12</v>
      </c>
      <c r="F496" t="str">
        <f t="shared" si="67"/>
        <v>Grøntsager</v>
      </c>
      <c r="G496" s="74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4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t="str">
        <f t="shared" si="69"/>
        <v>OC12</v>
      </c>
      <c r="F497" t="str">
        <f t="shared" si="67"/>
        <v>Kartofler</v>
      </c>
      <c r="G497" s="74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4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t="str">
        <f t="shared" si="69"/>
        <v>OC12</v>
      </c>
      <c r="F498" t="str">
        <f t="shared" si="67"/>
        <v>Roer</v>
      </c>
      <c r="G498" s="74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4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t="str">
        <f t="shared" si="69"/>
        <v>OC12</v>
      </c>
      <c r="F499" t="str">
        <f t="shared" si="67"/>
        <v>Majs</v>
      </c>
      <c r="G499" s="74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4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t="str">
        <f t="shared" si="69"/>
        <v>OC12</v>
      </c>
      <c r="F500" t="str">
        <f t="shared" si="67"/>
        <v>Frugt</v>
      </c>
      <c r="G500" s="74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4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t="str">
        <f t="shared" si="69"/>
        <v>OC12</v>
      </c>
      <c r="F501" t="str">
        <f t="shared" si="67"/>
        <v>Øvrige</v>
      </c>
      <c r="G501" s="74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4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t="str">
        <f t="shared" si="69"/>
        <v>OC12</v>
      </c>
      <c r="F502" t="str">
        <f t="shared" si="67"/>
        <v>Frø</v>
      </c>
      <c r="G502" s="74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4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t="str">
        <f t="shared" si="69"/>
        <v>OC12</v>
      </c>
      <c r="F503" t="str">
        <f t="shared" si="67"/>
        <v>Juletræer</v>
      </c>
      <c r="G503" s="74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4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t="str">
        <f t="shared" si="69"/>
        <v>OC12</v>
      </c>
      <c r="F504" t="str">
        <f t="shared" si="67"/>
        <v>Pil &amp; poppel</v>
      </c>
      <c r="G504" s="74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4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t="str">
        <f t="shared" si="69"/>
        <v>OC12</v>
      </c>
      <c r="F505" t="str">
        <f t="shared" si="67"/>
        <v>Græs</v>
      </c>
      <c r="G505" s="74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4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11</vt:i4>
      </vt:variant>
    </vt:vector>
  </HeadingPairs>
  <TitlesOfParts>
    <vt:vector size="49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Produktion &amp; forbrug</vt:lpstr>
      <vt:lpstr>Kategorisering af kcal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2023-11-29T15:22:04Z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